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Beth\GOOGLE~1\M37\OPERAT~1\225D3~1.COH\COSTMO~1\COSTMO~1\COSTMO~1\COURSE~1\MORERE~1\COSTMO~1\EXCELM~1\FULLTE~1\"/>
    </mc:Choice>
  </mc:AlternateContent>
  <bookViews>
    <workbookView xWindow="12750" yWindow="60" windowWidth="14925" windowHeight="11580" tabRatio="955" activeTab="2"/>
  </bookViews>
  <sheets>
    <sheet name="About BatPaC" sheetId="10" r:id="rId1"/>
    <sheet name="Chem" sheetId="5" r:id="rId2"/>
    <sheet name="Battery Design" sheetId="3" r:id="rId3"/>
    <sheet name="EV Charging" sheetId="24" r:id="rId4"/>
    <sheet name="Summary of Results" sheetId="4" r:id="rId5"/>
    <sheet name="USABC Data" sheetId="22" r:id="rId6"/>
    <sheet name="Thermal" sheetId="14" r:id="rId7"/>
    <sheet name="Cost Input" sheetId="2" r:id="rId8"/>
    <sheet name="Manufacturing Cost Calculations" sheetId="1" r:id="rId9"/>
    <sheet name="Prices of Cells and Modules" sheetId="9" r:id="rId10"/>
    <sheet name="Cost Breakdown" sheetId="21" r:id="rId11"/>
    <sheet name="Plant Schematic" sheetId="8" r:id="rId12"/>
    <sheet name="Cell Design" sheetId="7" r:id="rId13"/>
    <sheet name="Module" sheetId="23" r:id="rId14"/>
    <sheet name="Battery" sheetId="12" r:id="rId15"/>
    <sheet name="Capacity Calculator" sheetId="15" r:id="rId16"/>
  </sheets>
  <definedNames>
    <definedName name="_xlnm.Print_Area" localSheetId="0">'About BatPaC'!$A$1:$F$40</definedName>
    <definedName name="_xlnm.Print_Area" localSheetId="14">Battery!$A$1:$P$134</definedName>
    <definedName name="_xlnm.Print_Area" localSheetId="2">'Battery Design'!$A$1:$L$206</definedName>
    <definedName name="_xlnm.Print_Area" localSheetId="15">'Capacity Calculator'!$A$1:$S$25</definedName>
    <definedName name="_xlnm.Print_Area" localSheetId="1">Chem!$A$1:$L$81</definedName>
    <definedName name="_xlnm.Print_Area" localSheetId="10">'Cost Breakdown'!$A$1:$L$346</definedName>
    <definedName name="_xlnm.Print_Area" localSheetId="7">'Cost Input'!$A$1:$J$142</definedName>
    <definedName name="_xlnm.Print_Area" localSheetId="8">'Manufacturing Cost Calculations'!$A$1:$L$263</definedName>
    <definedName name="_xlnm.Print_Area" localSheetId="13">Module!$A$1:$X$88</definedName>
    <definedName name="_xlnm.Print_Area" localSheetId="9">'Prices of Cells and Modules'!$A$1:$L$117</definedName>
    <definedName name="_xlnm.Print_Area" localSheetId="4">'Summary of Results'!$A$1:$L$82</definedName>
    <definedName name="_xlnm.Print_Area" localSheetId="6">Thermal!$A$1:$L$200</definedName>
    <definedName name="_xlnm.Print_Area" localSheetId="5">'USABC Data'!$A$1:$AC$29</definedName>
    <definedName name="_xlnm.Print_Titles" localSheetId="2">'Battery Design'!$1:$3</definedName>
    <definedName name="_xlnm.Print_Titles" localSheetId="15">'Capacity Calculator'!$A:$B</definedName>
    <definedName name="_xlnm.Print_Titles" localSheetId="1">Chem!$1:$4</definedName>
    <definedName name="_xlnm.Print_Titles" localSheetId="8">'Manufacturing Cost Calculations'!$1:$3</definedName>
    <definedName name="_xlnm.Print_Titles" localSheetId="4">'Summary of Results'!$1:$3</definedName>
    <definedName name="_xlnm.Print_Titles" localSheetId="6">Thermal!$1:$4</definedName>
    <definedName name="_xlnm.Print_Titles" localSheetId="5">'USABC Data'!$A:$H,'USABC Data'!$1:$1</definedName>
  </definedNames>
  <calcPr calcId="162913" iterate="1" iterateCount="1000"/>
</workbook>
</file>

<file path=xl/calcChain.xml><?xml version="1.0" encoding="utf-8"?>
<calcChain xmlns="http://schemas.openxmlformats.org/spreadsheetml/2006/main">
  <c r="L191" i="3" l="1"/>
  <c r="K191" i="3"/>
  <c r="J191" i="3"/>
  <c r="I191" i="3"/>
  <c r="H191" i="3"/>
  <c r="G191" i="3"/>
  <c r="F191" i="3"/>
  <c r="L63" i="3"/>
  <c r="K63" i="3"/>
  <c r="J63" i="3"/>
  <c r="I63" i="3"/>
  <c r="H63" i="3"/>
  <c r="G63" i="3"/>
  <c r="F63" i="3"/>
  <c r="F57" i="3"/>
  <c r="F55" i="3"/>
  <c r="G54" i="3"/>
  <c r="H54" i="3" s="1"/>
  <c r="I54" i="3" s="1"/>
  <c r="J54" i="3" s="1"/>
  <c r="K54" i="3" s="1"/>
  <c r="L54" i="3" s="1"/>
  <c r="G53" i="3"/>
  <c r="G57" i="3" s="1"/>
  <c r="Q191" i="3"/>
  <c r="R191" i="3"/>
  <c r="S191" i="3"/>
  <c r="T191" i="3"/>
  <c r="U191" i="3"/>
  <c r="V191" i="3"/>
  <c r="W191" i="3"/>
  <c r="Y191" i="3"/>
  <c r="Z191" i="3"/>
  <c r="AA191" i="3"/>
  <c r="AB191" i="3"/>
  <c r="AC191" i="3"/>
  <c r="AD191" i="3"/>
  <c r="AE191" i="3"/>
  <c r="Q194" i="3"/>
  <c r="R194" i="3"/>
  <c r="S194" i="3"/>
  <c r="T194" i="3"/>
  <c r="U194" i="3"/>
  <c r="V194" i="3"/>
  <c r="W194" i="3"/>
  <c r="Y194" i="3"/>
  <c r="Z194" i="3"/>
  <c r="AA194" i="3"/>
  <c r="AB194" i="3"/>
  <c r="AC194" i="3"/>
  <c r="AD194" i="3"/>
  <c r="AE194" i="3"/>
  <c r="AE58" i="3"/>
  <c r="AD58" i="3"/>
  <c r="AC58" i="3"/>
  <c r="AB58" i="3"/>
  <c r="AA58" i="3"/>
  <c r="Z58" i="3"/>
  <c r="Y58" i="3"/>
  <c r="R53" i="3"/>
  <c r="S53" i="3" s="1"/>
  <c r="Z53" i="3"/>
  <c r="Z55" i="3" s="1"/>
  <c r="R54" i="3"/>
  <c r="S54" i="3"/>
  <c r="T54" i="3" s="1"/>
  <c r="U54" i="3" s="1"/>
  <c r="V54" i="3" s="1"/>
  <c r="W54" i="3" s="1"/>
  <c r="Z54" i="3"/>
  <c r="AC54" i="3"/>
  <c r="AD54" i="3"/>
  <c r="AA54" i="3" s="1"/>
  <c r="AE54" i="3" s="1"/>
  <c r="AB54" i="3" s="1"/>
  <c r="Q55" i="3"/>
  <c r="Y55" i="3"/>
  <c r="Q57" i="3"/>
  <c r="Q58" i="3"/>
  <c r="R58" i="3"/>
  <c r="S58" i="3"/>
  <c r="T58" i="3"/>
  <c r="U58" i="3"/>
  <c r="V58" i="3"/>
  <c r="W58" i="3"/>
  <c r="Q63" i="3"/>
  <c r="R63" i="3"/>
  <c r="S63" i="3"/>
  <c r="T63" i="3"/>
  <c r="U63" i="3"/>
  <c r="V63" i="3"/>
  <c r="W63" i="3"/>
  <c r="Y63" i="3"/>
  <c r="Z63" i="3"/>
  <c r="AA63" i="3"/>
  <c r="AB63" i="3"/>
  <c r="AC63" i="3"/>
  <c r="AD63" i="3"/>
  <c r="AE63" i="3"/>
  <c r="T53" i="3" l="1"/>
  <c r="S55" i="3"/>
  <c r="S57" i="3"/>
  <c r="G55" i="3"/>
  <c r="R57" i="3"/>
  <c r="R55" i="3"/>
  <c r="AC53" i="3"/>
  <c r="AD53" i="3" s="1"/>
  <c r="AD55" i="3" s="1"/>
  <c r="H53" i="3"/>
  <c r="AA53" i="3"/>
  <c r="L44" i="5"/>
  <c r="L46" i="5"/>
  <c r="L14" i="5"/>
  <c r="AC55" i="3" l="1"/>
  <c r="T57" i="3"/>
  <c r="U53" i="3"/>
  <c r="T55" i="3"/>
  <c r="H57" i="3"/>
  <c r="I53" i="3"/>
  <c r="H55" i="3"/>
  <c r="AA55" i="3"/>
  <c r="AE53" i="3"/>
  <c r="A2" i="3"/>
  <c r="U57" i="3" l="1"/>
  <c r="U55" i="3"/>
  <c r="V53" i="3"/>
  <c r="I57" i="3"/>
  <c r="J53" i="3"/>
  <c r="I55" i="3"/>
  <c r="AE55" i="3"/>
  <c r="AB53" i="3"/>
  <c r="L6" i="5"/>
  <c r="V57" i="3" l="1"/>
  <c r="W53" i="3"/>
  <c r="V55" i="3"/>
  <c r="K53" i="3"/>
  <c r="J55" i="3"/>
  <c r="J57" i="3"/>
  <c r="AB55" i="3"/>
  <c r="L66" i="5"/>
  <c r="K66" i="5"/>
  <c r="E66" i="5" s="1"/>
  <c r="J66" i="5"/>
  <c r="I66" i="5"/>
  <c r="H66" i="5"/>
  <c r="G66" i="5"/>
  <c r="F66" i="5"/>
  <c r="J65" i="5"/>
  <c r="E65" i="5"/>
  <c r="W57" i="3" l="1"/>
  <c r="W55" i="3"/>
  <c r="L53" i="3"/>
  <c r="K55" i="3"/>
  <c r="K57" i="3"/>
  <c r="I64" i="5"/>
  <c r="L55" i="3" l="1"/>
  <c r="L57" i="3"/>
  <c r="H64" i="5"/>
  <c r="G64" i="5"/>
  <c r="F64" i="5"/>
  <c r="K64" i="5"/>
  <c r="J64" i="5"/>
  <c r="L64" i="5" l="1"/>
  <c r="E64" i="5" s="1"/>
  <c r="E6" i="5"/>
  <c r="L42" i="5"/>
  <c r="L43" i="5"/>
  <c r="L52" i="5"/>
  <c r="L53" i="5"/>
  <c r="L54" i="5" s="1"/>
  <c r="E53" i="5" l="1"/>
  <c r="E52" i="5"/>
  <c r="E44" i="5" l="1"/>
  <c r="D81" i="5"/>
  <c r="D80" i="5"/>
  <c r="D79" i="5"/>
  <c r="D78" i="5"/>
  <c r="D77" i="5"/>
  <c r="D76" i="5"/>
  <c r="D75" i="5"/>
  <c r="D74" i="5"/>
  <c r="D72" i="5"/>
  <c r="D71" i="5"/>
  <c r="D70" i="5"/>
  <c r="E62" i="5" l="1"/>
  <c r="E61" i="5"/>
  <c r="E60" i="5"/>
  <c r="E55" i="5"/>
  <c r="E45" i="5"/>
  <c r="E40" i="5"/>
  <c r="E38" i="5"/>
  <c r="E37" i="5"/>
  <c r="E35" i="5"/>
  <c r="E34" i="5"/>
  <c r="E32" i="5"/>
  <c r="E31" i="5"/>
  <c r="E29" i="5"/>
  <c r="E28" i="5"/>
  <c r="E27" i="5"/>
  <c r="E25" i="5"/>
  <c r="E24" i="5"/>
  <c r="E23" i="5"/>
  <c r="E22" i="5"/>
  <c r="E19" i="5"/>
  <c r="E18" i="5"/>
  <c r="E16" i="5"/>
  <c r="E15" i="5"/>
  <c r="E12" i="5"/>
  <c r="E11" i="5"/>
  <c r="E10" i="5"/>
  <c r="E9" i="5"/>
  <c r="L39" i="5"/>
  <c r="L21" i="5"/>
  <c r="L8" i="5"/>
  <c r="E46" i="5"/>
  <c r="L69" i="5"/>
  <c r="D69" i="5" s="1"/>
  <c r="E54" i="5"/>
  <c r="L51" i="5"/>
  <c r="L57" i="5" l="1"/>
  <c r="E59" i="5"/>
  <c r="E51" i="5"/>
  <c r="E50" i="5"/>
  <c r="E43" i="5"/>
  <c r="E42" i="5"/>
  <c r="E14" i="5"/>
  <c r="I192" i="3" l="1"/>
  <c r="L192" i="3"/>
  <c r="H192" i="3"/>
  <c r="K192" i="3"/>
  <c r="G192" i="3"/>
  <c r="J192" i="3"/>
  <c r="F192" i="3"/>
  <c r="E56" i="5"/>
  <c r="Y57" i="3"/>
  <c r="AD57" i="3"/>
  <c r="AC57" i="3"/>
  <c r="Z57" i="3"/>
  <c r="AA57" i="3"/>
  <c r="AE57" i="3"/>
  <c r="AB57" i="3"/>
  <c r="S192" i="3"/>
  <c r="S193" i="3" s="1"/>
  <c r="T192" i="3"/>
  <c r="T193" i="3" s="1"/>
  <c r="U192" i="3"/>
  <c r="U193" i="3" s="1"/>
  <c r="V192" i="3"/>
  <c r="V193" i="3" s="1"/>
  <c r="W192" i="3"/>
  <c r="W193" i="3" s="1"/>
  <c r="Y192" i="3"/>
  <c r="Y193" i="3" s="1"/>
  <c r="Z192" i="3"/>
  <c r="Z193" i="3" s="1"/>
  <c r="AA192" i="3"/>
  <c r="AA193" i="3" s="1"/>
  <c r="AB192" i="3"/>
  <c r="AB193" i="3" s="1"/>
  <c r="AC192" i="3"/>
  <c r="AC193" i="3" s="1"/>
  <c r="AD192" i="3"/>
  <c r="AD193" i="3" s="1"/>
  <c r="AE192" i="3"/>
  <c r="AE193" i="3" s="1"/>
  <c r="Q192" i="3"/>
  <c r="Q193" i="3" s="1"/>
  <c r="R192" i="3"/>
  <c r="R193" i="3" s="1"/>
  <c r="E74" i="5"/>
  <c r="E69" i="5"/>
  <c r="D215" i="1" l="1"/>
  <c r="F30" i="3" l="1"/>
  <c r="F21" i="5" l="1"/>
  <c r="F8" i="5"/>
  <c r="L17" i="24" l="1"/>
  <c r="K17" i="24"/>
  <c r="J17" i="24"/>
  <c r="I17" i="24"/>
  <c r="H17" i="24"/>
  <c r="G17" i="24"/>
  <c r="F17" i="24" l="1"/>
  <c r="L17" i="14" l="1"/>
  <c r="K17" i="14"/>
  <c r="J17" i="14"/>
  <c r="L15" i="14"/>
  <c r="K15" i="14"/>
  <c r="J15" i="14"/>
  <c r="L12" i="14"/>
  <c r="K12" i="14"/>
  <c r="J12" i="14"/>
  <c r="L7" i="14" l="1"/>
  <c r="L14" i="14" s="1"/>
  <c r="L13" i="14" l="1"/>
  <c r="L124" i="3"/>
  <c r="K124" i="3"/>
  <c r="J124" i="3"/>
  <c r="I124" i="3"/>
  <c r="I125" i="3" s="1"/>
  <c r="H124" i="3"/>
  <c r="H125" i="3" s="1"/>
  <c r="G124" i="3"/>
  <c r="L123" i="3"/>
  <c r="K123" i="3"/>
  <c r="J123" i="3"/>
  <c r="I123" i="3"/>
  <c r="H123" i="3"/>
  <c r="G123" i="3"/>
  <c r="G125" i="3" l="1"/>
  <c r="K125" i="3"/>
  <c r="J125" i="3"/>
  <c r="L125" i="3"/>
  <c r="F160" i="3" l="1"/>
  <c r="F173" i="3" s="1"/>
  <c r="F129" i="3"/>
  <c r="F124" i="3"/>
  <c r="F125" i="3" s="1"/>
  <c r="F123" i="3"/>
  <c r="G129" i="3" l="1"/>
  <c r="G160" i="3" l="1"/>
  <c r="G173" i="3" s="1"/>
  <c r="H129" i="3"/>
  <c r="F81" i="3"/>
  <c r="H160" i="3" l="1"/>
  <c r="H173" i="3" s="1"/>
  <c r="G81" i="3"/>
  <c r="I129" i="3"/>
  <c r="H81" i="3"/>
  <c r="I160" i="3" l="1"/>
  <c r="I173" i="3" s="1"/>
  <c r="J129" i="3"/>
  <c r="I81" i="3"/>
  <c r="J160" i="3" l="1"/>
  <c r="J173" i="3" s="1"/>
  <c r="K129" i="3"/>
  <c r="J81" i="3"/>
  <c r="K160" i="3" l="1"/>
  <c r="K173" i="3" s="1"/>
  <c r="L129" i="3"/>
  <c r="K81" i="3"/>
  <c r="L160" i="3" l="1"/>
  <c r="L173" i="3" s="1"/>
  <c r="L81" i="3"/>
  <c r="E72" i="5"/>
  <c r="E71" i="5"/>
  <c r="E70" i="5"/>
  <c r="E81" i="5"/>
  <c r="E80" i="5"/>
  <c r="E79" i="5"/>
  <c r="E78" i="5"/>
  <c r="E77" i="5"/>
  <c r="E76" i="5"/>
  <c r="E75" i="5"/>
  <c r="L95" i="1" l="1"/>
  <c r="K95" i="1"/>
  <c r="J95" i="1"/>
  <c r="I95" i="1"/>
  <c r="H95" i="1"/>
  <c r="G95" i="1"/>
  <c r="F95" i="1"/>
  <c r="AA6" i="22"/>
  <c r="X6" i="22"/>
  <c r="U6" i="22"/>
  <c r="R6" i="22"/>
  <c r="O6" i="22"/>
  <c r="L6" i="22"/>
  <c r="I6" i="22" l="1"/>
  <c r="L75" i="9"/>
  <c r="K75" i="9"/>
  <c r="J75" i="9"/>
  <c r="I75" i="9"/>
  <c r="H75" i="9"/>
  <c r="G75" i="9"/>
  <c r="F75" i="9"/>
  <c r="F82" i="3" l="1"/>
  <c r="G82" i="3"/>
  <c r="K82" i="3"/>
  <c r="J82" i="3"/>
  <c r="L82" i="3"/>
  <c r="I82" i="3"/>
  <c r="H82" i="3"/>
  <c r="F44" i="3"/>
  <c r="F43" i="3" s="1"/>
  <c r="J44" i="3"/>
  <c r="L44" i="3"/>
  <c r="I44" i="3"/>
  <c r="G44" i="3"/>
  <c r="K44" i="3"/>
  <c r="H44" i="3"/>
  <c r="J43" i="3" l="1"/>
  <c r="G43" i="3"/>
  <c r="I43" i="3"/>
  <c r="K43" i="3"/>
  <c r="H43" i="3"/>
  <c r="L43" i="3"/>
  <c r="K7" i="14" l="1"/>
  <c r="K14" i="14" s="1"/>
  <c r="K13" i="14" l="1"/>
  <c r="I12" i="14"/>
  <c r="H12" i="14"/>
  <c r="G12" i="14"/>
  <c r="F12" i="14"/>
  <c r="F7" i="14" l="1"/>
  <c r="F14" i="14" s="1"/>
  <c r="F13" i="14" l="1"/>
  <c r="A2" i="21" l="1"/>
  <c r="E12" i="2" l="1"/>
  <c r="E11" i="2"/>
  <c r="E10" i="2"/>
  <c r="E9" i="2"/>
  <c r="E8" i="2"/>
  <c r="E7" i="2" l="1"/>
  <c r="A2" i="1"/>
  <c r="A2" i="4" l="1"/>
  <c r="H57" i="5"/>
  <c r="C15" i="3" l="1"/>
  <c r="F41" i="3" l="1"/>
  <c r="J41" i="3"/>
  <c r="G37" i="3"/>
  <c r="K37" i="3"/>
  <c r="H37" i="3"/>
  <c r="L37" i="3"/>
  <c r="J37" i="3"/>
  <c r="I37" i="3"/>
  <c r="F37" i="3"/>
  <c r="I41" i="3"/>
  <c r="L41" i="3"/>
  <c r="G41" i="3"/>
  <c r="K41" i="3"/>
  <c r="H41" i="3"/>
  <c r="H39" i="3"/>
  <c r="L39" i="3"/>
  <c r="I39" i="3"/>
  <c r="K39" i="3"/>
  <c r="F39" i="3"/>
  <c r="J39" i="3"/>
  <c r="G39" i="3"/>
  <c r="K57" i="5"/>
  <c r="E57" i="5" s="1"/>
  <c r="L178" i="14" l="1"/>
  <c r="L146" i="14"/>
  <c r="L155" i="14" s="1"/>
  <c r="L124" i="14"/>
  <c r="L122" i="14"/>
  <c r="L88" i="14"/>
  <c r="L77" i="14"/>
  <c r="L76" i="14"/>
  <c r="L54" i="14"/>
  <c r="L16" i="9"/>
  <c r="L10" i="9"/>
  <c r="L69" i="9" s="1"/>
  <c r="L8" i="9"/>
  <c r="L67" i="9" s="1"/>
  <c r="L7" i="9"/>
  <c r="L66" i="9" s="1"/>
  <c r="L119" i="1"/>
  <c r="L115" i="1"/>
  <c r="L104" i="1"/>
  <c r="L103" i="1"/>
  <c r="L102" i="1"/>
  <c r="L5" i="1"/>
  <c r="L27" i="4"/>
  <c r="L18" i="4"/>
  <c r="L15" i="21" s="1"/>
  <c r="L6" i="4"/>
  <c r="AA5" i="22"/>
  <c r="L25" i="3"/>
  <c r="L26" i="3" s="1"/>
  <c r="L17" i="4" l="1"/>
  <c r="L6" i="21"/>
  <c r="L9" i="9"/>
  <c r="L68" i="9" s="1"/>
  <c r="L67" i="3"/>
  <c r="L241" i="1"/>
  <c r="L9" i="21"/>
  <c r="L7" i="4"/>
  <c r="L7" i="21" s="1"/>
  <c r="L147" i="3" l="1"/>
  <c r="L146" i="3"/>
  <c r="L199" i="3"/>
  <c r="L202" i="3" s="1"/>
  <c r="L7" i="1"/>
  <c r="L49" i="1" s="1"/>
  <c r="L14" i="21"/>
  <c r="AA8" i="22"/>
  <c r="L6" i="9"/>
  <c r="L65" i="9" s="1"/>
  <c r="L212" i="3"/>
  <c r="L68" i="3"/>
  <c r="AA4" i="22" s="1"/>
  <c r="L8" i="4"/>
  <c r="L8" i="21" s="1"/>
  <c r="L6" i="24" l="1"/>
  <c r="L5" i="24"/>
  <c r="L7" i="24" s="1"/>
  <c r="L8" i="1"/>
  <c r="L46" i="1"/>
  <c r="L47" i="1" s="1"/>
  <c r="L48" i="1" s="1"/>
  <c r="L246" i="1" l="1"/>
  <c r="L193" i="1"/>
  <c r="L199" i="1" s="1"/>
  <c r="L204" i="1" l="1"/>
  <c r="L209" i="1" l="1"/>
  <c r="L219" i="1" l="1"/>
  <c r="L235" i="1" l="1"/>
  <c r="L225" i="1"/>
  <c r="L240" i="1" l="1"/>
  <c r="L230" i="1"/>
  <c r="K18" i="4" l="1"/>
  <c r="K15" i="21" s="1"/>
  <c r="J18" i="4"/>
  <c r="J15" i="21" s="1"/>
  <c r="I18" i="4"/>
  <c r="I15" i="21" s="1"/>
  <c r="H18" i="4"/>
  <c r="H15" i="21" s="1"/>
  <c r="G18" i="4"/>
  <c r="G15" i="21" s="1"/>
  <c r="F18" i="4"/>
  <c r="F15" i="21" s="1"/>
  <c r="K178" i="14"/>
  <c r="K146" i="14"/>
  <c r="K155" i="14" s="1"/>
  <c r="K124" i="14"/>
  <c r="K122" i="14"/>
  <c r="K88" i="14"/>
  <c r="K77" i="14"/>
  <c r="K76" i="14"/>
  <c r="K54" i="14"/>
  <c r="K16" i="9"/>
  <c r="K10" i="9"/>
  <c r="K69" i="9" s="1"/>
  <c r="K8" i="9"/>
  <c r="K67" i="9" s="1"/>
  <c r="K7" i="9"/>
  <c r="K66" i="9" s="1"/>
  <c r="K119" i="1"/>
  <c r="K115" i="1"/>
  <c r="K104" i="1"/>
  <c r="K103" i="1"/>
  <c r="K102" i="1"/>
  <c r="K5" i="1"/>
  <c r="J5" i="1"/>
  <c r="J102" i="1"/>
  <c r="J103" i="1"/>
  <c r="J104" i="1"/>
  <c r="J115" i="1"/>
  <c r="J119" i="1"/>
  <c r="K27" i="4"/>
  <c r="K6" i="4"/>
  <c r="K25" i="3"/>
  <c r="K26" i="3" s="1"/>
  <c r="X5" i="22"/>
  <c r="K17" i="4" l="1"/>
  <c r="K6" i="21"/>
  <c r="K9" i="9"/>
  <c r="K68" i="9" s="1"/>
  <c r="K241" i="1"/>
  <c r="K9" i="21"/>
  <c r="K7" i="4"/>
  <c r="K7" i="21" s="1"/>
  <c r="K67" i="3"/>
  <c r="K147" i="3" l="1"/>
  <c r="K146" i="3"/>
  <c r="K199" i="3"/>
  <c r="K202" i="3" s="1"/>
  <c r="K14" i="21"/>
  <c r="X8" i="22"/>
  <c r="K6" i="9"/>
  <c r="K65" i="9" s="1"/>
  <c r="K212" i="3"/>
  <c r="K68" i="3"/>
  <c r="X4" i="22" s="1"/>
  <c r="K8" i="4"/>
  <c r="K8" i="21" s="1"/>
  <c r="K7" i="1"/>
  <c r="K6" i="24" l="1"/>
  <c r="K5" i="24"/>
  <c r="K7" i="24" s="1"/>
  <c r="K49" i="1"/>
  <c r="K8" i="1"/>
  <c r="K46" i="1"/>
  <c r="K47" i="1" s="1"/>
  <c r="K48" i="1" s="1"/>
  <c r="K246" i="1" l="1"/>
  <c r="K193" i="1"/>
  <c r="K199" i="1" l="1"/>
  <c r="K204" i="1" l="1"/>
  <c r="K209" i="1" l="1"/>
  <c r="K219" i="1" l="1"/>
  <c r="K225" i="1" l="1"/>
  <c r="K235" i="1"/>
  <c r="G27" i="4"/>
  <c r="K230" i="1" l="1"/>
  <c r="K240" i="1"/>
  <c r="F27" i="4"/>
  <c r="C42" i="4"/>
  <c r="J20" i="15" l="1"/>
  <c r="S20" i="15"/>
  <c r="P20" i="15"/>
  <c r="M20" i="15"/>
  <c r="G20" i="15"/>
  <c r="D20" i="15"/>
  <c r="I16" i="15"/>
  <c r="R16" i="15"/>
  <c r="O16" i="15"/>
  <c r="L16" i="15"/>
  <c r="F16" i="15"/>
  <c r="C16" i="15"/>
  <c r="I15" i="15"/>
  <c r="R15" i="15"/>
  <c r="O15" i="15"/>
  <c r="L15" i="15"/>
  <c r="F15" i="15"/>
  <c r="C15" i="15"/>
  <c r="J12" i="15"/>
  <c r="I12" i="15"/>
  <c r="S12" i="15"/>
  <c r="R12" i="15"/>
  <c r="P12" i="15"/>
  <c r="O12" i="15"/>
  <c r="M12" i="15"/>
  <c r="L12" i="15"/>
  <c r="G12" i="15"/>
  <c r="F12" i="15"/>
  <c r="D12" i="15"/>
  <c r="C12" i="15"/>
  <c r="J5" i="15"/>
  <c r="J7" i="15" s="1"/>
  <c r="S5" i="15"/>
  <c r="R14" i="15" s="1"/>
  <c r="P5" i="15"/>
  <c r="M5" i="15"/>
  <c r="L14" i="15" s="1"/>
  <c r="G5" i="15"/>
  <c r="G7" i="15" s="1"/>
  <c r="D5" i="15"/>
  <c r="C14" i="15" s="1"/>
  <c r="G198" i="14"/>
  <c r="G197" i="14"/>
  <c r="G196" i="14"/>
  <c r="G195" i="14"/>
  <c r="J178" i="14"/>
  <c r="I178" i="14"/>
  <c r="H178" i="14"/>
  <c r="G178" i="14"/>
  <c r="F178" i="14"/>
  <c r="J146" i="14"/>
  <c r="J155" i="14" s="1"/>
  <c r="I146" i="14"/>
  <c r="I155" i="14" s="1"/>
  <c r="H146" i="14"/>
  <c r="H155" i="14" s="1"/>
  <c r="G146" i="14"/>
  <c r="G155" i="14" s="1"/>
  <c r="F146" i="14"/>
  <c r="F155" i="14" s="1"/>
  <c r="J124" i="14"/>
  <c r="I124" i="14"/>
  <c r="H124" i="14"/>
  <c r="G124" i="14"/>
  <c r="F124" i="14"/>
  <c r="J122" i="14"/>
  <c r="I122" i="14"/>
  <c r="H122" i="14"/>
  <c r="G122" i="14"/>
  <c r="F122" i="14"/>
  <c r="J88" i="14"/>
  <c r="I88" i="14"/>
  <c r="H88" i="14"/>
  <c r="G88" i="14"/>
  <c r="F88" i="14"/>
  <c r="J77" i="14"/>
  <c r="I77" i="14"/>
  <c r="H77" i="14"/>
  <c r="G77" i="14"/>
  <c r="F77" i="14"/>
  <c r="J76" i="14"/>
  <c r="I76" i="14"/>
  <c r="H76" i="14"/>
  <c r="G76" i="14"/>
  <c r="F76" i="14"/>
  <c r="F72" i="14"/>
  <c r="F132" i="3" s="1"/>
  <c r="F66" i="14"/>
  <c r="J54" i="14"/>
  <c r="I54" i="14"/>
  <c r="H54" i="14"/>
  <c r="G54" i="14"/>
  <c r="F54" i="14"/>
  <c r="I17" i="14"/>
  <c r="H17" i="14"/>
  <c r="G17" i="14"/>
  <c r="F17" i="14"/>
  <c r="I15" i="14"/>
  <c r="H15" i="14"/>
  <c r="G15" i="14"/>
  <c r="F15" i="14"/>
  <c r="J16" i="9"/>
  <c r="I16" i="9"/>
  <c r="H16" i="9"/>
  <c r="G16" i="9"/>
  <c r="F16" i="9"/>
  <c r="J10" i="9"/>
  <c r="J69" i="9" s="1"/>
  <c r="I10" i="9"/>
  <c r="I69" i="9" s="1"/>
  <c r="H10" i="9"/>
  <c r="H69" i="9" s="1"/>
  <c r="G10" i="9"/>
  <c r="G69" i="9" s="1"/>
  <c r="F10" i="9"/>
  <c r="F69" i="9" s="1"/>
  <c r="J8" i="9"/>
  <c r="J67" i="9" s="1"/>
  <c r="I8" i="9"/>
  <c r="I67" i="9" s="1"/>
  <c r="H8" i="9"/>
  <c r="H67" i="9" s="1"/>
  <c r="G8" i="9"/>
  <c r="G67" i="9" s="1"/>
  <c r="F8" i="9"/>
  <c r="F67" i="9" s="1"/>
  <c r="J7" i="9"/>
  <c r="J66" i="9" s="1"/>
  <c r="I7" i="9"/>
  <c r="I66" i="9" s="1"/>
  <c r="H7" i="9"/>
  <c r="H66" i="9" s="1"/>
  <c r="G7" i="9"/>
  <c r="G66" i="9" s="1"/>
  <c r="F7" i="9"/>
  <c r="F66" i="9" s="1"/>
  <c r="D142" i="2"/>
  <c r="D141" i="2"/>
  <c r="D140" i="2"/>
  <c r="D99" i="2"/>
  <c r="D151" i="1" s="1"/>
  <c r="D93" i="2"/>
  <c r="J49" i="2"/>
  <c r="J18" i="2"/>
  <c r="E254" i="1"/>
  <c r="D254" i="1"/>
  <c r="E253" i="1"/>
  <c r="D253" i="1"/>
  <c r="E252" i="1"/>
  <c r="D252" i="1"/>
  <c r="E249" i="1"/>
  <c r="D249" i="1"/>
  <c r="E248" i="1"/>
  <c r="D248" i="1"/>
  <c r="E247" i="1"/>
  <c r="D247" i="1"/>
  <c r="E244" i="1"/>
  <c r="D244" i="1"/>
  <c r="E243" i="1"/>
  <c r="D243" i="1"/>
  <c r="E242" i="1"/>
  <c r="D242" i="1"/>
  <c r="E241" i="1"/>
  <c r="D241" i="1"/>
  <c r="E238" i="1"/>
  <c r="D238" i="1"/>
  <c r="E237" i="1"/>
  <c r="D237" i="1"/>
  <c r="E236" i="1"/>
  <c r="D236" i="1"/>
  <c r="E233" i="1"/>
  <c r="D233" i="1"/>
  <c r="E232" i="1"/>
  <c r="D232" i="1"/>
  <c r="E231" i="1"/>
  <c r="D231" i="1"/>
  <c r="E228" i="1"/>
  <c r="D228" i="1"/>
  <c r="E227" i="1"/>
  <c r="D227" i="1"/>
  <c r="E226" i="1"/>
  <c r="D226" i="1"/>
  <c r="E223" i="1"/>
  <c r="D223" i="1"/>
  <c r="E222" i="1"/>
  <c r="D222" i="1"/>
  <c r="E221" i="1"/>
  <c r="D221" i="1"/>
  <c r="E220" i="1"/>
  <c r="D220" i="1"/>
  <c r="E217" i="1"/>
  <c r="D217" i="1"/>
  <c r="E216" i="1"/>
  <c r="D216" i="1"/>
  <c r="E215" i="1"/>
  <c r="E212" i="1"/>
  <c r="D212" i="1"/>
  <c r="E211" i="1"/>
  <c r="D211" i="1"/>
  <c r="E210" i="1"/>
  <c r="D210" i="1"/>
  <c r="E207" i="1"/>
  <c r="D207" i="1"/>
  <c r="E206" i="1"/>
  <c r="D206" i="1"/>
  <c r="E205" i="1"/>
  <c r="D205" i="1"/>
  <c r="E202" i="1"/>
  <c r="D202" i="1"/>
  <c r="E201" i="1"/>
  <c r="D201" i="1"/>
  <c r="E200" i="1"/>
  <c r="D200" i="1"/>
  <c r="E197" i="1"/>
  <c r="D197" i="1"/>
  <c r="E196" i="1"/>
  <c r="D196" i="1"/>
  <c r="E195" i="1"/>
  <c r="D195" i="1"/>
  <c r="E194" i="1"/>
  <c r="D194" i="1"/>
  <c r="E190" i="1"/>
  <c r="D190" i="1"/>
  <c r="E189" i="1"/>
  <c r="D189" i="1"/>
  <c r="E188" i="1"/>
  <c r="D188" i="1"/>
  <c r="E185" i="1"/>
  <c r="D185" i="1"/>
  <c r="E184" i="1"/>
  <c r="D184" i="1"/>
  <c r="E183" i="1"/>
  <c r="D183" i="1"/>
  <c r="E180" i="1"/>
  <c r="D180" i="1"/>
  <c r="E179" i="1"/>
  <c r="D179" i="1"/>
  <c r="E178" i="1"/>
  <c r="D178" i="1"/>
  <c r="E175" i="1"/>
  <c r="D175" i="1"/>
  <c r="E174" i="1"/>
  <c r="D174" i="1"/>
  <c r="E173" i="1"/>
  <c r="D173" i="1"/>
  <c r="E170" i="1"/>
  <c r="D170" i="1"/>
  <c r="E169" i="1"/>
  <c r="D169" i="1"/>
  <c r="E168" i="1"/>
  <c r="D168" i="1"/>
  <c r="E165" i="1"/>
  <c r="D165" i="1"/>
  <c r="E164" i="1"/>
  <c r="D164" i="1"/>
  <c r="E163" i="1"/>
  <c r="D163" i="1"/>
  <c r="E159" i="1"/>
  <c r="D159" i="1"/>
  <c r="E158" i="1"/>
  <c r="D158" i="1"/>
  <c r="E157" i="1"/>
  <c r="D157" i="1"/>
  <c r="E154" i="1"/>
  <c r="D154" i="1"/>
  <c r="E153" i="1"/>
  <c r="D153" i="1"/>
  <c r="E152" i="1"/>
  <c r="D152" i="1"/>
  <c r="E148" i="1"/>
  <c r="D148" i="1"/>
  <c r="E147" i="1"/>
  <c r="D147" i="1"/>
  <c r="E146" i="1"/>
  <c r="D146" i="1"/>
  <c r="D145" i="1"/>
  <c r="E141" i="1"/>
  <c r="D141" i="1"/>
  <c r="E140" i="1"/>
  <c r="D140" i="1"/>
  <c r="E139" i="1"/>
  <c r="D139" i="1"/>
  <c r="E136" i="1"/>
  <c r="D136" i="1"/>
  <c r="E135" i="1"/>
  <c r="D135" i="1"/>
  <c r="E134" i="1"/>
  <c r="D134" i="1"/>
  <c r="E129" i="1"/>
  <c r="D129" i="1"/>
  <c r="E128" i="1"/>
  <c r="D128" i="1"/>
  <c r="E127" i="1"/>
  <c r="D127" i="1"/>
  <c r="I119" i="1"/>
  <c r="H119" i="1"/>
  <c r="G119" i="1"/>
  <c r="F119" i="1"/>
  <c r="F105" i="1"/>
  <c r="I115" i="1"/>
  <c r="H115" i="1"/>
  <c r="G115" i="1"/>
  <c r="F115" i="1"/>
  <c r="F114" i="1"/>
  <c r="F113" i="1"/>
  <c r="F111" i="1"/>
  <c r="I104" i="1"/>
  <c r="H104" i="1"/>
  <c r="G104" i="1"/>
  <c r="F104" i="1"/>
  <c r="I103" i="1"/>
  <c r="H103" i="1"/>
  <c r="G103" i="1"/>
  <c r="F103" i="1"/>
  <c r="I102" i="1"/>
  <c r="H102" i="1"/>
  <c r="G102" i="1"/>
  <c r="F102" i="1"/>
  <c r="E90" i="1"/>
  <c r="E86" i="1"/>
  <c r="E85" i="1"/>
  <c r="E84" i="1"/>
  <c r="E30" i="1"/>
  <c r="I5" i="1"/>
  <c r="H5" i="1"/>
  <c r="G5" i="1"/>
  <c r="F5" i="1"/>
  <c r="J27" i="4"/>
  <c r="I27" i="4"/>
  <c r="H27" i="4"/>
  <c r="J6" i="4"/>
  <c r="I6" i="4"/>
  <c r="H6" i="4"/>
  <c r="G6" i="4"/>
  <c r="F6" i="4"/>
  <c r="J7" i="14"/>
  <c r="J14" i="14" s="1"/>
  <c r="I7" i="14"/>
  <c r="I14" i="14" s="1"/>
  <c r="H7" i="14"/>
  <c r="H14" i="14" s="1"/>
  <c r="G7" i="14"/>
  <c r="G14" i="14" s="1"/>
  <c r="I25" i="22"/>
  <c r="U5" i="22"/>
  <c r="R5" i="22"/>
  <c r="O5" i="22"/>
  <c r="L5" i="22"/>
  <c r="J25" i="3"/>
  <c r="J26" i="3" s="1"/>
  <c r="I25" i="3"/>
  <c r="I26" i="3" s="1"/>
  <c r="H25" i="3"/>
  <c r="H26" i="3" s="1"/>
  <c r="G25" i="3"/>
  <c r="G26" i="3" s="1"/>
  <c r="F25" i="3"/>
  <c r="F26" i="3" s="1"/>
  <c r="E29" i="2"/>
  <c r="E65" i="1" s="1"/>
  <c r="D29" i="2"/>
  <c r="D65" i="1" s="1"/>
  <c r="E28" i="2"/>
  <c r="E64" i="1" s="1"/>
  <c r="D28" i="2"/>
  <c r="D64" i="1" s="1"/>
  <c r="E27" i="2"/>
  <c r="E63" i="1" s="1"/>
  <c r="D27" i="2"/>
  <c r="E26" i="2"/>
  <c r="E62" i="1" s="1"/>
  <c r="D26" i="2"/>
  <c r="D62" i="1" s="1"/>
  <c r="E25" i="2"/>
  <c r="D25" i="2"/>
  <c r="E24" i="2"/>
  <c r="E61" i="1" s="1"/>
  <c r="D24" i="2"/>
  <c r="D61" i="1" s="1"/>
  <c r="E23" i="2"/>
  <c r="E60" i="1" s="1"/>
  <c r="D23" i="2"/>
  <c r="D60" i="1" s="1"/>
  <c r="E22" i="2"/>
  <c r="E59" i="1" s="1"/>
  <c r="D22" i="2"/>
  <c r="D59" i="1" s="1"/>
  <c r="E20" i="2"/>
  <c r="E57" i="1" s="1"/>
  <c r="D20" i="2"/>
  <c r="D57" i="1" s="1"/>
  <c r="E19" i="2"/>
  <c r="E56" i="1" s="1"/>
  <c r="D19" i="2"/>
  <c r="D56" i="1" s="1"/>
  <c r="E17" i="2"/>
  <c r="E55" i="1" s="1"/>
  <c r="D17" i="2"/>
  <c r="D55" i="1" s="1"/>
  <c r="E16" i="2"/>
  <c r="E54" i="1" s="1"/>
  <c r="D16" i="2"/>
  <c r="D54" i="1" s="1"/>
  <c r="K67" i="5"/>
  <c r="J67" i="5"/>
  <c r="I67" i="5"/>
  <c r="G67" i="5"/>
  <c r="F67" i="5"/>
  <c r="I57" i="5"/>
  <c r="G57" i="5"/>
  <c r="F57" i="5"/>
  <c r="E21" i="3"/>
  <c r="K39" i="5"/>
  <c r="E39" i="5" s="1"/>
  <c r="J39" i="5"/>
  <c r="I39" i="5"/>
  <c r="G39" i="5"/>
  <c r="F39" i="5"/>
  <c r="D20" i="3"/>
  <c r="D19" i="3"/>
  <c r="C19" i="3"/>
  <c r="D18" i="3"/>
  <c r="C18" i="3"/>
  <c r="E18" i="3" s="1"/>
  <c r="E14" i="3"/>
  <c r="E13" i="3"/>
  <c r="E12" i="3"/>
  <c r="D14" i="3"/>
  <c r="D13" i="3"/>
  <c r="K21" i="5"/>
  <c r="E21" i="5" s="1"/>
  <c r="J21" i="5"/>
  <c r="I21" i="5"/>
  <c r="G21" i="5"/>
  <c r="E8" i="3"/>
  <c r="E7" i="3"/>
  <c r="E6" i="3"/>
  <c r="C9" i="3"/>
  <c r="D8" i="3"/>
  <c r="D7" i="3"/>
  <c r="K8" i="5"/>
  <c r="E8" i="5" s="1"/>
  <c r="J8" i="5"/>
  <c r="I8" i="5"/>
  <c r="G8" i="5"/>
  <c r="O14" i="15" l="1"/>
  <c r="D16" i="15"/>
  <c r="S16" i="15"/>
  <c r="F14" i="15"/>
  <c r="I14" i="15"/>
  <c r="G16" i="15"/>
  <c r="J16" i="15"/>
  <c r="M16" i="15"/>
  <c r="P7" i="15"/>
  <c r="P16" i="15"/>
  <c r="E20" i="3"/>
  <c r="H45" i="3"/>
  <c r="G45" i="3"/>
  <c r="K45" i="3"/>
  <c r="I45" i="3"/>
  <c r="J45" i="3"/>
  <c r="F45" i="3"/>
  <c r="L45" i="3"/>
  <c r="I13" i="14"/>
  <c r="J13" i="14"/>
  <c r="D6" i="3"/>
  <c r="E10" i="3" s="1"/>
  <c r="L84" i="3"/>
  <c r="H84" i="3"/>
  <c r="K84" i="3"/>
  <c r="G84" i="3"/>
  <c r="J84" i="3"/>
  <c r="I84" i="3"/>
  <c r="F171" i="3"/>
  <c r="F158" i="3"/>
  <c r="F84" i="3"/>
  <c r="I5" i="22"/>
  <c r="F73" i="14"/>
  <c r="G13" i="14"/>
  <c r="H13" i="14"/>
  <c r="G17" i="4"/>
  <c r="G6" i="9" s="1"/>
  <c r="G65" i="9" s="1"/>
  <c r="G6" i="21"/>
  <c r="I17" i="4"/>
  <c r="I6" i="9" s="1"/>
  <c r="I65" i="9" s="1"/>
  <c r="I6" i="21"/>
  <c r="F17" i="4"/>
  <c r="I8" i="22" s="1"/>
  <c r="F6" i="21"/>
  <c r="H17" i="4"/>
  <c r="H6" i="9" s="1"/>
  <c r="H65" i="9" s="1"/>
  <c r="H6" i="21"/>
  <c r="J17" i="4"/>
  <c r="J6" i="9" s="1"/>
  <c r="J65" i="9" s="1"/>
  <c r="J6" i="21"/>
  <c r="D7" i="15"/>
  <c r="M7" i="15"/>
  <c r="S7" i="15"/>
  <c r="C20" i="15"/>
  <c r="C21" i="15" s="1"/>
  <c r="F20" i="15"/>
  <c r="F21" i="15" s="1"/>
  <c r="L20" i="15"/>
  <c r="L21" i="15" s="1"/>
  <c r="O20" i="15"/>
  <c r="O21" i="15" s="1"/>
  <c r="R20" i="15"/>
  <c r="R21" i="15" s="1"/>
  <c r="I20" i="15"/>
  <c r="I21" i="15" s="1"/>
  <c r="L25" i="22"/>
  <c r="D12" i="3"/>
  <c r="E16" i="3" s="1"/>
  <c r="E16" i="1"/>
  <c r="E22" i="1"/>
  <c r="E29" i="1"/>
  <c r="E31" i="1"/>
  <c r="E28" i="1"/>
  <c r="L65" i="1"/>
  <c r="L195" i="1"/>
  <c r="K195" i="1"/>
  <c r="L197" i="1"/>
  <c r="K197" i="1"/>
  <c r="L200" i="1"/>
  <c r="K200" i="1"/>
  <c r="L201" i="1"/>
  <c r="K201" i="1"/>
  <c r="L202" i="1"/>
  <c r="K202" i="1"/>
  <c r="L205" i="1"/>
  <c r="K205" i="1"/>
  <c r="L206" i="1"/>
  <c r="K206" i="1"/>
  <c r="L207" i="1"/>
  <c r="K207" i="1"/>
  <c r="L210" i="1"/>
  <c r="K210" i="1"/>
  <c r="L211" i="1"/>
  <c r="K211" i="1"/>
  <c r="L212" i="1"/>
  <c r="K212" i="1"/>
  <c r="L221" i="1"/>
  <c r="K221" i="1"/>
  <c r="L226" i="1"/>
  <c r="K226" i="1"/>
  <c r="L227" i="1"/>
  <c r="K227" i="1"/>
  <c r="L228" i="1"/>
  <c r="K228" i="1"/>
  <c r="L231" i="1"/>
  <c r="K231" i="1"/>
  <c r="L232" i="1"/>
  <c r="K232" i="1"/>
  <c r="L233" i="1"/>
  <c r="K233" i="1"/>
  <c r="L236" i="1"/>
  <c r="K236" i="1"/>
  <c r="L237" i="1"/>
  <c r="K237" i="1"/>
  <c r="L238" i="1"/>
  <c r="K238" i="1"/>
  <c r="L242" i="1"/>
  <c r="K242" i="1"/>
  <c r="L243" i="1"/>
  <c r="K243" i="1"/>
  <c r="L244" i="1"/>
  <c r="K244" i="1"/>
  <c r="L247" i="1"/>
  <c r="K247" i="1"/>
  <c r="L248" i="1"/>
  <c r="L48" i="21" s="1"/>
  <c r="L78" i="21" s="1"/>
  <c r="K248" i="1"/>
  <c r="K48" i="21" s="1"/>
  <c r="K78" i="21" s="1"/>
  <c r="L249" i="1"/>
  <c r="L57" i="21" s="1"/>
  <c r="L87" i="21" s="1"/>
  <c r="K249" i="1"/>
  <c r="K57" i="21" s="1"/>
  <c r="K87" i="21" s="1"/>
  <c r="L51" i="3"/>
  <c r="H9" i="21"/>
  <c r="F9" i="21"/>
  <c r="J9" i="21"/>
  <c r="J241" i="1"/>
  <c r="F105" i="14"/>
  <c r="G9" i="21"/>
  <c r="I9" i="21"/>
  <c r="K46" i="14"/>
  <c r="L46" i="14"/>
  <c r="K42" i="14"/>
  <c r="L42" i="14"/>
  <c r="K43" i="14"/>
  <c r="L43" i="14"/>
  <c r="K65" i="1"/>
  <c r="J65" i="1"/>
  <c r="I7" i="4"/>
  <c r="I7" i="21" s="1"/>
  <c r="G7" i="4"/>
  <c r="G7" i="21" s="1"/>
  <c r="G66" i="14"/>
  <c r="F68" i="14"/>
  <c r="F112" i="14"/>
  <c r="F119" i="14" s="1"/>
  <c r="F139" i="14"/>
  <c r="F141" i="14" s="1"/>
  <c r="F167" i="14"/>
  <c r="F7" i="4"/>
  <c r="F7" i="21" s="1"/>
  <c r="H7" i="4"/>
  <c r="H7" i="21" s="1"/>
  <c r="J7" i="4"/>
  <c r="J7" i="21" s="1"/>
  <c r="H9" i="9"/>
  <c r="H68" i="9" s="1"/>
  <c r="H241" i="1"/>
  <c r="J9" i="9"/>
  <c r="J68" i="9" s="1"/>
  <c r="H67" i="3"/>
  <c r="J67" i="3"/>
  <c r="G9" i="9"/>
  <c r="G68" i="9" s="1"/>
  <c r="G241" i="1"/>
  <c r="I9" i="9"/>
  <c r="I68" i="9" s="1"/>
  <c r="I241" i="1"/>
  <c r="G67" i="3"/>
  <c r="I67" i="3"/>
  <c r="F67" i="3"/>
  <c r="F112" i="1"/>
  <c r="F116" i="1" s="1"/>
  <c r="K25" i="22" s="1"/>
  <c r="F241" i="1"/>
  <c r="F9" i="9"/>
  <c r="F68" i="9" s="1"/>
  <c r="J42" i="14"/>
  <c r="H42" i="14"/>
  <c r="F42" i="14"/>
  <c r="I42" i="14"/>
  <c r="G42" i="14"/>
  <c r="I43" i="14"/>
  <c r="G43" i="14"/>
  <c r="J43" i="14"/>
  <c r="H43" i="14"/>
  <c r="F43" i="14"/>
  <c r="D63" i="1"/>
  <c r="C35" i="2"/>
  <c r="H65" i="1"/>
  <c r="F65" i="1"/>
  <c r="I65" i="1"/>
  <c r="G65" i="1"/>
  <c r="E19" i="3"/>
  <c r="J46" i="14"/>
  <c r="H46" i="14"/>
  <c r="F46" i="14"/>
  <c r="I46" i="14"/>
  <c r="G46" i="14"/>
  <c r="G72" i="14"/>
  <c r="G132" i="3" s="1"/>
  <c r="G105" i="1"/>
  <c r="G113" i="1"/>
  <c r="G111" i="1"/>
  <c r="G114" i="1"/>
  <c r="G112" i="1"/>
  <c r="G158" i="3" l="1"/>
  <c r="G171" i="3"/>
  <c r="I147" i="3"/>
  <c r="I146" i="3"/>
  <c r="J147" i="3"/>
  <c r="J146" i="3"/>
  <c r="G147" i="3"/>
  <c r="G146" i="3"/>
  <c r="H147" i="3"/>
  <c r="H146" i="3"/>
  <c r="I199" i="3"/>
  <c r="I202" i="3" s="1"/>
  <c r="J199" i="3"/>
  <c r="J202" i="3" s="1"/>
  <c r="G199" i="3"/>
  <c r="G202" i="3" s="1"/>
  <c r="H199" i="3"/>
  <c r="H202" i="3" s="1"/>
  <c r="F199" i="3"/>
  <c r="F202" i="3" s="1"/>
  <c r="F147" i="3"/>
  <c r="F5" i="24" s="1"/>
  <c r="F7" i="24" s="1"/>
  <c r="F146" i="3"/>
  <c r="G73" i="14"/>
  <c r="D10" i="3"/>
  <c r="F38" i="3"/>
  <c r="J38" i="3"/>
  <c r="K38" i="3"/>
  <c r="H38" i="3"/>
  <c r="G38" i="3"/>
  <c r="I38" i="3"/>
  <c r="L38" i="3"/>
  <c r="D16" i="3"/>
  <c r="H40" i="3"/>
  <c r="L40" i="3"/>
  <c r="J40" i="3"/>
  <c r="I40" i="3"/>
  <c r="G40" i="3"/>
  <c r="F40" i="3"/>
  <c r="K40" i="3"/>
  <c r="L38" i="21"/>
  <c r="L68" i="21" s="1"/>
  <c r="L15" i="4"/>
  <c r="AA9" i="22" s="1"/>
  <c r="L56" i="21"/>
  <c r="L86" i="21" s="1"/>
  <c r="F212" i="3"/>
  <c r="L47" i="21"/>
  <c r="L77" i="21" s="1"/>
  <c r="F6" i="9"/>
  <c r="F65" i="9" s="1"/>
  <c r="J212" i="3"/>
  <c r="U8" i="22"/>
  <c r="G212" i="3"/>
  <c r="L8" i="22"/>
  <c r="H14" i="21"/>
  <c r="O8" i="22"/>
  <c r="I212" i="3"/>
  <c r="R8" i="22"/>
  <c r="J14" i="21"/>
  <c r="G14" i="21"/>
  <c r="H212" i="3"/>
  <c r="I14" i="21"/>
  <c r="F14" i="21"/>
  <c r="L45" i="4"/>
  <c r="L33" i="9" s="1"/>
  <c r="L92" i="9" s="1"/>
  <c r="O25" i="22"/>
  <c r="K47" i="21"/>
  <c r="K77" i="21" s="1"/>
  <c r="K45" i="4"/>
  <c r="K33" i="9" s="1"/>
  <c r="K92" i="9" s="1"/>
  <c r="K47" i="4"/>
  <c r="K35" i="9" s="1"/>
  <c r="K94" i="9" s="1"/>
  <c r="K39" i="21"/>
  <c r="K69" i="21" s="1"/>
  <c r="K105" i="21" s="1"/>
  <c r="L47" i="4"/>
  <c r="L35" i="9" s="1"/>
  <c r="L94" i="9" s="1"/>
  <c r="L39" i="21"/>
  <c r="L69" i="21" s="1"/>
  <c r="L105" i="21" s="1"/>
  <c r="K56" i="21"/>
  <c r="K86" i="21" s="1"/>
  <c r="K34" i="9"/>
  <c r="K38" i="21"/>
  <c r="K68" i="21" s="1"/>
  <c r="K46" i="4"/>
  <c r="L46" i="4"/>
  <c r="L34" i="9"/>
  <c r="K37" i="21"/>
  <c r="K67" i="21" s="1"/>
  <c r="L37" i="21"/>
  <c r="L67" i="21" s="1"/>
  <c r="K51" i="3"/>
  <c r="J7" i="1"/>
  <c r="F32" i="21"/>
  <c r="F71" i="4"/>
  <c r="G167" i="14"/>
  <c r="G139" i="14"/>
  <c r="G141" i="14" s="1"/>
  <c r="G112" i="14"/>
  <c r="G119" i="14" s="1"/>
  <c r="G68" i="14"/>
  <c r="G105" i="14"/>
  <c r="H66" i="14"/>
  <c r="I68" i="3"/>
  <c r="R4" i="22" s="1"/>
  <c r="I7" i="1"/>
  <c r="I8" i="4"/>
  <c r="I8" i="21" s="1"/>
  <c r="H7" i="1"/>
  <c r="H8" i="4"/>
  <c r="H8" i="21" s="1"/>
  <c r="H68" i="3"/>
  <c r="O4" i="22" s="1"/>
  <c r="G68" i="3"/>
  <c r="L4" i="22" s="1"/>
  <c r="G7" i="1"/>
  <c r="G8" i="4"/>
  <c r="G8" i="21" s="1"/>
  <c r="J8" i="4"/>
  <c r="J8" i="21" s="1"/>
  <c r="J68" i="3"/>
  <c r="U4" i="22" s="1"/>
  <c r="F68" i="3"/>
  <c r="I4" i="22" s="1"/>
  <c r="F7" i="1"/>
  <c r="F8" i="4"/>
  <c r="F8" i="21" s="1"/>
  <c r="G116" i="1"/>
  <c r="N25" i="22" s="1"/>
  <c r="H114" i="1"/>
  <c r="H112" i="1"/>
  <c r="H72" i="14"/>
  <c r="H132" i="3" s="1"/>
  <c r="H105" i="1"/>
  <c r="H113" i="1"/>
  <c r="H111" i="1"/>
  <c r="I5" i="24" l="1"/>
  <c r="I7" i="24" s="1"/>
  <c r="I6" i="24"/>
  <c r="G6" i="24"/>
  <c r="G5" i="24"/>
  <c r="G7" i="24" s="1"/>
  <c r="H6" i="24"/>
  <c r="H5" i="24"/>
  <c r="H7" i="24" s="1"/>
  <c r="J5" i="24"/>
  <c r="J7" i="24" s="1"/>
  <c r="J6" i="24"/>
  <c r="H51" i="3"/>
  <c r="J51" i="3"/>
  <c r="G51" i="3"/>
  <c r="I51" i="3"/>
  <c r="F51" i="3"/>
  <c r="F6" i="24"/>
  <c r="L93" i="3"/>
  <c r="H93" i="3"/>
  <c r="G93" i="3"/>
  <c r="K93" i="3"/>
  <c r="I93" i="3"/>
  <c r="J93" i="3"/>
  <c r="H158" i="3"/>
  <c r="H171" i="3"/>
  <c r="F93" i="3"/>
  <c r="H73" i="14"/>
  <c r="L12" i="21"/>
  <c r="I15" i="4"/>
  <c r="I12" i="21" s="1"/>
  <c r="G15" i="4"/>
  <c r="G12" i="21" s="1"/>
  <c r="K15" i="4"/>
  <c r="X9" i="22" s="1"/>
  <c r="J15" i="4"/>
  <c r="J12" i="21" s="1"/>
  <c r="L104" i="21"/>
  <c r="F15" i="4"/>
  <c r="I9" i="22" s="1"/>
  <c r="H15" i="4"/>
  <c r="H12" i="21" s="1"/>
  <c r="R25" i="22"/>
  <c r="K104" i="21"/>
  <c r="G32" i="21"/>
  <c r="G71" i="4"/>
  <c r="F110" i="21"/>
  <c r="J8" i="1"/>
  <c r="J49" i="1"/>
  <c r="J46" i="1"/>
  <c r="J47" i="1" s="1"/>
  <c r="J48" i="1" s="1"/>
  <c r="I66" i="14"/>
  <c r="H105" i="14"/>
  <c r="H167" i="14"/>
  <c r="H139" i="14"/>
  <c r="H141" i="14" s="1"/>
  <c r="H112" i="14"/>
  <c r="H119" i="14" s="1"/>
  <c r="H68" i="14"/>
  <c r="G49" i="1"/>
  <c r="G46" i="1"/>
  <c r="G47" i="1" s="1"/>
  <c r="G48" i="1" s="1"/>
  <c r="G8" i="1"/>
  <c r="H49" i="1"/>
  <c r="H46" i="1"/>
  <c r="H47" i="1" s="1"/>
  <c r="H48" i="1" s="1"/>
  <c r="H8" i="1"/>
  <c r="I49" i="1"/>
  <c r="I46" i="1"/>
  <c r="I47" i="1" s="1"/>
  <c r="I48" i="1" s="1"/>
  <c r="I8" i="1"/>
  <c r="F49" i="1"/>
  <c r="F8" i="1"/>
  <c r="F46" i="1"/>
  <c r="F47" i="1" s="1"/>
  <c r="F48" i="1" s="1"/>
  <c r="I72" i="14"/>
  <c r="I132" i="3" s="1"/>
  <c r="I105" i="1"/>
  <c r="I113" i="1"/>
  <c r="I111" i="1"/>
  <c r="I114" i="1"/>
  <c r="I112" i="1"/>
  <c r="H116" i="1"/>
  <c r="Q25" i="22" s="1"/>
  <c r="I171" i="3" l="1"/>
  <c r="I158" i="3"/>
  <c r="I73" i="14"/>
  <c r="K12" i="21"/>
  <c r="L9" i="22"/>
  <c r="O9" i="22"/>
  <c r="R9" i="22"/>
  <c r="F12" i="21"/>
  <c r="U9" i="22"/>
  <c r="U25" i="22"/>
  <c r="H32" i="21"/>
  <c r="H71" i="4"/>
  <c r="G110" i="21"/>
  <c r="J111" i="1"/>
  <c r="J113" i="1"/>
  <c r="J114" i="1"/>
  <c r="J105" i="1"/>
  <c r="J112" i="1"/>
  <c r="J246" i="1"/>
  <c r="J193" i="1"/>
  <c r="I167" i="14"/>
  <c r="I139" i="14"/>
  <c r="I141" i="14" s="1"/>
  <c r="I112" i="14"/>
  <c r="I119" i="14" s="1"/>
  <c r="I68" i="14"/>
  <c r="I105" i="14"/>
  <c r="J66" i="14"/>
  <c r="I246" i="1"/>
  <c r="I193" i="1"/>
  <c r="G246" i="1"/>
  <c r="G193" i="1"/>
  <c r="H246" i="1"/>
  <c r="H193" i="1"/>
  <c r="F246" i="1"/>
  <c r="F193" i="1"/>
  <c r="J72" i="14"/>
  <c r="J132" i="3" s="1"/>
  <c r="I116" i="1"/>
  <c r="T25" i="22" s="1"/>
  <c r="J171" i="3" l="1"/>
  <c r="J158" i="3"/>
  <c r="J73" i="14"/>
  <c r="K66" i="14"/>
  <c r="X25" i="22"/>
  <c r="I32" i="21"/>
  <c r="I71" i="4"/>
  <c r="H110" i="21"/>
  <c r="L66" i="14"/>
  <c r="K72" i="14"/>
  <c r="K132" i="3" s="1"/>
  <c r="K113" i="1"/>
  <c r="K105" i="1"/>
  <c r="K114" i="1"/>
  <c r="K111" i="1"/>
  <c r="K112" i="1"/>
  <c r="J116" i="1"/>
  <c r="J32" i="21" s="1"/>
  <c r="J195" i="1"/>
  <c r="J199" i="1"/>
  <c r="J197" i="1"/>
  <c r="J247" i="1"/>
  <c r="J39" i="21" s="1"/>
  <c r="J69" i="21" s="1"/>
  <c r="J249" i="1"/>
  <c r="J57" i="21" s="1"/>
  <c r="J87" i="21" s="1"/>
  <c r="J248" i="1"/>
  <c r="J48" i="21" s="1"/>
  <c r="J78" i="21" s="1"/>
  <c r="J105" i="14"/>
  <c r="J167" i="14"/>
  <c r="J139" i="14"/>
  <c r="J141" i="14" s="1"/>
  <c r="J112" i="14"/>
  <c r="J119" i="14" s="1"/>
  <c r="J68" i="14"/>
  <c r="H249" i="1"/>
  <c r="H57" i="21" s="1"/>
  <c r="H87" i="21" s="1"/>
  <c r="H248" i="1"/>
  <c r="H48" i="21" s="1"/>
  <c r="H78" i="21" s="1"/>
  <c r="H247" i="1"/>
  <c r="H39" i="21" s="1"/>
  <c r="H69" i="21" s="1"/>
  <c r="G199" i="1"/>
  <c r="G197" i="1"/>
  <c r="G195" i="1"/>
  <c r="I249" i="1"/>
  <c r="I57" i="21" s="1"/>
  <c r="I87" i="21" s="1"/>
  <c r="I248" i="1"/>
  <c r="I48" i="21" s="1"/>
  <c r="I78" i="21" s="1"/>
  <c r="I247" i="1"/>
  <c r="I39" i="21" s="1"/>
  <c r="I69" i="21" s="1"/>
  <c r="H199" i="1"/>
  <c r="H197" i="1"/>
  <c r="H195" i="1"/>
  <c r="G249" i="1"/>
  <c r="G57" i="21" s="1"/>
  <c r="G87" i="21" s="1"/>
  <c r="G248" i="1"/>
  <c r="G48" i="21" s="1"/>
  <c r="G78" i="21" s="1"/>
  <c r="G247" i="1"/>
  <c r="G39" i="21" s="1"/>
  <c r="G69" i="21" s="1"/>
  <c r="I199" i="1"/>
  <c r="I197" i="1"/>
  <c r="I195" i="1"/>
  <c r="F197" i="1"/>
  <c r="F199" i="1"/>
  <c r="F195" i="1"/>
  <c r="F248" i="1"/>
  <c r="F48" i="21" s="1"/>
  <c r="F78" i="21" s="1"/>
  <c r="F249" i="1"/>
  <c r="F57" i="21" s="1"/>
  <c r="F87" i="21" s="1"/>
  <c r="F247" i="1"/>
  <c r="K158" i="3" l="1"/>
  <c r="K171" i="3"/>
  <c r="L158" i="3"/>
  <c r="L171" i="3"/>
  <c r="K73" i="14"/>
  <c r="K139" i="14"/>
  <c r="K141" i="14" s="1"/>
  <c r="K167" i="14"/>
  <c r="K68" i="14"/>
  <c r="K112" i="14"/>
  <c r="K119" i="14" s="1"/>
  <c r="K105" i="14"/>
  <c r="AA25" i="22"/>
  <c r="J71" i="4"/>
  <c r="W25" i="22"/>
  <c r="I110" i="21"/>
  <c r="J105" i="21"/>
  <c r="H105" i="21"/>
  <c r="L105" i="1"/>
  <c r="L114" i="1"/>
  <c r="L72" i="14"/>
  <c r="L132" i="3" s="1"/>
  <c r="L113" i="1"/>
  <c r="L111" i="1"/>
  <c r="L112" i="1"/>
  <c r="K116" i="1"/>
  <c r="L68" i="14"/>
  <c r="L139" i="14"/>
  <c r="L141" i="14" s="1"/>
  <c r="L105" i="14"/>
  <c r="L112" i="14"/>
  <c r="L119" i="14" s="1"/>
  <c r="L167" i="14"/>
  <c r="J201" i="1"/>
  <c r="J200" i="1"/>
  <c r="J204" i="1"/>
  <c r="J202" i="1"/>
  <c r="F47" i="4"/>
  <c r="F35" i="9" s="1"/>
  <c r="F94" i="9" s="1"/>
  <c r="F39" i="21"/>
  <c r="F69" i="21" s="1"/>
  <c r="F105" i="21" s="1"/>
  <c r="G105" i="21"/>
  <c r="I105" i="21"/>
  <c r="G47" i="4"/>
  <c r="G35" i="9" s="1"/>
  <c r="G94" i="9" s="1"/>
  <c r="H204" i="1"/>
  <c r="H202" i="1"/>
  <c r="H201" i="1"/>
  <c r="H200" i="1"/>
  <c r="I47" i="4"/>
  <c r="I35" i="9" s="1"/>
  <c r="I94" i="9" s="1"/>
  <c r="G204" i="1"/>
  <c r="G202" i="1"/>
  <c r="G201" i="1"/>
  <c r="G200" i="1"/>
  <c r="I204" i="1"/>
  <c r="I202" i="1"/>
  <c r="I201" i="1"/>
  <c r="I200" i="1"/>
  <c r="J47" i="4"/>
  <c r="J35" i="9" s="1"/>
  <c r="J94" i="9" s="1"/>
  <c r="H47" i="4"/>
  <c r="H35" i="9" s="1"/>
  <c r="H94" i="9" s="1"/>
  <c r="F202" i="1"/>
  <c r="F200" i="1"/>
  <c r="F204" i="1"/>
  <c r="F201" i="1"/>
  <c r="L73" i="14" l="1"/>
  <c r="K71" i="4"/>
  <c r="Z25" i="22"/>
  <c r="J110" i="21"/>
  <c r="K32" i="21"/>
  <c r="L116" i="1"/>
  <c r="J207" i="1"/>
  <c r="J206" i="1"/>
  <c r="J205" i="1"/>
  <c r="J209" i="1"/>
  <c r="I209" i="1"/>
  <c r="I207" i="1"/>
  <c r="I206" i="1"/>
  <c r="I205" i="1"/>
  <c r="G209" i="1"/>
  <c r="G207" i="1"/>
  <c r="G206" i="1"/>
  <c r="G205" i="1"/>
  <c r="H209" i="1"/>
  <c r="H207" i="1"/>
  <c r="H206" i="1"/>
  <c r="H205" i="1"/>
  <c r="F207" i="1"/>
  <c r="F205" i="1"/>
  <c r="F209" i="1"/>
  <c r="F206" i="1"/>
  <c r="L71" i="4" l="1"/>
  <c r="AC25" i="22"/>
  <c r="K110" i="21"/>
  <c r="L32" i="21"/>
  <c r="J219" i="1"/>
  <c r="J212" i="1"/>
  <c r="J211" i="1"/>
  <c r="J210" i="1"/>
  <c r="H219" i="1"/>
  <c r="H212" i="1"/>
  <c r="H211" i="1"/>
  <c r="H210" i="1"/>
  <c r="G219" i="1"/>
  <c r="G212" i="1"/>
  <c r="G211" i="1"/>
  <c r="G210" i="1"/>
  <c r="I219" i="1"/>
  <c r="I212" i="1"/>
  <c r="I211" i="1"/>
  <c r="I210" i="1"/>
  <c r="F212" i="1"/>
  <c r="F210" i="1"/>
  <c r="F219" i="1"/>
  <c r="F211" i="1"/>
  <c r="L110" i="21" l="1"/>
  <c r="J221" i="1"/>
  <c r="J225" i="1"/>
  <c r="J235" i="1"/>
  <c r="I235" i="1"/>
  <c r="I225" i="1"/>
  <c r="I221" i="1"/>
  <c r="G235" i="1"/>
  <c r="G225" i="1"/>
  <c r="G221" i="1"/>
  <c r="H235" i="1"/>
  <c r="H225" i="1"/>
  <c r="H221" i="1"/>
  <c r="F221" i="1"/>
  <c r="F235" i="1"/>
  <c r="F225" i="1"/>
  <c r="J226" i="1" l="1"/>
  <c r="J228" i="1"/>
  <c r="J230" i="1"/>
  <c r="J227" i="1"/>
  <c r="J236" i="1"/>
  <c r="J238" i="1"/>
  <c r="J240" i="1"/>
  <c r="J237" i="1"/>
  <c r="H230" i="1"/>
  <c r="H228" i="1"/>
  <c r="H227" i="1"/>
  <c r="H226" i="1"/>
  <c r="G240" i="1"/>
  <c r="G238" i="1"/>
  <c r="G237" i="1"/>
  <c r="G236" i="1"/>
  <c r="I240" i="1"/>
  <c r="I238" i="1"/>
  <c r="I237" i="1"/>
  <c r="I236" i="1"/>
  <c r="H240" i="1"/>
  <c r="H238" i="1"/>
  <c r="H237" i="1"/>
  <c r="H236" i="1"/>
  <c r="G230" i="1"/>
  <c r="G228" i="1"/>
  <c r="G227" i="1"/>
  <c r="G226" i="1"/>
  <c r="I230" i="1"/>
  <c r="I228" i="1"/>
  <c r="I227" i="1"/>
  <c r="I226" i="1"/>
  <c r="F238" i="1"/>
  <c r="F236" i="1"/>
  <c r="F240" i="1"/>
  <c r="F237" i="1"/>
  <c r="F228" i="1"/>
  <c r="F226" i="1"/>
  <c r="F230" i="1"/>
  <c r="F227" i="1"/>
  <c r="J243" i="1" l="1"/>
  <c r="J47" i="21" s="1"/>
  <c r="J77" i="21" s="1"/>
  <c r="J244" i="1"/>
  <c r="J56" i="21" s="1"/>
  <c r="J86" i="21" s="1"/>
  <c r="J242" i="1"/>
  <c r="J38" i="21" s="1"/>
  <c r="J68" i="21" s="1"/>
  <c r="J233" i="1"/>
  <c r="J231" i="1"/>
  <c r="J37" i="21" s="1"/>
  <c r="J67" i="21" s="1"/>
  <c r="J232" i="1"/>
  <c r="I233" i="1"/>
  <c r="I232" i="1"/>
  <c r="I231" i="1"/>
  <c r="I37" i="21" s="1"/>
  <c r="I67" i="21" s="1"/>
  <c r="G233" i="1"/>
  <c r="G232" i="1"/>
  <c r="G231" i="1"/>
  <c r="G45" i="4" s="1"/>
  <c r="G33" i="9" s="1"/>
  <c r="G92" i="9" s="1"/>
  <c r="H244" i="1"/>
  <c r="H56" i="21" s="1"/>
  <c r="H86" i="21" s="1"/>
  <c r="H243" i="1"/>
  <c r="H47" i="21" s="1"/>
  <c r="H77" i="21" s="1"/>
  <c r="H242" i="1"/>
  <c r="H34" i="9" s="1"/>
  <c r="I244" i="1"/>
  <c r="I56" i="21" s="1"/>
  <c r="I86" i="21" s="1"/>
  <c r="I243" i="1"/>
  <c r="I47" i="21" s="1"/>
  <c r="I77" i="21" s="1"/>
  <c r="I242" i="1"/>
  <c r="I38" i="21" s="1"/>
  <c r="I68" i="21" s="1"/>
  <c r="G244" i="1"/>
  <c r="G56" i="21" s="1"/>
  <c r="G86" i="21" s="1"/>
  <c r="G243" i="1"/>
  <c r="G47" i="21" s="1"/>
  <c r="G77" i="21" s="1"/>
  <c r="G242" i="1"/>
  <c r="G38" i="21" s="1"/>
  <c r="G68" i="21" s="1"/>
  <c r="H233" i="1"/>
  <c r="H232" i="1"/>
  <c r="H231" i="1"/>
  <c r="H37" i="21" s="1"/>
  <c r="H67" i="21" s="1"/>
  <c r="F233" i="1"/>
  <c r="F231" i="1"/>
  <c r="F45" i="4" s="1"/>
  <c r="F232" i="1"/>
  <c r="F243" i="1"/>
  <c r="F47" i="21" s="1"/>
  <c r="F77" i="21" s="1"/>
  <c r="F244" i="1"/>
  <c r="F56" i="21" s="1"/>
  <c r="F86" i="21" s="1"/>
  <c r="F242" i="1"/>
  <c r="F34" i="9" s="1"/>
  <c r="G104" i="21" l="1"/>
  <c r="I104" i="21"/>
  <c r="J104" i="21"/>
  <c r="G37" i="21"/>
  <c r="G67" i="21" s="1"/>
  <c r="H38" i="21"/>
  <c r="H68" i="21" s="1"/>
  <c r="H104" i="21" s="1"/>
  <c r="F38" i="21"/>
  <c r="F68" i="21" s="1"/>
  <c r="F104" i="21" s="1"/>
  <c r="F37" i="21"/>
  <c r="F67" i="21" s="1"/>
  <c r="F46" i="4"/>
  <c r="H45" i="4"/>
  <c r="H33" i="9" s="1"/>
  <c r="H92" i="9" s="1"/>
  <c r="J46" i="4"/>
  <c r="J34" i="9"/>
  <c r="G46" i="4"/>
  <c r="G34" i="9"/>
  <c r="I46" i="4"/>
  <c r="I34" i="9"/>
  <c r="J45" i="4"/>
  <c r="J33" i="9" s="1"/>
  <c r="J92" i="9" s="1"/>
  <c r="I45" i="4"/>
  <c r="I33" i="9" s="1"/>
  <c r="I92" i="9" s="1"/>
  <c r="H46" i="4"/>
  <c r="F33" i="9"/>
  <c r="F92" i="9" s="1"/>
  <c r="G209" i="3" l="1"/>
  <c r="G30" i="3" s="1"/>
  <c r="H209" i="3" l="1"/>
  <c r="H30" i="3" s="1"/>
  <c r="I209" i="3" l="1"/>
  <c r="I30" i="3" s="1"/>
  <c r="J209" i="3" l="1"/>
  <c r="J30" i="3" s="1"/>
  <c r="K209" i="3" l="1"/>
  <c r="K30" i="3" s="1"/>
  <c r="L209" i="3" l="1"/>
  <c r="L30" i="3" s="1"/>
  <c r="F94" i="3" l="1"/>
  <c r="G94" i="3"/>
  <c r="G96" i="3" s="1"/>
  <c r="H94" i="3"/>
  <c r="H96" i="3" s="1"/>
  <c r="I94" i="3"/>
  <c r="I96" i="3" s="1"/>
  <c r="J94" i="3"/>
  <c r="J96" i="3" s="1"/>
  <c r="K94" i="3"/>
  <c r="K96" i="3" s="1"/>
  <c r="L94" i="3"/>
  <c r="L96" i="3" s="1"/>
  <c r="F96" i="3"/>
  <c r="F122" i="3"/>
  <c r="G122" i="3"/>
  <c r="H122" i="3"/>
  <c r="I122" i="3"/>
  <c r="R20" i="22" s="1"/>
  <c r="J122" i="3"/>
  <c r="K122" i="3"/>
  <c r="X20" i="22" s="1"/>
  <c r="L122" i="3"/>
  <c r="F92" i="1"/>
  <c r="G92" i="1"/>
  <c r="H92" i="1"/>
  <c r="I92" i="1"/>
  <c r="J92" i="1"/>
  <c r="K92" i="1"/>
  <c r="L92" i="1"/>
  <c r="F190" i="14"/>
  <c r="G190" i="14"/>
  <c r="H190" i="14"/>
  <c r="I190" i="14"/>
  <c r="J190" i="14"/>
  <c r="K190" i="14"/>
  <c r="K167" i="3" s="1"/>
  <c r="K168" i="3" s="1"/>
  <c r="L190" i="14"/>
  <c r="L106" i="1" s="1"/>
  <c r="AC23" i="22" s="1"/>
  <c r="I13" i="22"/>
  <c r="L13" i="22"/>
  <c r="O13" i="22"/>
  <c r="R13" i="22"/>
  <c r="U13" i="22"/>
  <c r="X13" i="22"/>
  <c r="AA13" i="22"/>
  <c r="I20" i="22"/>
  <c r="L20" i="22"/>
  <c r="U20" i="22"/>
  <c r="AA20" i="22"/>
  <c r="J167" i="3" l="1"/>
  <c r="J168" i="3" s="1"/>
  <c r="J106" i="1"/>
  <c r="W23" i="22" s="1"/>
  <c r="H106" i="1"/>
  <c r="Q23" i="22" s="1"/>
  <c r="H167" i="3"/>
  <c r="H168" i="3" s="1"/>
  <c r="G106" i="1"/>
  <c r="N23" i="22" s="1"/>
  <c r="G167" i="3"/>
  <c r="G168" i="3" s="1"/>
  <c r="I167" i="3"/>
  <c r="I168" i="3" s="1"/>
  <c r="I106" i="1"/>
  <c r="T23" i="22" s="1"/>
  <c r="O20" i="22"/>
  <c r="K106" i="1"/>
  <c r="Z23" i="22" s="1"/>
  <c r="L167" i="3"/>
  <c r="L168" i="3" s="1"/>
  <c r="F106" i="1"/>
  <c r="K23" i="22" s="1"/>
  <c r="F167" i="3"/>
  <c r="F168" i="3" s="1"/>
  <c r="J97" i="3"/>
  <c r="I97" i="3"/>
  <c r="H97" i="3"/>
  <c r="G97" i="3"/>
  <c r="F97" i="3"/>
  <c r="L97" i="3"/>
  <c r="K97" i="3"/>
  <c r="F6" i="3" l="1"/>
  <c r="G6" i="3"/>
  <c r="H6" i="3"/>
  <c r="I6" i="3"/>
  <c r="J6" i="3"/>
  <c r="K6" i="3"/>
  <c r="L6" i="3"/>
  <c r="F7" i="3"/>
  <c r="G7" i="3"/>
  <c r="H7" i="3"/>
  <c r="I7" i="3"/>
  <c r="J7" i="3"/>
  <c r="K7" i="3"/>
  <c r="L7" i="3"/>
  <c r="F8" i="3"/>
  <c r="G8" i="3"/>
  <c r="H8" i="3"/>
  <c r="I8" i="3"/>
  <c r="J8" i="3"/>
  <c r="K8" i="3"/>
  <c r="L8" i="3"/>
  <c r="F9" i="3"/>
  <c r="G9" i="3"/>
  <c r="H9" i="3"/>
  <c r="I9" i="3"/>
  <c r="J9" i="3"/>
  <c r="K9" i="3"/>
  <c r="L9" i="3"/>
  <c r="F10" i="3"/>
  <c r="G10" i="3"/>
  <c r="H10" i="3"/>
  <c r="I10" i="3"/>
  <c r="J10" i="3"/>
  <c r="K10" i="3"/>
  <c r="L10" i="3"/>
  <c r="F12" i="3"/>
  <c r="G12" i="3"/>
  <c r="H12" i="3"/>
  <c r="I12" i="3"/>
  <c r="J12" i="3"/>
  <c r="K12" i="3"/>
  <c r="L12" i="3"/>
  <c r="F13" i="3"/>
  <c r="G13" i="3"/>
  <c r="H13" i="3"/>
  <c r="I13" i="3"/>
  <c r="J13" i="3"/>
  <c r="K13" i="3"/>
  <c r="L13" i="3"/>
  <c r="F14" i="3"/>
  <c r="G14" i="3"/>
  <c r="H14" i="3"/>
  <c r="I14" i="3"/>
  <c r="J14" i="3"/>
  <c r="K14" i="3"/>
  <c r="L14" i="3"/>
  <c r="F15" i="3"/>
  <c r="G15" i="3"/>
  <c r="H15" i="3"/>
  <c r="I15" i="3"/>
  <c r="J15" i="3"/>
  <c r="K15" i="3"/>
  <c r="L15" i="3"/>
  <c r="F16" i="3"/>
  <c r="G16" i="3"/>
  <c r="H16" i="3"/>
  <c r="I16" i="3"/>
  <c r="J16" i="3"/>
  <c r="K16" i="3"/>
  <c r="L16" i="3"/>
  <c r="F18" i="3"/>
  <c r="G18" i="3"/>
  <c r="H18" i="3"/>
  <c r="I18" i="3"/>
  <c r="J18" i="3"/>
  <c r="K18" i="3"/>
  <c r="L18" i="3"/>
  <c r="F19" i="3"/>
  <c r="G19" i="3"/>
  <c r="H19" i="3"/>
  <c r="I19" i="3"/>
  <c r="J19" i="3"/>
  <c r="K19" i="3"/>
  <c r="L19" i="3"/>
  <c r="F20" i="3"/>
  <c r="G20" i="3"/>
  <c r="H20" i="3"/>
  <c r="I20" i="3"/>
  <c r="J20" i="3"/>
  <c r="K20" i="3"/>
  <c r="L20" i="3"/>
  <c r="F21" i="3"/>
  <c r="G21" i="3"/>
  <c r="H21" i="3"/>
  <c r="I21" i="3"/>
  <c r="J21" i="3"/>
  <c r="K21" i="3"/>
  <c r="L21" i="3"/>
  <c r="F22" i="3"/>
  <c r="G22" i="3"/>
  <c r="H22" i="3"/>
  <c r="I22" i="3"/>
  <c r="J22" i="3"/>
  <c r="K22" i="3"/>
  <c r="L22" i="3"/>
  <c r="F23" i="3"/>
  <c r="G23" i="3"/>
  <c r="H23" i="3"/>
  <c r="I23" i="3"/>
  <c r="J23" i="3"/>
  <c r="K23" i="3"/>
  <c r="L23" i="3"/>
  <c r="F27" i="3"/>
  <c r="G27" i="3"/>
  <c r="H27" i="3"/>
  <c r="I27" i="3"/>
  <c r="J27" i="3"/>
  <c r="K27" i="3"/>
  <c r="L27" i="3"/>
  <c r="F28" i="3"/>
  <c r="G28" i="3"/>
  <c r="H28" i="3"/>
  <c r="I28" i="3"/>
  <c r="J28" i="3"/>
  <c r="K28" i="3"/>
  <c r="L28" i="3"/>
  <c r="F32" i="3"/>
  <c r="G32" i="3"/>
  <c r="H32" i="3"/>
  <c r="I32" i="3"/>
  <c r="J32" i="3"/>
  <c r="K32" i="3"/>
  <c r="L32" i="3"/>
  <c r="F46" i="3"/>
  <c r="G46" i="3"/>
  <c r="H46" i="3"/>
  <c r="I46" i="3"/>
  <c r="J46" i="3"/>
  <c r="K46" i="3"/>
  <c r="L46" i="3"/>
  <c r="F50" i="3"/>
  <c r="G50" i="3"/>
  <c r="H50" i="3"/>
  <c r="I50" i="3"/>
  <c r="J50" i="3"/>
  <c r="K50" i="3"/>
  <c r="L50" i="3"/>
  <c r="F58" i="3"/>
  <c r="G58" i="3"/>
  <c r="H58" i="3"/>
  <c r="I58" i="3"/>
  <c r="J58" i="3"/>
  <c r="K58" i="3"/>
  <c r="L58" i="3"/>
  <c r="F71" i="3"/>
  <c r="G71" i="3"/>
  <c r="H71" i="3"/>
  <c r="I71" i="3"/>
  <c r="J71" i="3"/>
  <c r="K71" i="3"/>
  <c r="L71" i="3"/>
  <c r="E77" i="3"/>
  <c r="F77" i="3"/>
  <c r="G77" i="3"/>
  <c r="H77" i="3"/>
  <c r="I77" i="3"/>
  <c r="J77" i="3"/>
  <c r="K77" i="3"/>
  <c r="L77" i="3"/>
  <c r="F78" i="3"/>
  <c r="G78" i="3"/>
  <c r="H78" i="3"/>
  <c r="I78" i="3"/>
  <c r="J78" i="3"/>
  <c r="K78" i="3"/>
  <c r="L78" i="3"/>
  <c r="F79" i="3"/>
  <c r="G79" i="3"/>
  <c r="H79" i="3"/>
  <c r="I79" i="3"/>
  <c r="J79" i="3"/>
  <c r="K79" i="3"/>
  <c r="L79" i="3"/>
  <c r="F83" i="3"/>
  <c r="G83" i="3"/>
  <c r="H83" i="3"/>
  <c r="I83" i="3"/>
  <c r="J83" i="3"/>
  <c r="K83" i="3"/>
  <c r="L83" i="3"/>
  <c r="F85" i="3"/>
  <c r="G85" i="3"/>
  <c r="H85" i="3"/>
  <c r="I85" i="3"/>
  <c r="J85" i="3"/>
  <c r="K85" i="3"/>
  <c r="L85" i="3"/>
  <c r="F86" i="3"/>
  <c r="G86" i="3"/>
  <c r="H86" i="3"/>
  <c r="I86" i="3"/>
  <c r="J86" i="3"/>
  <c r="K86" i="3"/>
  <c r="L86" i="3"/>
  <c r="F87" i="3"/>
  <c r="G87" i="3"/>
  <c r="H87" i="3"/>
  <c r="I87" i="3"/>
  <c r="J87" i="3"/>
  <c r="K87" i="3"/>
  <c r="L87" i="3"/>
  <c r="F88" i="3"/>
  <c r="G88" i="3"/>
  <c r="H88" i="3"/>
  <c r="I88" i="3"/>
  <c r="J88" i="3"/>
  <c r="K88" i="3"/>
  <c r="L88" i="3"/>
  <c r="F89" i="3"/>
  <c r="G89" i="3"/>
  <c r="H89" i="3"/>
  <c r="I89" i="3"/>
  <c r="J89" i="3"/>
  <c r="K89" i="3"/>
  <c r="L89" i="3"/>
  <c r="F90" i="3"/>
  <c r="G90" i="3"/>
  <c r="H90" i="3"/>
  <c r="I90" i="3"/>
  <c r="J90" i="3"/>
  <c r="K90" i="3"/>
  <c r="L90" i="3"/>
  <c r="F91" i="3"/>
  <c r="G91" i="3"/>
  <c r="H91" i="3"/>
  <c r="I91" i="3"/>
  <c r="J91" i="3"/>
  <c r="K91" i="3"/>
  <c r="L91" i="3"/>
  <c r="F99" i="3"/>
  <c r="G99" i="3"/>
  <c r="H99" i="3"/>
  <c r="I99" i="3"/>
  <c r="J99" i="3"/>
  <c r="K99" i="3"/>
  <c r="L99" i="3"/>
  <c r="F100" i="3"/>
  <c r="G100" i="3"/>
  <c r="H100" i="3"/>
  <c r="I100" i="3"/>
  <c r="J100" i="3"/>
  <c r="K100" i="3"/>
  <c r="L100" i="3"/>
  <c r="F101" i="3"/>
  <c r="G101" i="3"/>
  <c r="H101" i="3"/>
  <c r="I101" i="3"/>
  <c r="J101" i="3"/>
  <c r="K101" i="3"/>
  <c r="L101" i="3"/>
  <c r="F104" i="3"/>
  <c r="G104" i="3"/>
  <c r="H104" i="3"/>
  <c r="I104" i="3"/>
  <c r="J104" i="3"/>
  <c r="K104" i="3"/>
  <c r="L104" i="3"/>
  <c r="F105" i="3"/>
  <c r="G105" i="3"/>
  <c r="H105" i="3"/>
  <c r="I105" i="3"/>
  <c r="J105" i="3"/>
  <c r="K105" i="3"/>
  <c r="L105" i="3"/>
  <c r="F107" i="3"/>
  <c r="G107" i="3"/>
  <c r="H107" i="3"/>
  <c r="I107" i="3"/>
  <c r="J107" i="3"/>
  <c r="K107" i="3"/>
  <c r="L107" i="3"/>
  <c r="F108" i="3"/>
  <c r="G108" i="3"/>
  <c r="H108" i="3"/>
  <c r="I108" i="3"/>
  <c r="J108" i="3"/>
  <c r="K108" i="3"/>
  <c r="L108" i="3"/>
  <c r="F109" i="3"/>
  <c r="G109" i="3"/>
  <c r="H109" i="3"/>
  <c r="I109" i="3"/>
  <c r="J109" i="3"/>
  <c r="K109" i="3"/>
  <c r="L109" i="3"/>
  <c r="F111" i="3"/>
  <c r="G111" i="3"/>
  <c r="H111" i="3"/>
  <c r="I111" i="3"/>
  <c r="J111" i="3"/>
  <c r="K111" i="3"/>
  <c r="L111" i="3"/>
  <c r="F112" i="3"/>
  <c r="G112" i="3"/>
  <c r="H112" i="3"/>
  <c r="I112" i="3"/>
  <c r="J112" i="3"/>
  <c r="K112" i="3"/>
  <c r="L112" i="3"/>
  <c r="F113" i="3"/>
  <c r="G113" i="3"/>
  <c r="H113" i="3"/>
  <c r="I113" i="3"/>
  <c r="J113" i="3"/>
  <c r="K113" i="3"/>
  <c r="L113" i="3"/>
  <c r="F114" i="3"/>
  <c r="G114" i="3"/>
  <c r="H114" i="3"/>
  <c r="I114" i="3"/>
  <c r="J114" i="3"/>
  <c r="K114" i="3"/>
  <c r="L114" i="3"/>
  <c r="F115" i="3"/>
  <c r="G115" i="3"/>
  <c r="H115" i="3"/>
  <c r="I115" i="3"/>
  <c r="J115" i="3"/>
  <c r="K115" i="3"/>
  <c r="L115" i="3"/>
  <c r="F116" i="3"/>
  <c r="G116" i="3"/>
  <c r="H116" i="3"/>
  <c r="I116" i="3"/>
  <c r="J116" i="3"/>
  <c r="K116" i="3"/>
  <c r="L116" i="3"/>
  <c r="F117" i="3"/>
  <c r="G117" i="3"/>
  <c r="H117" i="3"/>
  <c r="I117" i="3"/>
  <c r="J117" i="3"/>
  <c r="K117" i="3"/>
  <c r="L117" i="3"/>
  <c r="F118" i="3"/>
  <c r="G118" i="3"/>
  <c r="H118" i="3"/>
  <c r="I118" i="3"/>
  <c r="J118" i="3"/>
  <c r="K118" i="3"/>
  <c r="L118" i="3"/>
  <c r="F119" i="3"/>
  <c r="G119" i="3"/>
  <c r="H119" i="3"/>
  <c r="I119" i="3"/>
  <c r="J119" i="3"/>
  <c r="K119" i="3"/>
  <c r="L119" i="3"/>
  <c r="F121" i="3"/>
  <c r="G121" i="3"/>
  <c r="H121" i="3"/>
  <c r="I121" i="3"/>
  <c r="J121" i="3"/>
  <c r="K121" i="3"/>
  <c r="L121" i="3"/>
  <c r="F126" i="3"/>
  <c r="G126" i="3"/>
  <c r="H126" i="3"/>
  <c r="I126" i="3"/>
  <c r="J126" i="3"/>
  <c r="K126" i="3"/>
  <c r="L126" i="3"/>
  <c r="F127" i="3"/>
  <c r="G127" i="3"/>
  <c r="H127" i="3"/>
  <c r="I127" i="3"/>
  <c r="J127" i="3"/>
  <c r="K127" i="3"/>
  <c r="L127" i="3"/>
  <c r="F128" i="3"/>
  <c r="G128" i="3"/>
  <c r="H128" i="3"/>
  <c r="I128" i="3"/>
  <c r="J128" i="3"/>
  <c r="K128" i="3"/>
  <c r="L128" i="3"/>
  <c r="F131" i="3"/>
  <c r="G131" i="3"/>
  <c r="H131" i="3"/>
  <c r="I131" i="3"/>
  <c r="J131" i="3"/>
  <c r="K131" i="3"/>
  <c r="L131" i="3"/>
  <c r="F133" i="3"/>
  <c r="G133" i="3"/>
  <c r="H133" i="3"/>
  <c r="I133" i="3"/>
  <c r="J133" i="3"/>
  <c r="K133" i="3"/>
  <c r="L133" i="3"/>
  <c r="F134" i="3"/>
  <c r="G134" i="3"/>
  <c r="H134" i="3"/>
  <c r="I134" i="3"/>
  <c r="J134" i="3"/>
  <c r="K134" i="3"/>
  <c r="L134" i="3"/>
  <c r="F135" i="3"/>
  <c r="G135" i="3"/>
  <c r="H135" i="3"/>
  <c r="I135" i="3"/>
  <c r="J135" i="3"/>
  <c r="K135" i="3"/>
  <c r="L135" i="3"/>
  <c r="F137" i="3"/>
  <c r="G137" i="3"/>
  <c r="H137" i="3"/>
  <c r="I137" i="3"/>
  <c r="J137" i="3"/>
  <c r="K137" i="3"/>
  <c r="L137" i="3"/>
  <c r="F138" i="3"/>
  <c r="G138" i="3"/>
  <c r="H138" i="3"/>
  <c r="I138" i="3"/>
  <c r="J138" i="3"/>
  <c r="K138" i="3"/>
  <c r="L138" i="3"/>
  <c r="F139" i="3"/>
  <c r="G139" i="3"/>
  <c r="H139" i="3"/>
  <c r="I139" i="3"/>
  <c r="J139" i="3"/>
  <c r="K139" i="3"/>
  <c r="L139" i="3"/>
  <c r="F140" i="3"/>
  <c r="G140" i="3"/>
  <c r="H140" i="3"/>
  <c r="I140" i="3"/>
  <c r="J140" i="3"/>
  <c r="K140" i="3"/>
  <c r="L140" i="3"/>
  <c r="F141" i="3"/>
  <c r="G141" i="3"/>
  <c r="H141" i="3"/>
  <c r="I141" i="3"/>
  <c r="J141" i="3"/>
  <c r="K141" i="3"/>
  <c r="L141" i="3"/>
  <c r="F143" i="3"/>
  <c r="G143" i="3"/>
  <c r="H143" i="3"/>
  <c r="I143" i="3"/>
  <c r="J143" i="3"/>
  <c r="K143" i="3"/>
  <c r="L143" i="3"/>
  <c r="F144" i="3"/>
  <c r="G144" i="3"/>
  <c r="H144" i="3"/>
  <c r="I144" i="3"/>
  <c r="J144" i="3"/>
  <c r="K144" i="3"/>
  <c r="L144" i="3"/>
  <c r="F145" i="3"/>
  <c r="G145" i="3"/>
  <c r="H145" i="3"/>
  <c r="I145" i="3"/>
  <c r="J145" i="3"/>
  <c r="K145" i="3"/>
  <c r="L145" i="3"/>
  <c r="F148" i="3"/>
  <c r="G148" i="3"/>
  <c r="H148" i="3"/>
  <c r="I148" i="3"/>
  <c r="J148" i="3"/>
  <c r="K148" i="3"/>
  <c r="L148" i="3"/>
  <c r="F149" i="3"/>
  <c r="G149" i="3"/>
  <c r="H149" i="3"/>
  <c r="I149" i="3"/>
  <c r="J149" i="3"/>
  <c r="K149" i="3"/>
  <c r="L149" i="3"/>
  <c r="F150" i="3"/>
  <c r="G150" i="3"/>
  <c r="H150" i="3"/>
  <c r="I150" i="3"/>
  <c r="J150" i="3"/>
  <c r="K150" i="3"/>
  <c r="L150" i="3"/>
  <c r="F151" i="3"/>
  <c r="G151" i="3"/>
  <c r="H151" i="3"/>
  <c r="I151" i="3"/>
  <c r="J151" i="3"/>
  <c r="K151" i="3"/>
  <c r="L151" i="3"/>
  <c r="F152" i="3"/>
  <c r="G152" i="3"/>
  <c r="H152" i="3"/>
  <c r="I152" i="3"/>
  <c r="J152" i="3"/>
  <c r="K152" i="3"/>
  <c r="L152" i="3"/>
  <c r="F154" i="3"/>
  <c r="G154" i="3"/>
  <c r="H154" i="3"/>
  <c r="I154" i="3"/>
  <c r="J154" i="3"/>
  <c r="K154" i="3"/>
  <c r="L154" i="3"/>
  <c r="F155" i="3"/>
  <c r="G155" i="3"/>
  <c r="H155" i="3"/>
  <c r="I155" i="3"/>
  <c r="J155" i="3"/>
  <c r="K155" i="3"/>
  <c r="L155" i="3"/>
  <c r="F156" i="3"/>
  <c r="G156" i="3"/>
  <c r="H156" i="3"/>
  <c r="I156" i="3"/>
  <c r="J156" i="3"/>
  <c r="K156" i="3"/>
  <c r="L156" i="3"/>
  <c r="F159" i="3"/>
  <c r="G159" i="3"/>
  <c r="H159" i="3"/>
  <c r="I159" i="3"/>
  <c r="J159" i="3"/>
  <c r="K159" i="3"/>
  <c r="L159" i="3"/>
  <c r="F161" i="3"/>
  <c r="G161" i="3"/>
  <c r="H161" i="3"/>
  <c r="I161" i="3"/>
  <c r="J161" i="3"/>
  <c r="K161" i="3"/>
  <c r="L161" i="3"/>
  <c r="F162" i="3"/>
  <c r="G162" i="3"/>
  <c r="H162" i="3"/>
  <c r="I162" i="3"/>
  <c r="J162" i="3"/>
  <c r="K162" i="3"/>
  <c r="L162" i="3"/>
  <c r="F163" i="3"/>
  <c r="G163" i="3"/>
  <c r="H163" i="3"/>
  <c r="I163" i="3"/>
  <c r="J163" i="3"/>
  <c r="K163" i="3"/>
  <c r="L163" i="3"/>
  <c r="F164" i="3"/>
  <c r="G164" i="3"/>
  <c r="H164" i="3"/>
  <c r="I164" i="3"/>
  <c r="J164" i="3"/>
  <c r="K164" i="3"/>
  <c r="L164" i="3"/>
  <c r="F165" i="3"/>
  <c r="G165" i="3"/>
  <c r="H165" i="3"/>
  <c r="I165" i="3"/>
  <c r="J165" i="3"/>
  <c r="K165" i="3"/>
  <c r="L165" i="3"/>
  <c r="F166" i="3"/>
  <c r="G166" i="3"/>
  <c r="H166" i="3"/>
  <c r="I166" i="3"/>
  <c r="J166" i="3"/>
  <c r="K166" i="3"/>
  <c r="L166" i="3"/>
  <c r="F169" i="3"/>
  <c r="G169" i="3"/>
  <c r="H169" i="3"/>
  <c r="I169" i="3"/>
  <c r="J169" i="3"/>
  <c r="K169" i="3"/>
  <c r="L169" i="3"/>
  <c r="F170" i="3"/>
  <c r="G170" i="3"/>
  <c r="H170" i="3"/>
  <c r="I170" i="3"/>
  <c r="J170" i="3"/>
  <c r="K170" i="3"/>
  <c r="L170" i="3"/>
  <c r="F172" i="3"/>
  <c r="G172" i="3"/>
  <c r="H172" i="3"/>
  <c r="I172" i="3"/>
  <c r="J172" i="3"/>
  <c r="K172" i="3"/>
  <c r="L172" i="3"/>
  <c r="F174" i="3"/>
  <c r="G174" i="3"/>
  <c r="H174" i="3"/>
  <c r="I174" i="3"/>
  <c r="J174" i="3"/>
  <c r="K174" i="3"/>
  <c r="L174" i="3"/>
  <c r="F175" i="3"/>
  <c r="G175" i="3"/>
  <c r="H175" i="3"/>
  <c r="I175" i="3"/>
  <c r="J175" i="3"/>
  <c r="K175" i="3"/>
  <c r="L175" i="3"/>
  <c r="F176" i="3"/>
  <c r="G176" i="3"/>
  <c r="H176" i="3"/>
  <c r="I176" i="3"/>
  <c r="J176" i="3"/>
  <c r="K176" i="3"/>
  <c r="L176" i="3"/>
  <c r="F178" i="3"/>
  <c r="G178" i="3"/>
  <c r="H178" i="3"/>
  <c r="I178" i="3"/>
  <c r="J178" i="3"/>
  <c r="K178" i="3"/>
  <c r="L178" i="3"/>
  <c r="F179" i="3"/>
  <c r="G179" i="3"/>
  <c r="H179" i="3"/>
  <c r="I179" i="3"/>
  <c r="J179" i="3"/>
  <c r="K179" i="3"/>
  <c r="L179" i="3"/>
  <c r="F180" i="3"/>
  <c r="G180" i="3"/>
  <c r="H180" i="3"/>
  <c r="I180" i="3"/>
  <c r="J180" i="3"/>
  <c r="K180" i="3"/>
  <c r="L180" i="3"/>
  <c r="F181" i="3"/>
  <c r="G181" i="3"/>
  <c r="H181" i="3"/>
  <c r="I181" i="3"/>
  <c r="J181" i="3"/>
  <c r="K181" i="3"/>
  <c r="L181" i="3"/>
  <c r="F182" i="3"/>
  <c r="G182" i="3"/>
  <c r="H182" i="3"/>
  <c r="I182" i="3"/>
  <c r="J182" i="3"/>
  <c r="K182" i="3"/>
  <c r="L182" i="3"/>
  <c r="F184" i="3"/>
  <c r="G184" i="3"/>
  <c r="H184" i="3"/>
  <c r="I184" i="3"/>
  <c r="J184" i="3"/>
  <c r="K184" i="3"/>
  <c r="L184" i="3"/>
  <c r="F185" i="3"/>
  <c r="G185" i="3"/>
  <c r="H185" i="3"/>
  <c r="I185" i="3"/>
  <c r="J185" i="3"/>
  <c r="K185" i="3"/>
  <c r="L185" i="3"/>
  <c r="F187" i="3"/>
  <c r="G187" i="3"/>
  <c r="H187" i="3"/>
  <c r="I187" i="3"/>
  <c r="J187" i="3"/>
  <c r="K187" i="3"/>
  <c r="L187" i="3"/>
  <c r="F188" i="3"/>
  <c r="G188" i="3"/>
  <c r="H188" i="3"/>
  <c r="I188" i="3"/>
  <c r="J188" i="3"/>
  <c r="K188" i="3"/>
  <c r="L188" i="3"/>
  <c r="E193" i="3"/>
  <c r="F193" i="3"/>
  <c r="G193" i="3"/>
  <c r="H193" i="3"/>
  <c r="I193" i="3"/>
  <c r="J193" i="3"/>
  <c r="K193" i="3"/>
  <c r="L193" i="3"/>
  <c r="F194" i="3"/>
  <c r="G194" i="3"/>
  <c r="H194" i="3"/>
  <c r="I194" i="3"/>
  <c r="J194" i="3"/>
  <c r="K194" i="3"/>
  <c r="L194" i="3"/>
  <c r="F200" i="3"/>
  <c r="G200" i="3"/>
  <c r="H200" i="3"/>
  <c r="I200" i="3"/>
  <c r="J200" i="3"/>
  <c r="K200" i="3"/>
  <c r="L200" i="3"/>
  <c r="F201" i="3"/>
  <c r="G201" i="3"/>
  <c r="H201" i="3"/>
  <c r="I201" i="3"/>
  <c r="J201" i="3"/>
  <c r="K201" i="3"/>
  <c r="L201" i="3"/>
  <c r="F203" i="3"/>
  <c r="G203" i="3"/>
  <c r="H203" i="3"/>
  <c r="I203" i="3"/>
  <c r="J203" i="3"/>
  <c r="K203" i="3"/>
  <c r="L203" i="3"/>
  <c r="F204" i="3"/>
  <c r="G204" i="3"/>
  <c r="H204" i="3"/>
  <c r="I204" i="3"/>
  <c r="J204" i="3"/>
  <c r="K204" i="3"/>
  <c r="L204" i="3"/>
  <c r="F206" i="3"/>
  <c r="G206" i="3"/>
  <c r="H206" i="3"/>
  <c r="I206" i="3"/>
  <c r="J206" i="3"/>
  <c r="K206" i="3"/>
  <c r="L206" i="3"/>
  <c r="F207" i="3"/>
  <c r="G207" i="3"/>
  <c r="H207" i="3"/>
  <c r="I207" i="3"/>
  <c r="J207" i="3"/>
  <c r="K207" i="3"/>
  <c r="L207" i="3"/>
  <c r="F213" i="3"/>
  <c r="G213" i="3"/>
  <c r="H213" i="3"/>
  <c r="I213" i="3"/>
  <c r="J213" i="3"/>
  <c r="K213" i="3"/>
  <c r="L213" i="3"/>
  <c r="F214" i="3"/>
  <c r="G214" i="3"/>
  <c r="H214" i="3"/>
  <c r="I214" i="3"/>
  <c r="J214" i="3"/>
  <c r="K214" i="3"/>
  <c r="L214" i="3"/>
  <c r="F215" i="3"/>
  <c r="G215" i="3"/>
  <c r="H215" i="3"/>
  <c r="I215" i="3"/>
  <c r="J215" i="3"/>
  <c r="K215" i="3"/>
  <c r="L215" i="3"/>
  <c r="F216" i="3"/>
  <c r="G216" i="3"/>
  <c r="H216" i="3"/>
  <c r="I216" i="3"/>
  <c r="J216" i="3"/>
  <c r="K216" i="3"/>
  <c r="L216" i="3"/>
  <c r="F217" i="3"/>
  <c r="G217" i="3"/>
  <c r="H217" i="3"/>
  <c r="I217" i="3"/>
  <c r="J217" i="3"/>
  <c r="K217" i="3"/>
  <c r="L217" i="3"/>
  <c r="F218" i="3"/>
  <c r="G218" i="3"/>
  <c r="H218" i="3"/>
  <c r="I218" i="3"/>
  <c r="J218" i="3"/>
  <c r="K218" i="3"/>
  <c r="L218" i="3"/>
  <c r="F219" i="3"/>
  <c r="G219" i="3"/>
  <c r="H219" i="3"/>
  <c r="I219" i="3"/>
  <c r="J219" i="3"/>
  <c r="K219" i="3"/>
  <c r="L219" i="3"/>
  <c r="F5" i="21"/>
  <c r="G5" i="21"/>
  <c r="H5" i="21"/>
  <c r="I5" i="21"/>
  <c r="J5" i="21"/>
  <c r="K5" i="21"/>
  <c r="L5" i="21"/>
  <c r="F10" i="21"/>
  <c r="G10" i="21"/>
  <c r="H10" i="21"/>
  <c r="I10" i="21"/>
  <c r="J10" i="21"/>
  <c r="K10" i="21"/>
  <c r="L10" i="21"/>
  <c r="F11" i="21"/>
  <c r="G11" i="21"/>
  <c r="H11" i="21"/>
  <c r="I11" i="21"/>
  <c r="J11" i="21"/>
  <c r="K11" i="21"/>
  <c r="L11" i="21"/>
  <c r="F13" i="21"/>
  <c r="G13" i="21"/>
  <c r="H13" i="21"/>
  <c r="I13" i="21"/>
  <c r="J13" i="21"/>
  <c r="K13" i="21"/>
  <c r="L13" i="21"/>
  <c r="F16" i="21"/>
  <c r="G16" i="21"/>
  <c r="H16" i="21"/>
  <c r="I16" i="21"/>
  <c r="J16" i="21"/>
  <c r="K16" i="21"/>
  <c r="L16" i="21"/>
  <c r="F17" i="21"/>
  <c r="G17" i="21"/>
  <c r="H17" i="21"/>
  <c r="I17" i="21"/>
  <c r="J17" i="21"/>
  <c r="K17" i="21"/>
  <c r="L17" i="21"/>
  <c r="F18" i="21"/>
  <c r="G18" i="21"/>
  <c r="H18" i="21"/>
  <c r="I18" i="21"/>
  <c r="J18" i="21"/>
  <c r="K18" i="21"/>
  <c r="L18" i="21"/>
  <c r="F19" i="21"/>
  <c r="G19" i="21"/>
  <c r="H19" i="21"/>
  <c r="I19" i="21"/>
  <c r="J19" i="21"/>
  <c r="K19" i="21"/>
  <c r="L19" i="21"/>
  <c r="F21" i="21"/>
  <c r="G21" i="21"/>
  <c r="H21" i="21"/>
  <c r="I21" i="21"/>
  <c r="J21" i="21"/>
  <c r="K21" i="21"/>
  <c r="L21" i="21"/>
  <c r="F22" i="21"/>
  <c r="G22" i="21"/>
  <c r="H22" i="21"/>
  <c r="I22" i="21"/>
  <c r="J22" i="21"/>
  <c r="K22" i="21"/>
  <c r="L22" i="21"/>
  <c r="F23" i="21"/>
  <c r="G23" i="21"/>
  <c r="H23" i="21"/>
  <c r="I23" i="21"/>
  <c r="J23" i="21"/>
  <c r="K23" i="21"/>
  <c r="L23" i="21"/>
  <c r="F24" i="21"/>
  <c r="G24" i="21"/>
  <c r="H24" i="21"/>
  <c r="I24" i="21"/>
  <c r="J24" i="21"/>
  <c r="K24" i="21"/>
  <c r="L24" i="21"/>
  <c r="F25" i="21"/>
  <c r="G25" i="21"/>
  <c r="H25" i="21"/>
  <c r="I25" i="21"/>
  <c r="J25" i="21"/>
  <c r="K25" i="21"/>
  <c r="L25" i="21"/>
  <c r="F26" i="21"/>
  <c r="G26" i="21"/>
  <c r="H26" i="21"/>
  <c r="I26" i="21"/>
  <c r="J26" i="21"/>
  <c r="K26" i="21"/>
  <c r="L26" i="21"/>
  <c r="F27" i="21"/>
  <c r="G27" i="21"/>
  <c r="H27" i="21"/>
  <c r="I27" i="21"/>
  <c r="J27" i="21"/>
  <c r="K27" i="21"/>
  <c r="L27" i="21"/>
  <c r="F28" i="21"/>
  <c r="G28" i="21"/>
  <c r="H28" i="21"/>
  <c r="I28" i="21"/>
  <c r="J28" i="21"/>
  <c r="K28" i="21"/>
  <c r="L28" i="21"/>
  <c r="F29" i="21"/>
  <c r="G29" i="21"/>
  <c r="H29" i="21"/>
  <c r="I29" i="21"/>
  <c r="J29" i="21"/>
  <c r="K29" i="21"/>
  <c r="L29" i="21"/>
  <c r="F30" i="21"/>
  <c r="G30" i="21"/>
  <c r="H30" i="21"/>
  <c r="I30" i="21"/>
  <c r="J30" i="21"/>
  <c r="K30" i="21"/>
  <c r="L30" i="21"/>
  <c r="F31" i="21"/>
  <c r="G31" i="21"/>
  <c r="H31" i="21"/>
  <c r="I31" i="21"/>
  <c r="J31" i="21"/>
  <c r="K31" i="21"/>
  <c r="L31" i="21"/>
  <c r="F33" i="21"/>
  <c r="G33" i="21"/>
  <c r="H33" i="21"/>
  <c r="I33" i="21"/>
  <c r="J33" i="21"/>
  <c r="K33" i="21"/>
  <c r="L33" i="21"/>
  <c r="F35" i="21"/>
  <c r="G35" i="21"/>
  <c r="H35" i="21"/>
  <c r="I35" i="21"/>
  <c r="J35" i="21"/>
  <c r="K35" i="21"/>
  <c r="L35" i="21"/>
  <c r="F36" i="21"/>
  <c r="G36" i="21"/>
  <c r="H36" i="21"/>
  <c r="I36" i="21"/>
  <c r="J36" i="21"/>
  <c r="K36" i="21"/>
  <c r="L36" i="21"/>
  <c r="F40" i="21"/>
  <c r="G40" i="21"/>
  <c r="H40" i="21"/>
  <c r="I40" i="21"/>
  <c r="J40" i="21"/>
  <c r="K40" i="21"/>
  <c r="L40" i="21"/>
  <c r="F41" i="21"/>
  <c r="G41" i="21"/>
  <c r="H41" i="21"/>
  <c r="I41" i="21"/>
  <c r="J41" i="21"/>
  <c r="K41" i="21"/>
  <c r="L41" i="21"/>
  <c r="F42" i="21"/>
  <c r="G42" i="21"/>
  <c r="H42" i="21"/>
  <c r="I42" i="21"/>
  <c r="J42" i="21"/>
  <c r="K42" i="21"/>
  <c r="L42" i="21"/>
  <c r="F44" i="21"/>
  <c r="G44" i="21"/>
  <c r="H44" i="21"/>
  <c r="I44" i="21"/>
  <c r="J44" i="21"/>
  <c r="K44" i="21"/>
  <c r="L44" i="21"/>
  <c r="F45" i="21"/>
  <c r="G45" i="21"/>
  <c r="H45" i="21"/>
  <c r="I45" i="21"/>
  <c r="J45" i="21"/>
  <c r="K45" i="21"/>
  <c r="L45" i="21"/>
  <c r="F46" i="21"/>
  <c r="G46" i="21"/>
  <c r="H46" i="21"/>
  <c r="I46" i="21"/>
  <c r="J46" i="21"/>
  <c r="K46" i="21"/>
  <c r="L46" i="21"/>
  <c r="F49" i="21"/>
  <c r="G49" i="21"/>
  <c r="H49" i="21"/>
  <c r="I49" i="21"/>
  <c r="J49" i="21"/>
  <c r="K49" i="21"/>
  <c r="L49" i="21"/>
  <c r="F50" i="21"/>
  <c r="G50" i="21"/>
  <c r="H50" i="21"/>
  <c r="I50" i="21"/>
  <c r="J50" i="21"/>
  <c r="K50" i="21"/>
  <c r="L50" i="21"/>
  <c r="F51" i="21"/>
  <c r="G51" i="21"/>
  <c r="H51" i="21"/>
  <c r="I51" i="21"/>
  <c r="J51" i="21"/>
  <c r="K51" i="21"/>
  <c r="L51" i="21"/>
  <c r="F53" i="21"/>
  <c r="G53" i="21"/>
  <c r="H53" i="21"/>
  <c r="I53" i="21"/>
  <c r="J53" i="21"/>
  <c r="K53" i="21"/>
  <c r="L53" i="21"/>
  <c r="F54" i="21"/>
  <c r="G54" i="21"/>
  <c r="H54" i="21"/>
  <c r="I54" i="21"/>
  <c r="J54" i="21"/>
  <c r="K54" i="21"/>
  <c r="L54" i="21"/>
  <c r="F55" i="21"/>
  <c r="G55" i="21"/>
  <c r="H55" i="21"/>
  <c r="I55" i="21"/>
  <c r="J55" i="21"/>
  <c r="K55" i="21"/>
  <c r="L55" i="21"/>
  <c r="F58" i="21"/>
  <c r="G58" i="21"/>
  <c r="H58" i="21"/>
  <c r="I58" i="21"/>
  <c r="J58" i="21"/>
  <c r="K58" i="21"/>
  <c r="L58" i="21"/>
  <c r="F59" i="21"/>
  <c r="G59" i="21"/>
  <c r="H59" i="21"/>
  <c r="I59" i="21"/>
  <c r="J59" i="21"/>
  <c r="K59" i="21"/>
  <c r="L59" i="21"/>
  <c r="F60" i="21"/>
  <c r="G60" i="21"/>
  <c r="H60" i="21"/>
  <c r="I60" i="21"/>
  <c r="J60" i="21"/>
  <c r="K60" i="21"/>
  <c r="L60" i="21"/>
  <c r="F65" i="21"/>
  <c r="G65" i="21"/>
  <c r="H65" i="21"/>
  <c r="I65" i="21"/>
  <c r="J65" i="21"/>
  <c r="K65" i="21"/>
  <c r="L65" i="21"/>
  <c r="F66" i="21"/>
  <c r="G66" i="21"/>
  <c r="H66" i="21"/>
  <c r="I66" i="21"/>
  <c r="J66" i="21"/>
  <c r="K66" i="21"/>
  <c r="L66" i="21"/>
  <c r="F70" i="21"/>
  <c r="G70" i="21"/>
  <c r="H70" i="21"/>
  <c r="I70" i="21"/>
  <c r="J70" i="21"/>
  <c r="K70" i="21"/>
  <c r="L70" i="21"/>
  <c r="F71" i="21"/>
  <c r="G71" i="21"/>
  <c r="H71" i="21"/>
  <c r="I71" i="21"/>
  <c r="J71" i="21"/>
  <c r="K71" i="21"/>
  <c r="L71" i="21"/>
  <c r="F72" i="21"/>
  <c r="G72" i="21"/>
  <c r="H72" i="21"/>
  <c r="I72" i="21"/>
  <c r="J72" i="21"/>
  <c r="K72" i="21"/>
  <c r="L72" i="21"/>
  <c r="F74" i="21"/>
  <c r="G74" i="21"/>
  <c r="H74" i="21"/>
  <c r="I74" i="21"/>
  <c r="J74" i="21"/>
  <c r="K74" i="21"/>
  <c r="L74" i="21"/>
  <c r="F75" i="21"/>
  <c r="G75" i="21"/>
  <c r="H75" i="21"/>
  <c r="I75" i="21"/>
  <c r="J75" i="21"/>
  <c r="K75" i="21"/>
  <c r="L75" i="21"/>
  <c r="F76" i="21"/>
  <c r="G76" i="21"/>
  <c r="H76" i="21"/>
  <c r="I76" i="21"/>
  <c r="J76" i="21"/>
  <c r="K76" i="21"/>
  <c r="L76" i="21"/>
  <c r="F79" i="21"/>
  <c r="G79" i="21"/>
  <c r="H79" i="21"/>
  <c r="I79" i="21"/>
  <c r="J79" i="21"/>
  <c r="K79" i="21"/>
  <c r="L79" i="21"/>
  <c r="F80" i="21"/>
  <c r="G80" i="21"/>
  <c r="H80" i="21"/>
  <c r="I80" i="21"/>
  <c r="J80" i="21"/>
  <c r="K80" i="21"/>
  <c r="L80" i="21"/>
  <c r="F81" i="21"/>
  <c r="G81" i="21"/>
  <c r="H81" i="21"/>
  <c r="I81" i="21"/>
  <c r="J81" i="21"/>
  <c r="K81" i="21"/>
  <c r="L81" i="21"/>
  <c r="F83" i="21"/>
  <c r="G83" i="21"/>
  <c r="H83" i="21"/>
  <c r="I83" i="21"/>
  <c r="J83" i="21"/>
  <c r="K83" i="21"/>
  <c r="L83" i="21"/>
  <c r="F84" i="21"/>
  <c r="G84" i="21"/>
  <c r="H84" i="21"/>
  <c r="I84" i="21"/>
  <c r="J84" i="21"/>
  <c r="K84" i="21"/>
  <c r="L84" i="21"/>
  <c r="F85" i="21"/>
  <c r="G85" i="21"/>
  <c r="H85" i="21"/>
  <c r="I85" i="21"/>
  <c r="J85" i="21"/>
  <c r="K85" i="21"/>
  <c r="L85" i="21"/>
  <c r="F88" i="21"/>
  <c r="G88" i="21"/>
  <c r="H88" i="21"/>
  <c r="I88" i="21"/>
  <c r="J88" i="21"/>
  <c r="K88" i="21"/>
  <c r="L88" i="21"/>
  <c r="F89" i="21"/>
  <c r="G89" i="21"/>
  <c r="H89" i="21"/>
  <c r="I89" i="21"/>
  <c r="J89" i="21"/>
  <c r="K89" i="21"/>
  <c r="L89" i="21"/>
  <c r="F90" i="21"/>
  <c r="G90" i="21"/>
  <c r="H90" i="21"/>
  <c r="I90" i="21"/>
  <c r="J90" i="21"/>
  <c r="K90" i="21"/>
  <c r="L90" i="21"/>
  <c r="F92" i="21"/>
  <c r="G92" i="21"/>
  <c r="H92" i="21"/>
  <c r="I92" i="21"/>
  <c r="J92" i="21"/>
  <c r="K92" i="21"/>
  <c r="L92" i="21"/>
  <c r="F93" i="21"/>
  <c r="G93" i="21"/>
  <c r="H93" i="21"/>
  <c r="I93" i="21"/>
  <c r="J93" i="21"/>
  <c r="K93" i="21"/>
  <c r="L93" i="21"/>
  <c r="F94" i="21"/>
  <c r="G94" i="21"/>
  <c r="H94" i="21"/>
  <c r="I94" i="21"/>
  <c r="J94" i="21"/>
  <c r="K94" i="21"/>
  <c r="L94" i="21"/>
  <c r="F95" i="21"/>
  <c r="G95" i="21"/>
  <c r="H95" i="21"/>
  <c r="I95" i="21"/>
  <c r="J95" i="21"/>
  <c r="K95" i="21"/>
  <c r="L95" i="21"/>
  <c r="F96" i="21"/>
  <c r="G96" i="21"/>
  <c r="H96" i="21"/>
  <c r="I96" i="21"/>
  <c r="J96" i="21"/>
  <c r="K96" i="21"/>
  <c r="L96" i="21"/>
  <c r="F98" i="21"/>
  <c r="G98" i="21"/>
  <c r="H98" i="21"/>
  <c r="I98" i="21"/>
  <c r="J98" i="21"/>
  <c r="K98" i="21"/>
  <c r="L98" i="21"/>
  <c r="F99" i="21"/>
  <c r="G99" i="21"/>
  <c r="H99" i="21"/>
  <c r="I99" i="21"/>
  <c r="J99" i="21"/>
  <c r="K99" i="21"/>
  <c r="L99" i="21"/>
  <c r="F101" i="21"/>
  <c r="G101" i="21"/>
  <c r="H101" i="21"/>
  <c r="I101" i="21"/>
  <c r="J101" i="21"/>
  <c r="K101" i="21"/>
  <c r="L101" i="21"/>
  <c r="F102" i="21"/>
  <c r="G102" i="21"/>
  <c r="H102" i="21"/>
  <c r="I102" i="21"/>
  <c r="J102" i="21"/>
  <c r="K102" i="21"/>
  <c r="L102" i="21"/>
  <c r="F103" i="21"/>
  <c r="G103" i="21"/>
  <c r="H103" i="21"/>
  <c r="I103" i="21"/>
  <c r="J103" i="21"/>
  <c r="K103" i="21"/>
  <c r="L103" i="21"/>
  <c r="F106" i="21"/>
  <c r="G106" i="21"/>
  <c r="H106" i="21"/>
  <c r="I106" i="21"/>
  <c r="J106" i="21"/>
  <c r="K106" i="21"/>
  <c r="L106" i="21"/>
  <c r="F107" i="21"/>
  <c r="G107" i="21"/>
  <c r="H107" i="21"/>
  <c r="I107" i="21"/>
  <c r="J107" i="21"/>
  <c r="K107" i="21"/>
  <c r="L107" i="21"/>
  <c r="F108" i="21"/>
  <c r="G108" i="21"/>
  <c r="H108" i="21"/>
  <c r="I108" i="21"/>
  <c r="J108" i="21"/>
  <c r="K108" i="21"/>
  <c r="L108" i="21"/>
  <c r="F109" i="21"/>
  <c r="G109" i="21"/>
  <c r="H109" i="21"/>
  <c r="I109" i="21"/>
  <c r="J109" i="21"/>
  <c r="K109" i="21"/>
  <c r="L109" i="21"/>
  <c r="F111" i="21"/>
  <c r="G111" i="21"/>
  <c r="H111" i="21"/>
  <c r="I111" i="21"/>
  <c r="J111" i="21"/>
  <c r="K111" i="21"/>
  <c r="L111" i="21"/>
  <c r="F112" i="21"/>
  <c r="G112" i="21"/>
  <c r="H112" i="21"/>
  <c r="I112" i="21"/>
  <c r="J112" i="21"/>
  <c r="K112" i="21"/>
  <c r="L112" i="21"/>
  <c r="F3" i="24"/>
  <c r="G3" i="24"/>
  <c r="H3" i="24"/>
  <c r="I3" i="24"/>
  <c r="J3" i="24"/>
  <c r="K3" i="24"/>
  <c r="L3" i="24"/>
  <c r="F4" i="24"/>
  <c r="G4" i="24"/>
  <c r="H4" i="24"/>
  <c r="I4" i="24"/>
  <c r="J4" i="24"/>
  <c r="K4" i="24"/>
  <c r="L4" i="24"/>
  <c r="F8" i="24"/>
  <c r="G8" i="24"/>
  <c r="H8" i="24"/>
  <c r="I8" i="24"/>
  <c r="J8" i="24"/>
  <c r="K8" i="24"/>
  <c r="L8" i="24"/>
  <c r="F11" i="24"/>
  <c r="G11" i="24"/>
  <c r="H11" i="24"/>
  <c r="I11" i="24"/>
  <c r="J11" i="24"/>
  <c r="K11" i="24"/>
  <c r="L11" i="24"/>
  <c r="F12" i="24"/>
  <c r="G12" i="24"/>
  <c r="H12" i="24"/>
  <c r="I12" i="24"/>
  <c r="J12" i="24"/>
  <c r="K12" i="24"/>
  <c r="L12" i="24"/>
  <c r="F13" i="24"/>
  <c r="G13" i="24"/>
  <c r="H13" i="24"/>
  <c r="I13" i="24"/>
  <c r="J13" i="24"/>
  <c r="K13" i="24"/>
  <c r="L13" i="24"/>
  <c r="F16" i="24"/>
  <c r="G16" i="24"/>
  <c r="H16" i="24"/>
  <c r="I16" i="24"/>
  <c r="J16" i="24"/>
  <c r="K16" i="24"/>
  <c r="L16" i="24"/>
  <c r="F18" i="24"/>
  <c r="G18" i="24"/>
  <c r="H18" i="24"/>
  <c r="I18" i="24"/>
  <c r="J18" i="24"/>
  <c r="K18" i="24"/>
  <c r="L18" i="24"/>
  <c r="F19" i="24"/>
  <c r="G19" i="24"/>
  <c r="H19" i="24"/>
  <c r="I19" i="24"/>
  <c r="J19" i="24"/>
  <c r="K19" i="24"/>
  <c r="L19" i="24"/>
  <c r="F20" i="24"/>
  <c r="G20" i="24"/>
  <c r="H20" i="24"/>
  <c r="I20" i="24"/>
  <c r="J20" i="24"/>
  <c r="K20" i="24"/>
  <c r="L20" i="24"/>
  <c r="F21" i="24"/>
  <c r="G21" i="24"/>
  <c r="H21" i="24"/>
  <c r="I21" i="24"/>
  <c r="J21" i="24"/>
  <c r="K21" i="24"/>
  <c r="L21" i="24"/>
  <c r="F22" i="24"/>
  <c r="G22" i="24"/>
  <c r="H22" i="24"/>
  <c r="I22" i="24"/>
  <c r="J22" i="24"/>
  <c r="K22" i="24"/>
  <c r="L22" i="24"/>
  <c r="F23" i="24"/>
  <c r="G23" i="24"/>
  <c r="H23" i="24"/>
  <c r="I23" i="24"/>
  <c r="J23" i="24"/>
  <c r="K23" i="24"/>
  <c r="L23" i="24"/>
  <c r="F24" i="24"/>
  <c r="G24" i="24"/>
  <c r="H24" i="24"/>
  <c r="I24" i="24"/>
  <c r="J24" i="24"/>
  <c r="K24" i="24"/>
  <c r="L24" i="24"/>
  <c r="F6" i="1"/>
  <c r="G6" i="1"/>
  <c r="H6" i="1"/>
  <c r="I6" i="1"/>
  <c r="J6" i="1"/>
  <c r="K6" i="1"/>
  <c r="L6" i="1"/>
  <c r="F9" i="1"/>
  <c r="G9" i="1"/>
  <c r="H9" i="1"/>
  <c r="I9" i="1"/>
  <c r="J9" i="1"/>
  <c r="K9" i="1"/>
  <c r="L9" i="1"/>
  <c r="F10" i="1"/>
  <c r="G10" i="1"/>
  <c r="H10" i="1"/>
  <c r="I10" i="1"/>
  <c r="J10" i="1"/>
  <c r="K10" i="1"/>
  <c r="L10" i="1"/>
  <c r="F11" i="1"/>
  <c r="G11" i="1"/>
  <c r="H11" i="1"/>
  <c r="I11" i="1"/>
  <c r="J11" i="1"/>
  <c r="K11" i="1"/>
  <c r="L11" i="1"/>
  <c r="F12" i="1"/>
  <c r="G12" i="1"/>
  <c r="H12" i="1"/>
  <c r="I12" i="1"/>
  <c r="J12" i="1"/>
  <c r="K12" i="1"/>
  <c r="L12" i="1"/>
  <c r="F13" i="1"/>
  <c r="G13" i="1"/>
  <c r="H13" i="1"/>
  <c r="I13" i="1"/>
  <c r="J13" i="1"/>
  <c r="K13" i="1"/>
  <c r="L13" i="1"/>
  <c r="F17" i="1"/>
  <c r="G17" i="1"/>
  <c r="H17" i="1"/>
  <c r="I17" i="1"/>
  <c r="J17" i="1"/>
  <c r="K17" i="1"/>
  <c r="L17" i="1"/>
  <c r="F18" i="1"/>
  <c r="G18" i="1"/>
  <c r="H18" i="1"/>
  <c r="I18" i="1"/>
  <c r="J18" i="1"/>
  <c r="K18" i="1"/>
  <c r="L18" i="1"/>
  <c r="F19" i="1"/>
  <c r="G19" i="1"/>
  <c r="H19" i="1"/>
  <c r="I19" i="1"/>
  <c r="J19" i="1"/>
  <c r="K19" i="1"/>
  <c r="L19" i="1"/>
  <c r="F20" i="1"/>
  <c r="G20" i="1"/>
  <c r="H20" i="1"/>
  <c r="I20" i="1"/>
  <c r="J20" i="1"/>
  <c r="K20" i="1"/>
  <c r="L20" i="1"/>
  <c r="F21" i="1"/>
  <c r="G21" i="1"/>
  <c r="H21" i="1"/>
  <c r="I21" i="1"/>
  <c r="J21" i="1"/>
  <c r="K21" i="1"/>
  <c r="L21" i="1"/>
  <c r="F23" i="1"/>
  <c r="G23" i="1"/>
  <c r="H23" i="1"/>
  <c r="I23" i="1"/>
  <c r="J23" i="1"/>
  <c r="K23" i="1"/>
  <c r="L23" i="1"/>
  <c r="F24" i="1"/>
  <c r="G24" i="1"/>
  <c r="H24" i="1"/>
  <c r="I24" i="1"/>
  <c r="J24" i="1"/>
  <c r="K24" i="1"/>
  <c r="L24" i="1"/>
  <c r="F25" i="1"/>
  <c r="G25" i="1"/>
  <c r="H25" i="1"/>
  <c r="I25" i="1"/>
  <c r="J25" i="1"/>
  <c r="K25" i="1"/>
  <c r="L25" i="1"/>
  <c r="F26" i="1"/>
  <c r="G26" i="1"/>
  <c r="H26" i="1"/>
  <c r="I26" i="1"/>
  <c r="J26" i="1"/>
  <c r="K26" i="1"/>
  <c r="L26" i="1"/>
  <c r="F27" i="1"/>
  <c r="G27" i="1"/>
  <c r="H27" i="1"/>
  <c r="I27" i="1"/>
  <c r="J27" i="1"/>
  <c r="K27" i="1"/>
  <c r="L27" i="1"/>
  <c r="F28" i="1"/>
  <c r="G28" i="1"/>
  <c r="H28" i="1"/>
  <c r="I28" i="1"/>
  <c r="J28" i="1"/>
  <c r="K28" i="1"/>
  <c r="L28" i="1"/>
  <c r="F29" i="1"/>
  <c r="G29" i="1"/>
  <c r="H29" i="1"/>
  <c r="I29" i="1"/>
  <c r="J29" i="1"/>
  <c r="K29" i="1"/>
  <c r="L29" i="1"/>
  <c r="F30" i="1"/>
  <c r="G30" i="1"/>
  <c r="H30" i="1"/>
  <c r="I30" i="1"/>
  <c r="J30" i="1"/>
  <c r="K30" i="1"/>
  <c r="L30" i="1"/>
  <c r="F31" i="1"/>
  <c r="G31" i="1"/>
  <c r="H31" i="1"/>
  <c r="I31" i="1"/>
  <c r="J31" i="1"/>
  <c r="K31" i="1"/>
  <c r="L31" i="1"/>
  <c r="F34" i="1"/>
  <c r="G34" i="1"/>
  <c r="H34" i="1"/>
  <c r="I34" i="1"/>
  <c r="J34" i="1"/>
  <c r="K34" i="1"/>
  <c r="L34" i="1"/>
  <c r="F35" i="1"/>
  <c r="G35" i="1"/>
  <c r="H35" i="1"/>
  <c r="I35" i="1"/>
  <c r="J35" i="1"/>
  <c r="K35" i="1"/>
  <c r="L35" i="1"/>
  <c r="F36" i="1"/>
  <c r="G36" i="1"/>
  <c r="H36" i="1"/>
  <c r="I36" i="1"/>
  <c r="J36" i="1"/>
  <c r="K36" i="1"/>
  <c r="L36" i="1"/>
  <c r="F37" i="1"/>
  <c r="G37" i="1"/>
  <c r="H37" i="1"/>
  <c r="I37" i="1"/>
  <c r="J37" i="1"/>
  <c r="K37" i="1"/>
  <c r="L37" i="1"/>
  <c r="F39" i="1"/>
  <c r="G39" i="1"/>
  <c r="H39" i="1"/>
  <c r="I39" i="1"/>
  <c r="J39" i="1"/>
  <c r="K39" i="1"/>
  <c r="L39" i="1"/>
  <c r="F40" i="1"/>
  <c r="G40" i="1"/>
  <c r="H40" i="1"/>
  <c r="I40" i="1"/>
  <c r="J40" i="1"/>
  <c r="K40" i="1"/>
  <c r="L40" i="1"/>
  <c r="F41" i="1"/>
  <c r="G41" i="1"/>
  <c r="H41" i="1"/>
  <c r="I41" i="1"/>
  <c r="J41" i="1"/>
  <c r="K41" i="1"/>
  <c r="L41" i="1"/>
  <c r="F42" i="1"/>
  <c r="G42" i="1"/>
  <c r="H42" i="1"/>
  <c r="I42" i="1"/>
  <c r="J42" i="1"/>
  <c r="K42" i="1"/>
  <c r="L42" i="1"/>
  <c r="F43" i="1"/>
  <c r="G43" i="1"/>
  <c r="H43" i="1"/>
  <c r="I43" i="1"/>
  <c r="J43" i="1"/>
  <c r="K43" i="1"/>
  <c r="L43" i="1"/>
  <c r="F44" i="1"/>
  <c r="G44" i="1"/>
  <c r="H44" i="1"/>
  <c r="I44" i="1"/>
  <c r="J44" i="1"/>
  <c r="K44" i="1"/>
  <c r="L44" i="1"/>
  <c r="F45" i="1"/>
  <c r="G45" i="1"/>
  <c r="H45" i="1"/>
  <c r="I45" i="1"/>
  <c r="J45" i="1"/>
  <c r="K45" i="1"/>
  <c r="L45" i="1"/>
  <c r="F50" i="1"/>
  <c r="G50" i="1"/>
  <c r="H50" i="1"/>
  <c r="I50" i="1"/>
  <c r="J50" i="1"/>
  <c r="K50" i="1"/>
  <c r="L50" i="1"/>
  <c r="F51" i="1"/>
  <c r="G51" i="1"/>
  <c r="H51" i="1"/>
  <c r="I51" i="1"/>
  <c r="J51" i="1"/>
  <c r="K51" i="1"/>
  <c r="L51" i="1"/>
  <c r="F54" i="1"/>
  <c r="G54" i="1"/>
  <c r="H54" i="1"/>
  <c r="I54" i="1"/>
  <c r="J54" i="1"/>
  <c r="K54" i="1"/>
  <c r="L54" i="1"/>
  <c r="F55" i="1"/>
  <c r="G55" i="1"/>
  <c r="H55" i="1"/>
  <c r="I55" i="1"/>
  <c r="J55" i="1"/>
  <c r="K55" i="1"/>
  <c r="L55" i="1"/>
  <c r="F56" i="1"/>
  <c r="G56" i="1"/>
  <c r="H56" i="1"/>
  <c r="I56" i="1"/>
  <c r="J56" i="1"/>
  <c r="K56" i="1"/>
  <c r="L56" i="1"/>
  <c r="F57" i="1"/>
  <c r="G57" i="1"/>
  <c r="H57" i="1"/>
  <c r="I57" i="1"/>
  <c r="J57" i="1"/>
  <c r="K57" i="1"/>
  <c r="L57" i="1"/>
  <c r="F59" i="1"/>
  <c r="G59" i="1"/>
  <c r="H59" i="1"/>
  <c r="I59" i="1"/>
  <c r="J59" i="1"/>
  <c r="K59" i="1"/>
  <c r="L59" i="1"/>
  <c r="F60" i="1"/>
  <c r="G60" i="1"/>
  <c r="H60" i="1"/>
  <c r="I60" i="1"/>
  <c r="J60" i="1"/>
  <c r="K60" i="1"/>
  <c r="L60" i="1"/>
  <c r="F61" i="1"/>
  <c r="G61" i="1"/>
  <c r="H61" i="1"/>
  <c r="I61" i="1"/>
  <c r="J61" i="1"/>
  <c r="K61" i="1"/>
  <c r="L61" i="1"/>
  <c r="F62" i="1"/>
  <c r="G62" i="1"/>
  <c r="H62" i="1"/>
  <c r="I62" i="1"/>
  <c r="J62" i="1"/>
  <c r="K62" i="1"/>
  <c r="L62" i="1"/>
  <c r="F63" i="1"/>
  <c r="G63" i="1"/>
  <c r="H63" i="1"/>
  <c r="I63" i="1"/>
  <c r="J63" i="1"/>
  <c r="K63" i="1"/>
  <c r="L63" i="1"/>
  <c r="F64" i="1"/>
  <c r="G64" i="1"/>
  <c r="H64" i="1"/>
  <c r="I64" i="1"/>
  <c r="J64" i="1"/>
  <c r="K64" i="1"/>
  <c r="L64" i="1"/>
  <c r="F67" i="1"/>
  <c r="G67" i="1"/>
  <c r="H67" i="1"/>
  <c r="I67" i="1"/>
  <c r="J67" i="1"/>
  <c r="K67" i="1"/>
  <c r="L67" i="1"/>
  <c r="F68" i="1"/>
  <c r="G68" i="1"/>
  <c r="H68" i="1"/>
  <c r="I68" i="1"/>
  <c r="J68" i="1"/>
  <c r="K68" i="1"/>
  <c r="L68" i="1"/>
  <c r="F69" i="1"/>
  <c r="G69" i="1"/>
  <c r="H69" i="1"/>
  <c r="I69" i="1"/>
  <c r="J69" i="1"/>
  <c r="K69" i="1"/>
  <c r="L69" i="1"/>
  <c r="F72" i="1"/>
  <c r="G72" i="1"/>
  <c r="H72" i="1"/>
  <c r="I72" i="1"/>
  <c r="J72" i="1"/>
  <c r="K72" i="1"/>
  <c r="L72" i="1"/>
  <c r="F73" i="1"/>
  <c r="G73" i="1"/>
  <c r="H73" i="1"/>
  <c r="I73" i="1"/>
  <c r="J73" i="1"/>
  <c r="K73" i="1"/>
  <c r="L73" i="1"/>
  <c r="F74" i="1"/>
  <c r="G74" i="1"/>
  <c r="H74" i="1"/>
  <c r="I74" i="1"/>
  <c r="J74" i="1"/>
  <c r="K74" i="1"/>
  <c r="L74" i="1"/>
  <c r="F75" i="1"/>
  <c r="G75" i="1"/>
  <c r="H75" i="1"/>
  <c r="I75" i="1"/>
  <c r="J75" i="1"/>
  <c r="K75" i="1"/>
  <c r="L75" i="1"/>
  <c r="F77" i="1"/>
  <c r="G77" i="1"/>
  <c r="H77" i="1"/>
  <c r="I77" i="1"/>
  <c r="J77" i="1"/>
  <c r="K77" i="1"/>
  <c r="L77" i="1"/>
  <c r="F78" i="1"/>
  <c r="G78" i="1"/>
  <c r="H78" i="1"/>
  <c r="I78" i="1"/>
  <c r="J78" i="1"/>
  <c r="K78" i="1"/>
  <c r="L78" i="1"/>
  <c r="F79" i="1"/>
  <c r="G79" i="1"/>
  <c r="H79" i="1"/>
  <c r="I79" i="1"/>
  <c r="J79" i="1"/>
  <c r="K79" i="1"/>
  <c r="L79" i="1"/>
  <c r="F80" i="1"/>
  <c r="G80" i="1"/>
  <c r="H80" i="1"/>
  <c r="I80" i="1"/>
  <c r="J80" i="1"/>
  <c r="K80" i="1"/>
  <c r="L80" i="1"/>
  <c r="F81" i="1"/>
  <c r="G81" i="1"/>
  <c r="H81" i="1"/>
  <c r="I81" i="1"/>
  <c r="J81" i="1"/>
  <c r="K81" i="1"/>
  <c r="L81" i="1"/>
  <c r="F82" i="1"/>
  <c r="G82" i="1"/>
  <c r="H82" i="1"/>
  <c r="I82" i="1"/>
  <c r="J82" i="1"/>
  <c r="K82" i="1"/>
  <c r="L82" i="1"/>
  <c r="F83" i="1"/>
  <c r="G83" i="1"/>
  <c r="H83" i="1"/>
  <c r="I83" i="1"/>
  <c r="J83" i="1"/>
  <c r="K83" i="1"/>
  <c r="L83" i="1"/>
  <c r="F84" i="1"/>
  <c r="G84" i="1"/>
  <c r="H84" i="1"/>
  <c r="I84" i="1"/>
  <c r="J84" i="1"/>
  <c r="K84" i="1"/>
  <c r="L84" i="1"/>
  <c r="F85" i="1"/>
  <c r="G85" i="1"/>
  <c r="H85" i="1"/>
  <c r="I85" i="1"/>
  <c r="J85" i="1"/>
  <c r="K85" i="1"/>
  <c r="L85" i="1"/>
  <c r="F86" i="1"/>
  <c r="G86" i="1"/>
  <c r="H86" i="1"/>
  <c r="I86" i="1"/>
  <c r="J86" i="1"/>
  <c r="K86" i="1"/>
  <c r="L86" i="1"/>
  <c r="F87" i="1"/>
  <c r="G87" i="1"/>
  <c r="H87" i="1"/>
  <c r="I87" i="1"/>
  <c r="J87" i="1"/>
  <c r="K87" i="1"/>
  <c r="L87" i="1"/>
  <c r="F88" i="1"/>
  <c r="G88" i="1"/>
  <c r="H88" i="1"/>
  <c r="I88" i="1"/>
  <c r="J88" i="1"/>
  <c r="K88" i="1"/>
  <c r="L88" i="1"/>
  <c r="F90" i="1"/>
  <c r="G90" i="1"/>
  <c r="H90" i="1"/>
  <c r="I90" i="1"/>
  <c r="J90" i="1"/>
  <c r="K90" i="1"/>
  <c r="L90" i="1"/>
  <c r="F91" i="1"/>
  <c r="G91" i="1"/>
  <c r="H91" i="1"/>
  <c r="I91" i="1"/>
  <c r="J91" i="1"/>
  <c r="K91" i="1"/>
  <c r="L91" i="1"/>
  <c r="F93" i="1"/>
  <c r="G93" i="1"/>
  <c r="H93" i="1"/>
  <c r="I93" i="1"/>
  <c r="J93" i="1"/>
  <c r="K93" i="1"/>
  <c r="L93" i="1"/>
  <c r="F94" i="1"/>
  <c r="G94" i="1"/>
  <c r="H94" i="1"/>
  <c r="I94" i="1"/>
  <c r="J94" i="1"/>
  <c r="K94" i="1"/>
  <c r="L94" i="1"/>
  <c r="F96" i="1"/>
  <c r="G96" i="1"/>
  <c r="H96" i="1"/>
  <c r="I96" i="1"/>
  <c r="J96" i="1"/>
  <c r="K96" i="1"/>
  <c r="L96" i="1"/>
  <c r="F97" i="1"/>
  <c r="G97" i="1"/>
  <c r="H97" i="1"/>
  <c r="I97" i="1"/>
  <c r="J97" i="1"/>
  <c r="K97" i="1"/>
  <c r="L97" i="1"/>
  <c r="F99" i="1"/>
  <c r="G99" i="1"/>
  <c r="H99" i="1"/>
  <c r="I99" i="1"/>
  <c r="J99" i="1"/>
  <c r="K99" i="1"/>
  <c r="L99" i="1"/>
  <c r="F100" i="1"/>
  <c r="G100" i="1"/>
  <c r="H100" i="1"/>
  <c r="I100" i="1"/>
  <c r="J100" i="1"/>
  <c r="K100" i="1"/>
  <c r="L100" i="1"/>
  <c r="F101" i="1"/>
  <c r="G101" i="1"/>
  <c r="H101" i="1"/>
  <c r="I101" i="1"/>
  <c r="J101" i="1"/>
  <c r="K101" i="1"/>
  <c r="L101" i="1"/>
  <c r="F107" i="1"/>
  <c r="G107" i="1"/>
  <c r="H107" i="1"/>
  <c r="I107" i="1"/>
  <c r="J107" i="1"/>
  <c r="K107" i="1"/>
  <c r="L107" i="1"/>
  <c r="F108" i="1"/>
  <c r="G108" i="1"/>
  <c r="H108" i="1"/>
  <c r="I108" i="1"/>
  <c r="J108" i="1"/>
  <c r="K108" i="1"/>
  <c r="L108" i="1"/>
  <c r="F109" i="1"/>
  <c r="G109" i="1"/>
  <c r="H109" i="1"/>
  <c r="I109" i="1"/>
  <c r="J109" i="1"/>
  <c r="K109" i="1"/>
  <c r="L109" i="1"/>
  <c r="F118" i="1"/>
  <c r="G118" i="1"/>
  <c r="H118" i="1"/>
  <c r="I118" i="1"/>
  <c r="J118" i="1"/>
  <c r="K118" i="1"/>
  <c r="L118" i="1"/>
  <c r="F120" i="1"/>
  <c r="G120" i="1"/>
  <c r="H120" i="1"/>
  <c r="I120" i="1"/>
  <c r="J120" i="1"/>
  <c r="K120" i="1"/>
  <c r="L120" i="1"/>
  <c r="F126" i="1"/>
  <c r="G126" i="1"/>
  <c r="H126" i="1"/>
  <c r="I126" i="1"/>
  <c r="J126" i="1"/>
  <c r="K126" i="1"/>
  <c r="L126" i="1"/>
  <c r="F127" i="1"/>
  <c r="G127" i="1"/>
  <c r="H127" i="1"/>
  <c r="I127" i="1"/>
  <c r="J127" i="1"/>
  <c r="K127" i="1"/>
  <c r="L127" i="1"/>
  <c r="F128" i="1"/>
  <c r="G128" i="1"/>
  <c r="H128" i="1"/>
  <c r="I128" i="1"/>
  <c r="J128" i="1"/>
  <c r="K128" i="1"/>
  <c r="L128" i="1"/>
  <c r="F129" i="1"/>
  <c r="G129" i="1"/>
  <c r="H129" i="1"/>
  <c r="I129" i="1"/>
  <c r="J129" i="1"/>
  <c r="K129" i="1"/>
  <c r="L129" i="1"/>
  <c r="F133" i="1"/>
  <c r="G133" i="1"/>
  <c r="H133" i="1"/>
  <c r="I133" i="1"/>
  <c r="J133" i="1"/>
  <c r="K133" i="1"/>
  <c r="L133" i="1"/>
  <c r="F134" i="1"/>
  <c r="G134" i="1"/>
  <c r="H134" i="1"/>
  <c r="I134" i="1"/>
  <c r="J134" i="1"/>
  <c r="K134" i="1"/>
  <c r="L134" i="1"/>
  <c r="F135" i="1"/>
  <c r="G135" i="1"/>
  <c r="H135" i="1"/>
  <c r="I135" i="1"/>
  <c r="J135" i="1"/>
  <c r="K135" i="1"/>
  <c r="L135" i="1"/>
  <c r="F136" i="1"/>
  <c r="G136" i="1"/>
  <c r="H136" i="1"/>
  <c r="I136" i="1"/>
  <c r="J136" i="1"/>
  <c r="K136" i="1"/>
  <c r="L136" i="1"/>
  <c r="F138" i="1"/>
  <c r="G138" i="1"/>
  <c r="H138" i="1"/>
  <c r="I138" i="1"/>
  <c r="J138" i="1"/>
  <c r="K138" i="1"/>
  <c r="L138" i="1"/>
  <c r="F139" i="1"/>
  <c r="G139" i="1"/>
  <c r="H139" i="1"/>
  <c r="I139" i="1"/>
  <c r="J139" i="1"/>
  <c r="K139" i="1"/>
  <c r="L139" i="1"/>
  <c r="F140" i="1"/>
  <c r="G140" i="1"/>
  <c r="H140" i="1"/>
  <c r="I140" i="1"/>
  <c r="J140" i="1"/>
  <c r="K140" i="1"/>
  <c r="L140" i="1"/>
  <c r="F141" i="1"/>
  <c r="G141" i="1"/>
  <c r="H141" i="1"/>
  <c r="I141" i="1"/>
  <c r="J141" i="1"/>
  <c r="K141" i="1"/>
  <c r="L141" i="1"/>
  <c r="F144" i="1"/>
  <c r="G144" i="1"/>
  <c r="H144" i="1"/>
  <c r="I144" i="1"/>
  <c r="J144" i="1"/>
  <c r="K144" i="1"/>
  <c r="L144" i="1"/>
  <c r="F145" i="1"/>
  <c r="G145" i="1"/>
  <c r="H145" i="1"/>
  <c r="I145" i="1"/>
  <c r="J145" i="1"/>
  <c r="K145" i="1"/>
  <c r="L145" i="1"/>
  <c r="F146" i="1"/>
  <c r="G146" i="1"/>
  <c r="H146" i="1"/>
  <c r="I146" i="1"/>
  <c r="J146" i="1"/>
  <c r="K146" i="1"/>
  <c r="L146" i="1"/>
  <c r="F147" i="1"/>
  <c r="G147" i="1"/>
  <c r="H147" i="1"/>
  <c r="I147" i="1"/>
  <c r="J147" i="1"/>
  <c r="K147" i="1"/>
  <c r="L147" i="1"/>
  <c r="F148" i="1"/>
  <c r="G148" i="1"/>
  <c r="H148" i="1"/>
  <c r="I148" i="1"/>
  <c r="J148" i="1"/>
  <c r="K148" i="1"/>
  <c r="L148" i="1"/>
  <c r="F150" i="1"/>
  <c r="G150" i="1"/>
  <c r="H150" i="1"/>
  <c r="I150" i="1"/>
  <c r="J150" i="1"/>
  <c r="K150" i="1"/>
  <c r="L150" i="1"/>
  <c r="F151" i="1"/>
  <c r="G151" i="1"/>
  <c r="H151" i="1"/>
  <c r="I151" i="1"/>
  <c r="J151" i="1"/>
  <c r="K151" i="1"/>
  <c r="L151" i="1"/>
  <c r="F152" i="1"/>
  <c r="G152" i="1"/>
  <c r="H152" i="1"/>
  <c r="I152" i="1"/>
  <c r="J152" i="1"/>
  <c r="K152" i="1"/>
  <c r="L152" i="1"/>
  <c r="F153" i="1"/>
  <c r="G153" i="1"/>
  <c r="H153" i="1"/>
  <c r="I153" i="1"/>
  <c r="J153" i="1"/>
  <c r="K153" i="1"/>
  <c r="L153" i="1"/>
  <c r="F154" i="1"/>
  <c r="G154" i="1"/>
  <c r="H154" i="1"/>
  <c r="I154" i="1"/>
  <c r="J154" i="1"/>
  <c r="K154" i="1"/>
  <c r="L154" i="1"/>
  <c r="F156" i="1"/>
  <c r="G156" i="1"/>
  <c r="H156" i="1"/>
  <c r="I156" i="1"/>
  <c r="J156" i="1"/>
  <c r="K156" i="1"/>
  <c r="L156" i="1"/>
  <c r="F157" i="1"/>
  <c r="G157" i="1"/>
  <c r="H157" i="1"/>
  <c r="I157" i="1"/>
  <c r="J157" i="1"/>
  <c r="K157" i="1"/>
  <c r="L157" i="1"/>
  <c r="F158" i="1"/>
  <c r="G158" i="1"/>
  <c r="H158" i="1"/>
  <c r="I158" i="1"/>
  <c r="J158" i="1"/>
  <c r="K158" i="1"/>
  <c r="L158" i="1"/>
  <c r="F159" i="1"/>
  <c r="G159" i="1"/>
  <c r="H159" i="1"/>
  <c r="I159" i="1"/>
  <c r="J159" i="1"/>
  <c r="K159" i="1"/>
  <c r="L159" i="1"/>
  <c r="F162" i="1"/>
  <c r="G162" i="1"/>
  <c r="H162" i="1"/>
  <c r="I162" i="1"/>
  <c r="J162" i="1"/>
  <c r="K162" i="1"/>
  <c r="L162" i="1"/>
  <c r="F163" i="1"/>
  <c r="G163" i="1"/>
  <c r="H163" i="1"/>
  <c r="I163" i="1"/>
  <c r="J163" i="1"/>
  <c r="K163" i="1"/>
  <c r="L163" i="1"/>
  <c r="F164" i="1"/>
  <c r="G164" i="1"/>
  <c r="H164" i="1"/>
  <c r="I164" i="1"/>
  <c r="J164" i="1"/>
  <c r="K164" i="1"/>
  <c r="L164" i="1"/>
  <c r="F165" i="1"/>
  <c r="G165" i="1"/>
  <c r="H165" i="1"/>
  <c r="I165" i="1"/>
  <c r="J165" i="1"/>
  <c r="K165" i="1"/>
  <c r="L165" i="1"/>
  <c r="F167" i="1"/>
  <c r="G167" i="1"/>
  <c r="H167" i="1"/>
  <c r="I167" i="1"/>
  <c r="J167" i="1"/>
  <c r="K167" i="1"/>
  <c r="L167" i="1"/>
  <c r="F168" i="1"/>
  <c r="G168" i="1"/>
  <c r="H168" i="1"/>
  <c r="I168" i="1"/>
  <c r="J168" i="1"/>
  <c r="K168" i="1"/>
  <c r="L168" i="1"/>
  <c r="F169" i="1"/>
  <c r="G169" i="1"/>
  <c r="H169" i="1"/>
  <c r="I169" i="1"/>
  <c r="J169" i="1"/>
  <c r="K169" i="1"/>
  <c r="L169" i="1"/>
  <c r="F170" i="1"/>
  <c r="G170" i="1"/>
  <c r="H170" i="1"/>
  <c r="I170" i="1"/>
  <c r="J170" i="1"/>
  <c r="K170" i="1"/>
  <c r="L170" i="1"/>
  <c r="F172" i="1"/>
  <c r="G172" i="1"/>
  <c r="H172" i="1"/>
  <c r="I172" i="1"/>
  <c r="J172" i="1"/>
  <c r="K172" i="1"/>
  <c r="L172" i="1"/>
  <c r="F173" i="1"/>
  <c r="G173" i="1"/>
  <c r="H173" i="1"/>
  <c r="I173" i="1"/>
  <c r="J173" i="1"/>
  <c r="K173" i="1"/>
  <c r="L173" i="1"/>
  <c r="F174" i="1"/>
  <c r="G174" i="1"/>
  <c r="H174" i="1"/>
  <c r="I174" i="1"/>
  <c r="J174" i="1"/>
  <c r="K174" i="1"/>
  <c r="L174" i="1"/>
  <c r="F175" i="1"/>
  <c r="G175" i="1"/>
  <c r="H175" i="1"/>
  <c r="I175" i="1"/>
  <c r="J175" i="1"/>
  <c r="K175" i="1"/>
  <c r="L175" i="1"/>
  <c r="F177" i="1"/>
  <c r="G177" i="1"/>
  <c r="H177" i="1"/>
  <c r="I177" i="1"/>
  <c r="J177" i="1"/>
  <c r="K177" i="1"/>
  <c r="L177" i="1"/>
  <c r="F178" i="1"/>
  <c r="G178" i="1"/>
  <c r="H178" i="1"/>
  <c r="I178" i="1"/>
  <c r="J178" i="1"/>
  <c r="K178" i="1"/>
  <c r="L178" i="1"/>
  <c r="F179" i="1"/>
  <c r="G179" i="1"/>
  <c r="H179" i="1"/>
  <c r="I179" i="1"/>
  <c r="J179" i="1"/>
  <c r="K179" i="1"/>
  <c r="L179" i="1"/>
  <c r="F180" i="1"/>
  <c r="G180" i="1"/>
  <c r="H180" i="1"/>
  <c r="I180" i="1"/>
  <c r="J180" i="1"/>
  <c r="K180" i="1"/>
  <c r="L180" i="1"/>
  <c r="F182" i="1"/>
  <c r="G182" i="1"/>
  <c r="H182" i="1"/>
  <c r="I182" i="1"/>
  <c r="J182" i="1"/>
  <c r="K182" i="1"/>
  <c r="L182" i="1"/>
  <c r="F183" i="1"/>
  <c r="G183" i="1"/>
  <c r="H183" i="1"/>
  <c r="I183" i="1"/>
  <c r="J183" i="1"/>
  <c r="K183" i="1"/>
  <c r="L183" i="1"/>
  <c r="F184" i="1"/>
  <c r="G184" i="1"/>
  <c r="H184" i="1"/>
  <c r="I184" i="1"/>
  <c r="J184" i="1"/>
  <c r="K184" i="1"/>
  <c r="L184" i="1"/>
  <c r="F185" i="1"/>
  <c r="G185" i="1"/>
  <c r="H185" i="1"/>
  <c r="I185" i="1"/>
  <c r="J185" i="1"/>
  <c r="K185" i="1"/>
  <c r="L185" i="1"/>
  <c r="F187" i="1"/>
  <c r="G187" i="1"/>
  <c r="H187" i="1"/>
  <c r="I187" i="1"/>
  <c r="J187" i="1"/>
  <c r="K187" i="1"/>
  <c r="L187" i="1"/>
  <c r="F188" i="1"/>
  <c r="G188" i="1"/>
  <c r="H188" i="1"/>
  <c r="I188" i="1"/>
  <c r="J188" i="1"/>
  <c r="K188" i="1"/>
  <c r="L188" i="1"/>
  <c r="F189" i="1"/>
  <c r="G189" i="1"/>
  <c r="H189" i="1"/>
  <c r="I189" i="1"/>
  <c r="J189" i="1"/>
  <c r="K189" i="1"/>
  <c r="L189" i="1"/>
  <c r="F190" i="1"/>
  <c r="G190" i="1"/>
  <c r="H190" i="1"/>
  <c r="I190" i="1"/>
  <c r="J190" i="1"/>
  <c r="K190" i="1"/>
  <c r="L190" i="1"/>
  <c r="F194" i="1"/>
  <c r="G194" i="1"/>
  <c r="H194" i="1"/>
  <c r="I194" i="1"/>
  <c r="J194" i="1"/>
  <c r="K194" i="1"/>
  <c r="L194" i="1"/>
  <c r="F196" i="1"/>
  <c r="G196" i="1"/>
  <c r="H196" i="1"/>
  <c r="I196" i="1"/>
  <c r="J196" i="1"/>
  <c r="K196" i="1"/>
  <c r="L196" i="1"/>
  <c r="F214" i="1"/>
  <c r="G214" i="1"/>
  <c r="H214" i="1"/>
  <c r="I214" i="1"/>
  <c r="J214" i="1"/>
  <c r="K214" i="1"/>
  <c r="L214" i="1"/>
  <c r="F215" i="1"/>
  <c r="G215" i="1"/>
  <c r="H215" i="1"/>
  <c r="I215" i="1"/>
  <c r="J215" i="1"/>
  <c r="K215" i="1"/>
  <c r="L215" i="1"/>
  <c r="F216" i="1"/>
  <c r="G216" i="1"/>
  <c r="H216" i="1"/>
  <c r="I216" i="1"/>
  <c r="J216" i="1"/>
  <c r="K216" i="1"/>
  <c r="L216" i="1"/>
  <c r="F217" i="1"/>
  <c r="G217" i="1"/>
  <c r="H217" i="1"/>
  <c r="I217" i="1"/>
  <c r="J217" i="1"/>
  <c r="K217" i="1"/>
  <c r="L217" i="1"/>
  <c r="F220" i="1"/>
  <c r="G220" i="1"/>
  <c r="H220" i="1"/>
  <c r="I220" i="1"/>
  <c r="J220" i="1"/>
  <c r="K220" i="1"/>
  <c r="L220" i="1"/>
  <c r="F222" i="1"/>
  <c r="G222" i="1"/>
  <c r="H222" i="1"/>
  <c r="I222" i="1"/>
  <c r="J222" i="1"/>
  <c r="K222" i="1"/>
  <c r="L222" i="1"/>
  <c r="F223" i="1"/>
  <c r="G223" i="1"/>
  <c r="H223" i="1"/>
  <c r="I223" i="1"/>
  <c r="J223" i="1"/>
  <c r="K223" i="1"/>
  <c r="L223" i="1"/>
  <c r="F251" i="1"/>
  <c r="G251" i="1"/>
  <c r="H251" i="1"/>
  <c r="I251" i="1"/>
  <c r="J251" i="1"/>
  <c r="K251" i="1"/>
  <c r="L251" i="1"/>
  <c r="F252" i="1"/>
  <c r="G252" i="1"/>
  <c r="H252" i="1"/>
  <c r="I252" i="1"/>
  <c r="J252" i="1"/>
  <c r="K252" i="1"/>
  <c r="L252" i="1"/>
  <c r="F253" i="1"/>
  <c r="G253" i="1"/>
  <c r="H253" i="1"/>
  <c r="I253" i="1"/>
  <c r="J253" i="1"/>
  <c r="K253" i="1"/>
  <c r="L253" i="1"/>
  <c r="F254" i="1"/>
  <c r="G254" i="1"/>
  <c r="H254" i="1"/>
  <c r="I254" i="1"/>
  <c r="J254" i="1"/>
  <c r="K254" i="1"/>
  <c r="L254" i="1"/>
  <c r="F256" i="1"/>
  <c r="G256" i="1"/>
  <c r="H256" i="1"/>
  <c r="I256" i="1"/>
  <c r="J256" i="1"/>
  <c r="K256" i="1"/>
  <c r="L256" i="1"/>
  <c r="F257" i="1"/>
  <c r="G257" i="1"/>
  <c r="H257" i="1"/>
  <c r="I257" i="1"/>
  <c r="J257" i="1"/>
  <c r="K257" i="1"/>
  <c r="L257" i="1"/>
  <c r="F258" i="1"/>
  <c r="G258" i="1"/>
  <c r="H258" i="1"/>
  <c r="I258" i="1"/>
  <c r="J258" i="1"/>
  <c r="K258" i="1"/>
  <c r="L258" i="1"/>
  <c r="F261" i="1"/>
  <c r="G261" i="1"/>
  <c r="H261" i="1"/>
  <c r="I261" i="1"/>
  <c r="J261" i="1"/>
  <c r="K261" i="1"/>
  <c r="L261" i="1"/>
  <c r="F262" i="1"/>
  <c r="G262" i="1"/>
  <c r="H262" i="1"/>
  <c r="I262" i="1"/>
  <c r="J262" i="1"/>
  <c r="K262" i="1"/>
  <c r="L262" i="1"/>
  <c r="F263" i="1"/>
  <c r="G263" i="1"/>
  <c r="H263" i="1"/>
  <c r="I263" i="1"/>
  <c r="J263" i="1"/>
  <c r="K263" i="1"/>
  <c r="L263" i="1"/>
  <c r="F266" i="1"/>
  <c r="G266" i="1"/>
  <c r="H266" i="1"/>
  <c r="I266" i="1"/>
  <c r="J266" i="1"/>
  <c r="K266" i="1"/>
  <c r="L266" i="1"/>
  <c r="F267" i="1"/>
  <c r="G267" i="1"/>
  <c r="H267" i="1"/>
  <c r="I267" i="1"/>
  <c r="J267" i="1"/>
  <c r="K267" i="1"/>
  <c r="L267" i="1"/>
  <c r="F268" i="1"/>
  <c r="G268" i="1"/>
  <c r="H268" i="1"/>
  <c r="I268" i="1"/>
  <c r="J268" i="1"/>
  <c r="K268" i="1"/>
  <c r="L268" i="1"/>
  <c r="F4" i="9"/>
  <c r="G4" i="9"/>
  <c r="H4" i="9"/>
  <c r="I4" i="9"/>
  <c r="J4" i="9"/>
  <c r="K4" i="9"/>
  <c r="L4" i="9"/>
  <c r="F5" i="9"/>
  <c r="G5" i="9"/>
  <c r="H5" i="9"/>
  <c r="I5" i="9"/>
  <c r="J5" i="9"/>
  <c r="K5" i="9"/>
  <c r="L5" i="9"/>
  <c r="F11" i="9"/>
  <c r="G11" i="9"/>
  <c r="H11" i="9"/>
  <c r="I11" i="9"/>
  <c r="J11" i="9"/>
  <c r="K11" i="9"/>
  <c r="L11" i="9"/>
  <c r="F13" i="9"/>
  <c r="G13" i="9"/>
  <c r="H13" i="9"/>
  <c r="I13" i="9"/>
  <c r="J13" i="9"/>
  <c r="K13" i="9"/>
  <c r="L13" i="9"/>
  <c r="F15" i="9"/>
  <c r="G15" i="9"/>
  <c r="H15" i="9"/>
  <c r="I15" i="9"/>
  <c r="J15" i="9"/>
  <c r="K15" i="9"/>
  <c r="L15" i="9"/>
  <c r="F17" i="9"/>
  <c r="G17" i="9"/>
  <c r="H17" i="9"/>
  <c r="I17" i="9"/>
  <c r="J17" i="9"/>
  <c r="K17" i="9"/>
  <c r="L17" i="9"/>
  <c r="F20" i="9"/>
  <c r="G20" i="9"/>
  <c r="H20" i="9"/>
  <c r="I20" i="9"/>
  <c r="J20" i="9"/>
  <c r="K20" i="9"/>
  <c r="L20" i="9"/>
  <c r="F21" i="9"/>
  <c r="G21" i="9"/>
  <c r="H21" i="9"/>
  <c r="I21" i="9"/>
  <c r="J21" i="9"/>
  <c r="K21" i="9"/>
  <c r="L21" i="9"/>
  <c r="F22" i="9"/>
  <c r="G22" i="9"/>
  <c r="H22" i="9"/>
  <c r="I22" i="9"/>
  <c r="J22" i="9"/>
  <c r="K22" i="9"/>
  <c r="L22" i="9"/>
  <c r="F26" i="9"/>
  <c r="G26" i="9"/>
  <c r="H26" i="9"/>
  <c r="I26" i="9"/>
  <c r="J26" i="9"/>
  <c r="K26" i="9"/>
  <c r="L26" i="9"/>
  <c r="F27" i="9"/>
  <c r="G27" i="9"/>
  <c r="H27" i="9"/>
  <c r="I27" i="9"/>
  <c r="J27" i="9"/>
  <c r="K27" i="9"/>
  <c r="L27" i="9"/>
  <c r="F28" i="9"/>
  <c r="G28" i="9"/>
  <c r="H28" i="9"/>
  <c r="I28" i="9"/>
  <c r="J28" i="9"/>
  <c r="K28" i="9"/>
  <c r="L28" i="9"/>
  <c r="F29" i="9"/>
  <c r="G29" i="9"/>
  <c r="H29" i="9"/>
  <c r="I29" i="9"/>
  <c r="J29" i="9"/>
  <c r="K29" i="9"/>
  <c r="L29" i="9"/>
  <c r="F31" i="9"/>
  <c r="G31" i="9"/>
  <c r="H31" i="9"/>
  <c r="I31" i="9"/>
  <c r="J31" i="9"/>
  <c r="K31" i="9"/>
  <c r="L31" i="9"/>
  <c r="F32" i="9"/>
  <c r="G32" i="9"/>
  <c r="H32" i="9"/>
  <c r="I32" i="9"/>
  <c r="J32" i="9"/>
  <c r="K32" i="9"/>
  <c r="L32" i="9"/>
  <c r="F36" i="9"/>
  <c r="G36" i="9"/>
  <c r="H36" i="9"/>
  <c r="I36" i="9"/>
  <c r="J36" i="9"/>
  <c r="K36" i="9"/>
  <c r="L36" i="9"/>
  <c r="F37" i="9"/>
  <c r="G37" i="9"/>
  <c r="H37" i="9"/>
  <c r="I37" i="9"/>
  <c r="J37" i="9"/>
  <c r="K37" i="9"/>
  <c r="L37" i="9"/>
  <c r="F38" i="9"/>
  <c r="G38" i="9"/>
  <c r="H38" i="9"/>
  <c r="I38" i="9"/>
  <c r="J38" i="9"/>
  <c r="K38" i="9"/>
  <c r="L38" i="9"/>
  <c r="F39" i="9"/>
  <c r="G39" i="9"/>
  <c r="H39" i="9"/>
  <c r="I39" i="9"/>
  <c r="J39" i="9"/>
  <c r="K39" i="9"/>
  <c r="L39" i="9"/>
  <c r="F40" i="9"/>
  <c r="G40" i="9"/>
  <c r="H40" i="9"/>
  <c r="I40" i="9"/>
  <c r="J40" i="9"/>
  <c r="K40" i="9"/>
  <c r="L40" i="9"/>
  <c r="F42" i="9"/>
  <c r="G42" i="9"/>
  <c r="H42" i="9"/>
  <c r="I42" i="9"/>
  <c r="J42" i="9"/>
  <c r="K42" i="9"/>
  <c r="L42" i="9"/>
  <c r="F43" i="9"/>
  <c r="G43" i="9"/>
  <c r="H43" i="9"/>
  <c r="I43" i="9"/>
  <c r="J43" i="9"/>
  <c r="K43" i="9"/>
  <c r="L43" i="9"/>
  <c r="F44" i="9"/>
  <c r="G44" i="9"/>
  <c r="H44" i="9"/>
  <c r="I44" i="9"/>
  <c r="J44" i="9"/>
  <c r="K44" i="9"/>
  <c r="L44" i="9"/>
  <c r="F45" i="9"/>
  <c r="G45" i="9"/>
  <c r="H45" i="9"/>
  <c r="I45" i="9"/>
  <c r="J45" i="9"/>
  <c r="K45" i="9"/>
  <c r="L45" i="9"/>
  <c r="F46" i="9"/>
  <c r="G46" i="9"/>
  <c r="H46" i="9"/>
  <c r="I46" i="9"/>
  <c r="J46" i="9"/>
  <c r="K46" i="9"/>
  <c r="L46" i="9"/>
  <c r="F47" i="9"/>
  <c r="G47" i="9"/>
  <c r="H47" i="9"/>
  <c r="I47" i="9"/>
  <c r="J47" i="9"/>
  <c r="K47" i="9"/>
  <c r="L47" i="9"/>
  <c r="F49" i="9"/>
  <c r="G49" i="9"/>
  <c r="H49" i="9"/>
  <c r="I49" i="9"/>
  <c r="J49" i="9"/>
  <c r="K49" i="9"/>
  <c r="L49" i="9"/>
  <c r="F50" i="9"/>
  <c r="G50" i="9"/>
  <c r="H50" i="9"/>
  <c r="I50" i="9"/>
  <c r="J50" i="9"/>
  <c r="K50" i="9"/>
  <c r="L50" i="9"/>
  <c r="F51" i="9"/>
  <c r="G51" i="9"/>
  <c r="H51" i="9"/>
  <c r="I51" i="9"/>
  <c r="J51" i="9"/>
  <c r="K51" i="9"/>
  <c r="L51" i="9"/>
  <c r="F52" i="9"/>
  <c r="G52" i="9"/>
  <c r="H52" i="9"/>
  <c r="I52" i="9"/>
  <c r="J52" i="9"/>
  <c r="K52" i="9"/>
  <c r="L52" i="9"/>
  <c r="F53" i="9"/>
  <c r="G53" i="9"/>
  <c r="H53" i="9"/>
  <c r="I53" i="9"/>
  <c r="J53" i="9"/>
  <c r="K53" i="9"/>
  <c r="L53" i="9"/>
  <c r="F54" i="9"/>
  <c r="G54" i="9"/>
  <c r="H54" i="9"/>
  <c r="I54" i="9"/>
  <c r="J54" i="9"/>
  <c r="K54" i="9"/>
  <c r="L54" i="9"/>
  <c r="F55" i="9"/>
  <c r="G55" i="9"/>
  <c r="H55" i="9"/>
  <c r="I55" i="9"/>
  <c r="J55" i="9"/>
  <c r="K55" i="9"/>
  <c r="L55" i="9"/>
  <c r="F56" i="9"/>
  <c r="G56" i="9"/>
  <c r="H56" i="9"/>
  <c r="I56" i="9"/>
  <c r="J56" i="9"/>
  <c r="K56" i="9"/>
  <c r="L56" i="9"/>
  <c r="F57" i="9"/>
  <c r="G57" i="9"/>
  <c r="H57" i="9"/>
  <c r="I57" i="9"/>
  <c r="J57" i="9"/>
  <c r="K57" i="9"/>
  <c r="L57" i="9"/>
  <c r="F58" i="9"/>
  <c r="G58" i="9"/>
  <c r="H58" i="9"/>
  <c r="I58" i="9"/>
  <c r="J58" i="9"/>
  <c r="K58" i="9"/>
  <c r="L58" i="9"/>
  <c r="F63" i="9"/>
  <c r="G63" i="9"/>
  <c r="H63" i="9"/>
  <c r="I63" i="9"/>
  <c r="J63" i="9"/>
  <c r="K63" i="9"/>
  <c r="L63" i="9"/>
  <c r="F64" i="9"/>
  <c r="G64" i="9"/>
  <c r="H64" i="9"/>
  <c r="I64" i="9"/>
  <c r="J64" i="9"/>
  <c r="K64" i="9"/>
  <c r="L64" i="9"/>
  <c r="F70" i="9"/>
  <c r="G70" i="9"/>
  <c r="H70" i="9"/>
  <c r="I70" i="9"/>
  <c r="J70" i="9"/>
  <c r="K70" i="9"/>
  <c r="L70" i="9"/>
  <c r="F72" i="9"/>
  <c r="G72" i="9"/>
  <c r="H72" i="9"/>
  <c r="I72" i="9"/>
  <c r="J72" i="9"/>
  <c r="K72" i="9"/>
  <c r="L72" i="9"/>
  <c r="F74" i="9"/>
  <c r="G74" i="9"/>
  <c r="H74" i="9"/>
  <c r="I74" i="9"/>
  <c r="J74" i="9"/>
  <c r="K74" i="9"/>
  <c r="L74" i="9"/>
  <c r="F76" i="9"/>
  <c r="G76" i="9"/>
  <c r="H76" i="9"/>
  <c r="I76" i="9"/>
  <c r="J76" i="9"/>
  <c r="K76" i="9"/>
  <c r="L76" i="9"/>
  <c r="F79" i="9"/>
  <c r="G79" i="9"/>
  <c r="H79" i="9"/>
  <c r="I79" i="9"/>
  <c r="J79" i="9"/>
  <c r="K79" i="9"/>
  <c r="L79" i="9"/>
  <c r="F80" i="9"/>
  <c r="G80" i="9"/>
  <c r="H80" i="9"/>
  <c r="I80" i="9"/>
  <c r="J80" i="9"/>
  <c r="K80" i="9"/>
  <c r="L80" i="9"/>
  <c r="F81" i="9"/>
  <c r="G81" i="9"/>
  <c r="H81" i="9"/>
  <c r="I81" i="9"/>
  <c r="J81" i="9"/>
  <c r="K81" i="9"/>
  <c r="L81" i="9"/>
  <c r="F85" i="9"/>
  <c r="G85" i="9"/>
  <c r="H85" i="9"/>
  <c r="I85" i="9"/>
  <c r="J85" i="9"/>
  <c r="K85" i="9"/>
  <c r="L85" i="9"/>
  <c r="F86" i="9"/>
  <c r="G86" i="9"/>
  <c r="H86" i="9"/>
  <c r="I86" i="9"/>
  <c r="J86" i="9"/>
  <c r="K86" i="9"/>
  <c r="L86" i="9"/>
  <c r="F88" i="9"/>
  <c r="G88" i="9"/>
  <c r="H88" i="9"/>
  <c r="I88" i="9"/>
  <c r="J88" i="9"/>
  <c r="K88" i="9"/>
  <c r="L88" i="9"/>
  <c r="F90" i="9"/>
  <c r="G90" i="9"/>
  <c r="H90" i="9"/>
  <c r="I90" i="9"/>
  <c r="J90" i="9"/>
  <c r="K90" i="9"/>
  <c r="L90" i="9"/>
  <c r="F91" i="9"/>
  <c r="G91" i="9"/>
  <c r="H91" i="9"/>
  <c r="I91" i="9"/>
  <c r="J91" i="9"/>
  <c r="K91" i="9"/>
  <c r="L91" i="9"/>
  <c r="F95" i="9"/>
  <c r="G95" i="9"/>
  <c r="H95" i="9"/>
  <c r="I95" i="9"/>
  <c r="J95" i="9"/>
  <c r="K95" i="9"/>
  <c r="L95" i="9"/>
  <c r="F96" i="9"/>
  <c r="G96" i="9"/>
  <c r="H96" i="9"/>
  <c r="I96" i="9"/>
  <c r="J96" i="9"/>
  <c r="K96" i="9"/>
  <c r="L96" i="9"/>
  <c r="F97" i="9"/>
  <c r="G97" i="9"/>
  <c r="H97" i="9"/>
  <c r="I97" i="9"/>
  <c r="J97" i="9"/>
  <c r="K97" i="9"/>
  <c r="L97" i="9"/>
  <c r="F98" i="9"/>
  <c r="G98" i="9"/>
  <c r="H98" i="9"/>
  <c r="I98" i="9"/>
  <c r="J98" i="9"/>
  <c r="K98" i="9"/>
  <c r="L98" i="9"/>
  <c r="F99" i="9"/>
  <c r="G99" i="9"/>
  <c r="H99" i="9"/>
  <c r="I99" i="9"/>
  <c r="J99" i="9"/>
  <c r="K99" i="9"/>
  <c r="L99" i="9"/>
  <c r="F101" i="9"/>
  <c r="G101" i="9"/>
  <c r="H101" i="9"/>
  <c r="I101" i="9"/>
  <c r="J101" i="9"/>
  <c r="K101" i="9"/>
  <c r="L101" i="9"/>
  <c r="F102" i="9"/>
  <c r="G102" i="9"/>
  <c r="H102" i="9"/>
  <c r="I102" i="9"/>
  <c r="J102" i="9"/>
  <c r="K102" i="9"/>
  <c r="L102" i="9"/>
  <c r="F103" i="9"/>
  <c r="G103" i="9"/>
  <c r="H103" i="9"/>
  <c r="I103" i="9"/>
  <c r="J103" i="9"/>
  <c r="K103" i="9"/>
  <c r="L103" i="9"/>
  <c r="F104" i="9"/>
  <c r="G104" i="9"/>
  <c r="H104" i="9"/>
  <c r="I104" i="9"/>
  <c r="J104" i="9"/>
  <c r="K104" i="9"/>
  <c r="L104" i="9"/>
  <c r="F105" i="9"/>
  <c r="G105" i="9"/>
  <c r="H105" i="9"/>
  <c r="I105" i="9"/>
  <c r="J105" i="9"/>
  <c r="K105" i="9"/>
  <c r="L105" i="9"/>
  <c r="F106" i="9"/>
  <c r="G106" i="9"/>
  <c r="H106" i="9"/>
  <c r="I106" i="9"/>
  <c r="J106" i="9"/>
  <c r="K106" i="9"/>
  <c r="L106" i="9"/>
  <c r="F108" i="9"/>
  <c r="G108" i="9"/>
  <c r="H108" i="9"/>
  <c r="I108" i="9"/>
  <c r="J108" i="9"/>
  <c r="K108" i="9"/>
  <c r="L108" i="9"/>
  <c r="F109" i="9"/>
  <c r="G109" i="9"/>
  <c r="H109" i="9"/>
  <c r="I109" i="9"/>
  <c r="J109" i="9"/>
  <c r="K109" i="9"/>
  <c r="L109" i="9"/>
  <c r="F110" i="9"/>
  <c r="G110" i="9"/>
  <c r="H110" i="9"/>
  <c r="I110" i="9"/>
  <c r="J110" i="9"/>
  <c r="K110" i="9"/>
  <c r="L110" i="9"/>
  <c r="F111" i="9"/>
  <c r="G111" i="9"/>
  <c r="H111" i="9"/>
  <c r="I111" i="9"/>
  <c r="J111" i="9"/>
  <c r="K111" i="9"/>
  <c r="L111" i="9"/>
  <c r="F112" i="9"/>
  <c r="G112" i="9"/>
  <c r="H112" i="9"/>
  <c r="I112" i="9"/>
  <c r="J112" i="9"/>
  <c r="K112" i="9"/>
  <c r="L112" i="9"/>
  <c r="F113" i="9"/>
  <c r="G113" i="9"/>
  <c r="H113" i="9"/>
  <c r="I113" i="9"/>
  <c r="J113" i="9"/>
  <c r="K113" i="9"/>
  <c r="L113" i="9"/>
  <c r="F114" i="9"/>
  <c r="G114" i="9"/>
  <c r="H114" i="9"/>
  <c r="I114" i="9"/>
  <c r="J114" i="9"/>
  <c r="K114" i="9"/>
  <c r="L114" i="9"/>
  <c r="F115" i="9"/>
  <c r="G115" i="9"/>
  <c r="H115" i="9"/>
  <c r="I115" i="9"/>
  <c r="J115" i="9"/>
  <c r="K115" i="9"/>
  <c r="L115" i="9"/>
  <c r="F116" i="9"/>
  <c r="G116" i="9"/>
  <c r="H116" i="9"/>
  <c r="I116" i="9"/>
  <c r="J116" i="9"/>
  <c r="K116" i="9"/>
  <c r="L116" i="9"/>
  <c r="F117" i="9"/>
  <c r="G117" i="9"/>
  <c r="H117" i="9"/>
  <c r="I117" i="9"/>
  <c r="J117" i="9"/>
  <c r="K117" i="9"/>
  <c r="L117" i="9"/>
  <c r="F5" i="4"/>
  <c r="G5" i="4"/>
  <c r="H5" i="4"/>
  <c r="I5" i="4"/>
  <c r="J5" i="4"/>
  <c r="K5" i="4"/>
  <c r="L5" i="4"/>
  <c r="F9" i="4"/>
  <c r="G9" i="4"/>
  <c r="H9" i="4"/>
  <c r="I9" i="4"/>
  <c r="J9" i="4"/>
  <c r="K9" i="4"/>
  <c r="L9" i="4"/>
  <c r="F10" i="4"/>
  <c r="G10" i="4"/>
  <c r="H10" i="4"/>
  <c r="I10" i="4"/>
  <c r="J10" i="4"/>
  <c r="K10" i="4"/>
  <c r="L10" i="4"/>
  <c r="F11" i="4"/>
  <c r="G11" i="4"/>
  <c r="H11" i="4"/>
  <c r="I11" i="4"/>
  <c r="J11" i="4"/>
  <c r="K11" i="4"/>
  <c r="L11" i="4"/>
  <c r="F12" i="4"/>
  <c r="G12" i="4"/>
  <c r="H12" i="4"/>
  <c r="I12" i="4"/>
  <c r="J12" i="4"/>
  <c r="K12" i="4"/>
  <c r="L12" i="4"/>
  <c r="F13" i="4"/>
  <c r="G13" i="4"/>
  <c r="H13" i="4"/>
  <c r="I13" i="4"/>
  <c r="J13" i="4"/>
  <c r="K13" i="4"/>
  <c r="L13" i="4"/>
  <c r="F14" i="4"/>
  <c r="G14" i="4"/>
  <c r="H14" i="4"/>
  <c r="I14" i="4"/>
  <c r="J14" i="4"/>
  <c r="K14" i="4"/>
  <c r="L14" i="4"/>
  <c r="F16" i="4"/>
  <c r="G16" i="4"/>
  <c r="H16" i="4"/>
  <c r="I16" i="4"/>
  <c r="J16" i="4"/>
  <c r="K16" i="4"/>
  <c r="L16" i="4"/>
  <c r="F19" i="4"/>
  <c r="G19" i="4"/>
  <c r="H19" i="4"/>
  <c r="I19" i="4"/>
  <c r="J19" i="4"/>
  <c r="K19" i="4"/>
  <c r="L19" i="4"/>
  <c r="F20" i="4"/>
  <c r="G20" i="4"/>
  <c r="H20" i="4"/>
  <c r="I20" i="4"/>
  <c r="J20" i="4"/>
  <c r="K20" i="4"/>
  <c r="L20" i="4"/>
  <c r="F21" i="4"/>
  <c r="G21" i="4"/>
  <c r="H21" i="4"/>
  <c r="I21" i="4"/>
  <c r="J21" i="4"/>
  <c r="K21" i="4"/>
  <c r="L21" i="4"/>
  <c r="F22" i="4"/>
  <c r="G22" i="4"/>
  <c r="H22" i="4"/>
  <c r="I22" i="4"/>
  <c r="J22" i="4"/>
  <c r="K22" i="4"/>
  <c r="L22" i="4"/>
  <c r="F24" i="4"/>
  <c r="G24" i="4"/>
  <c r="H24" i="4"/>
  <c r="I24" i="4"/>
  <c r="J24" i="4"/>
  <c r="K24" i="4"/>
  <c r="L24" i="4"/>
  <c r="F26" i="4"/>
  <c r="G26" i="4"/>
  <c r="H26" i="4"/>
  <c r="I26" i="4"/>
  <c r="J26" i="4"/>
  <c r="K26" i="4"/>
  <c r="L26" i="4"/>
  <c r="F28" i="4"/>
  <c r="G28" i="4"/>
  <c r="H28" i="4"/>
  <c r="I28" i="4"/>
  <c r="J28" i="4"/>
  <c r="K28" i="4"/>
  <c r="L28" i="4"/>
  <c r="F31" i="4"/>
  <c r="G31" i="4"/>
  <c r="H31" i="4"/>
  <c r="I31" i="4"/>
  <c r="J31" i="4"/>
  <c r="K31" i="4"/>
  <c r="L31" i="4"/>
  <c r="F32" i="4"/>
  <c r="G32" i="4"/>
  <c r="H32" i="4"/>
  <c r="I32" i="4"/>
  <c r="J32" i="4"/>
  <c r="K32" i="4"/>
  <c r="L32" i="4"/>
  <c r="F33" i="4"/>
  <c r="G33" i="4"/>
  <c r="H33" i="4"/>
  <c r="I33" i="4"/>
  <c r="J33" i="4"/>
  <c r="K33" i="4"/>
  <c r="L33" i="4"/>
  <c r="F37" i="4"/>
  <c r="G37" i="4"/>
  <c r="H37" i="4"/>
  <c r="I37" i="4"/>
  <c r="J37" i="4"/>
  <c r="K37" i="4"/>
  <c r="L37" i="4"/>
  <c r="F38" i="4"/>
  <c r="G38" i="4"/>
  <c r="H38" i="4"/>
  <c r="I38" i="4"/>
  <c r="J38" i="4"/>
  <c r="K38" i="4"/>
  <c r="L38" i="4"/>
  <c r="F39" i="4"/>
  <c r="G39" i="4"/>
  <c r="H39" i="4"/>
  <c r="I39" i="4"/>
  <c r="J39" i="4"/>
  <c r="K39" i="4"/>
  <c r="L39" i="4"/>
  <c r="F40" i="4"/>
  <c r="G40" i="4"/>
  <c r="H40" i="4"/>
  <c r="I40" i="4"/>
  <c r="J40" i="4"/>
  <c r="K40" i="4"/>
  <c r="L40" i="4"/>
  <c r="F41" i="4"/>
  <c r="G41" i="4"/>
  <c r="H41" i="4"/>
  <c r="I41" i="4"/>
  <c r="J41" i="4"/>
  <c r="K41" i="4"/>
  <c r="L41" i="4"/>
  <c r="F43" i="4"/>
  <c r="G43" i="4"/>
  <c r="H43" i="4"/>
  <c r="I43" i="4"/>
  <c r="J43" i="4"/>
  <c r="K43" i="4"/>
  <c r="L43" i="4"/>
  <c r="F44" i="4"/>
  <c r="G44" i="4"/>
  <c r="H44" i="4"/>
  <c r="I44" i="4"/>
  <c r="J44" i="4"/>
  <c r="K44" i="4"/>
  <c r="L44" i="4"/>
  <c r="F48" i="4"/>
  <c r="G48" i="4"/>
  <c r="H48" i="4"/>
  <c r="I48" i="4"/>
  <c r="J48" i="4"/>
  <c r="K48" i="4"/>
  <c r="L48" i="4"/>
  <c r="F49" i="4"/>
  <c r="G49" i="4"/>
  <c r="H49" i="4"/>
  <c r="I49" i="4"/>
  <c r="J49" i="4"/>
  <c r="K49" i="4"/>
  <c r="L49" i="4"/>
  <c r="F50" i="4"/>
  <c r="G50" i="4"/>
  <c r="H50" i="4"/>
  <c r="I50" i="4"/>
  <c r="J50" i="4"/>
  <c r="K50" i="4"/>
  <c r="L50" i="4"/>
  <c r="F51" i="4"/>
  <c r="G51" i="4"/>
  <c r="H51" i="4"/>
  <c r="I51" i="4"/>
  <c r="J51" i="4"/>
  <c r="K51" i="4"/>
  <c r="L51" i="4"/>
  <c r="F52" i="4"/>
  <c r="G52" i="4"/>
  <c r="H52" i="4"/>
  <c r="I52" i="4"/>
  <c r="J52" i="4"/>
  <c r="K52" i="4"/>
  <c r="L52" i="4"/>
  <c r="F54" i="4"/>
  <c r="G54" i="4"/>
  <c r="H54" i="4"/>
  <c r="I54" i="4"/>
  <c r="J54" i="4"/>
  <c r="K54" i="4"/>
  <c r="L54" i="4"/>
  <c r="F55" i="4"/>
  <c r="G55" i="4"/>
  <c r="H55" i="4"/>
  <c r="I55" i="4"/>
  <c r="J55" i="4"/>
  <c r="K55" i="4"/>
  <c r="L55" i="4"/>
  <c r="F56" i="4"/>
  <c r="G56" i="4"/>
  <c r="H56" i="4"/>
  <c r="I56" i="4"/>
  <c r="J56" i="4"/>
  <c r="K56" i="4"/>
  <c r="L56" i="4"/>
  <c r="F57" i="4"/>
  <c r="G57" i="4"/>
  <c r="H57" i="4"/>
  <c r="I57" i="4"/>
  <c r="J57" i="4"/>
  <c r="K57" i="4"/>
  <c r="L57" i="4"/>
  <c r="F58" i="4"/>
  <c r="G58" i="4"/>
  <c r="H58" i="4"/>
  <c r="I58" i="4"/>
  <c r="J58" i="4"/>
  <c r="K58" i="4"/>
  <c r="L58" i="4"/>
  <c r="F59" i="4"/>
  <c r="G59" i="4"/>
  <c r="H59" i="4"/>
  <c r="I59" i="4"/>
  <c r="J59" i="4"/>
  <c r="K59" i="4"/>
  <c r="L59" i="4"/>
  <c r="F61" i="4"/>
  <c r="G61" i="4"/>
  <c r="H61" i="4"/>
  <c r="I61" i="4"/>
  <c r="J61" i="4"/>
  <c r="K61" i="4"/>
  <c r="L61" i="4"/>
  <c r="F62" i="4"/>
  <c r="G62" i="4"/>
  <c r="H62" i="4"/>
  <c r="I62" i="4"/>
  <c r="J62" i="4"/>
  <c r="K62" i="4"/>
  <c r="L62" i="4"/>
  <c r="F63" i="4"/>
  <c r="G63" i="4"/>
  <c r="H63" i="4"/>
  <c r="I63" i="4"/>
  <c r="J63" i="4"/>
  <c r="K63" i="4"/>
  <c r="L63" i="4"/>
  <c r="F64" i="4"/>
  <c r="G64" i="4"/>
  <c r="H64" i="4"/>
  <c r="I64" i="4"/>
  <c r="J64" i="4"/>
  <c r="K64" i="4"/>
  <c r="L64" i="4"/>
  <c r="F65" i="4"/>
  <c r="G65" i="4"/>
  <c r="H65" i="4"/>
  <c r="I65" i="4"/>
  <c r="J65" i="4"/>
  <c r="K65" i="4"/>
  <c r="L65" i="4"/>
  <c r="F66" i="4"/>
  <c r="G66" i="4"/>
  <c r="H66" i="4"/>
  <c r="I66" i="4"/>
  <c r="J66" i="4"/>
  <c r="K66" i="4"/>
  <c r="L66" i="4"/>
  <c r="F67" i="4"/>
  <c r="G67" i="4"/>
  <c r="H67" i="4"/>
  <c r="I67" i="4"/>
  <c r="J67" i="4"/>
  <c r="K67" i="4"/>
  <c r="L67" i="4"/>
  <c r="F68" i="4"/>
  <c r="G68" i="4"/>
  <c r="H68" i="4"/>
  <c r="I68" i="4"/>
  <c r="J68" i="4"/>
  <c r="K68" i="4"/>
  <c r="L68" i="4"/>
  <c r="F69" i="4"/>
  <c r="G69" i="4"/>
  <c r="H69" i="4"/>
  <c r="I69" i="4"/>
  <c r="J69" i="4"/>
  <c r="K69" i="4"/>
  <c r="L69" i="4"/>
  <c r="F70" i="4"/>
  <c r="G70" i="4"/>
  <c r="H70" i="4"/>
  <c r="I70" i="4"/>
  <c r="J70" i="4"/>
  <c r="K70" i="4"/>
  <c r="L70" i="4"/>
  <c r="F72" i="4"/>
  <c r="G72" i="4"/>
  <c r="H72" i="4"/>
  <c r="I72" i="4"/>
  <c r="J72" i="4"/>
  <c r="K72" i="4"/>
  <c r="L72" i="4"/>
  <c r="F73" i="4"/>
  <c r="G73" i="4"/>
  <c r="H73" i="4"/>
  <c r="I73" i="4"/>
  <c r="J73" i="4"/>
  <c r="K73" i="4"/>
  <c r="L73" i="4"/>
  <c r="F74" i="4"/>
  <c r="G74" i="4"/>
  <c r="H74" i="4"/>
  <c r="I74" i="4"/>
  <c r="J74" i="4"/>
  <c r="K74" i="4"/>
  <c r="L74" i="4"/>
  <c r="F75" i="4"/>
  <c r="G75" i="4"/>
  <c r="H75" i="4"/>
  <c r="I75" i="4"/>
  <c r="J75" i="4"/>
  <c r="K75" i="4"/>
  <c r="L75" i="4"/>
  <c r="F76" i="4"/>
  <c r="G76" i="4"/>
  <c r="H76" i="4"/>
  <c r="I76" i="4"/>
  <c r="J76" i="4"/>
  <c r="K76" i="4"/>
  <c r="L76" i="4"/>
  <c r="F80" i="4"/>
  <c r="G80" i="4"/>
  <c r="H80" i="4"/>
  <c r="I80" i="4"/>
  <c r="J80" i="4"/>
  <c r="K80" i="4"/>
  <c r="L80" i="4"/>
  <c r="F81" i="4"/>
  <c r="G81" i="4"/>
  <c r="H81" i="4"/>
  <c r="I81" i="4"/>
  <c r="J81" i="4"/>
  <c r="K81" i="4"/>
  <c r="L81" i="4"/>
  <c r="F82" i="4"/>
  <c r="G82" i="4"/>
  <c r="H82" i="4"/>
  <c r="I82" i="4"/>
  <c r="J82" i="4"/>
  <c r="K82" i="4"/>
  <c r="L82" i="4"/>
  <c r="F8" i="14"/>
  <c r="G8" i="14"/>
  <c r="H8" i="14"/>
  <c r="I8" i="14"/>
  <c r="J8" i="14"/>
  <c r="K8" i="14"/>
  <c r="L8" i="14"/>
  <c r="F9" i="14"/>
  <c r="G9" i="14"/>
  <c r="H9" i="14"/>
  <c r="I9" i="14"/>
  <c r="J9" i="14"/>
  <c r="K9" i="14"/>
  <c r="L9" i="14"/>
  <c r="F16" i="14"/>
  <c r="G16" i="14"/>
  <c r="H16" i="14"/>
  <c r="I16" i="14"/>
  <c r="J16" i="14"/>
  <c r="K16" i="14"/>
  <c r="L16" i="14"/>
  <c r="F20" i="14"/>
  <c r="G20" i="14"/>
  <c r="H20" i="14"/>
  <c r="I20" i="14"/>
  <c r="J20" i="14"/>
  <c r="K20" i="14"/>
  <c r="L20" i="14"/>
  <c r="F21" i="14"/>
  <c r="G21" i="14"/>
  <c r="H21" i="14"/>
  <c r="I21" i="14"/>
  <c r="J21" i="14"/>
  <c r="K21" i="14"/>
  <c r="L21" i="14"/>
  <c r="F22" i="14"/>
  <c r="G22" i="14"/>
  <c r="H22" i="14"/>
  <c r="I22" i="14"/>
  <c r="J22" i="14"/>
  <c r="K22" i="14"/>
  <c r="L22" i="14"/>
  <c r="F26" i="14"/>
  <c r="G26" i="14"/>
  <c r="H26" i="14"/>
  <c r="I26" i="14"/>
  <c r="J26" i="14"/>
  <c r="K26" i="14"/>
  <c r="L26" i="14"/>
  <c r="F28" i="14"/>
  <c r="G28" i="14"/>
  <c r="H28" i="14"/>
  <c r="I28" i="14"/>
  <c r="J28" i="14"/>
  <c r="K28" i="14"/>
  <c r="L28" i="14"/>
  <c r="F30" i="14"/>
  <c r="G30" i="14"/>
  <c r="H30" i="14"/>
  <c r="I30" i="14"/>
  <c r="J30" i="14"/>
  <c r="K30" i="14"/>
  <c r="L30" i="14"/>
  <c r="F31" i="14"/>
  <c r="G31" i="14"/>
  <c r="H31" i="14"/>
  <c r="I31" i="14"/>
  <c r="J31" i="14"/>
  <c r="K31" i="14"/>
  <c r="L31" i="14"/>
  <c r="F32" i="14"/>
  <c r="G32" i="14"/>
  <c r="H32" i="14"/>
  <c r="I32" i="14"/>
  <c r="J32" i="14"/>
  <c r="K32" i="14"/>
  <c r="L32" i="14"/>
  <c r="F33" i="14"/>
  <c r="G33" i="14"/>
  <c r="H33" i="14"/>
  <c r="I33" i="14"/>
  <c r="J33" i="14"/>
  <c r="K33" i="14"/>
  <c r="L33" i="14"/>
  <c r="F34" i="14"/>
  <c r="G34" i="14"/>
  <c r="H34" i="14"/>
  <c r="I34" i="14"/>
  <c r="J34" i="14"/>
  <c r="K34" i="14"/>
  <c r="L34" i="14"/>
  <c r="F35" i="14"/>
  <c r="G35" i="14"/>
  <c r="H35" i="14"/>
  <c r="I35" i="14"/>
  <c r="J35" i="14"/>
  <c r="K35" i="14"/>
  <c r="L35" i="14"/>
  <c r="F37" i="14"/>
  <c r="G37" i="14"/>
  <c r="H37" i="14"/>
  <c r="I37" i="14"/>
  <c r="J37" i="14"/>
  <c r="K37" i="14"/>
  <c r="L37" i="14"/>
  <c r="F38" i="14"/>
  <c r="G38" i="14"/>
  <c r="H38" i="14"/>
  <c r="I38" i="14"/>
  <c r="J38" i="14"/>
  <c r="K38" i="14"/>
  <c r="L38" i="14"/>
  <c r="F39" i="14"/>
  <c r="G39" i="14"/>
  <c r="H39" i="14"/>
  <c r="I39" i="14"/>
  <c r="J39" i="14"/>
  <c r="K39" i="14"/>
  <c r="L39" i="14"/>
  <c r="F44" i="14"/>
  <c r="G44" i="14"/>
  <c r="H44" i="14"/>
  <c r="I44" i="14"/>
  <c r="J44" i="14"/>
  <c r="K44" i="14"/>
  <c r="L44" i="14"/>
  <c r="F45" i="14"/>
  <c r="G45" i="14"/>
  <c r="H45" i="14"/>
  <c r="I45" i="14"/>
  <c r="J45" i="14"/>
  <c r="K45" i="14"/>
  <c r="L45" i="14"/>
  <c r="F47" i="14"/>
  <c r="G47" i="14"/>
  <c r="H47" i="14"/>
  <c r="I47" i="14"/>
  <c r="J47" i="14"/>
  <c r="K47" i="14"/>
  <c r="L47" i="14"/>
  <c r="F55" i="14"/>
  <c r="G55" i="14"/>
  <c r="H55" i="14"/>
  <c r="I55" i="14"/>
  <c r="J55" i="14"/>
  <c r="K55" i="14"/>
  <c r="L55" i="14"/>
  <c r="F56" i="14"/>
  <c r="G56" i="14"/>
  <c r="H56" i="14"/>
  <c r="I56" i="14"/>
  <c r="J56" i="14"/>
  <c r="K56" i="14"/>
  <c r="L56" i="14"/>
  <c r="F62" i="14"/>
  <c r="G62" i="14"/>
  <c r="H62" i="14"/>
  <c r="I62" i="14"/>
  <c r="J62" i="14"/>
  <c r="K62" i="14"/>
  <c r="L62" i="14"/>
  <c r="F63" i="14"/>
  <c r="G63" i="14"/>
  <c r="H63" i="14"/>
  <c r="I63" i="14"/>
  <c r="J63" i="14"/>
  <c r="K63" i="14"/>
  <c r="L63" i="14"/>
  <c r="F64" i="14"/>
  <c r="G64" i="14"/>
  <c r="H64" i="14"/>
  <c r="I64" i="14"/>
  <c r="J64" i="14"/>
  <c r="K64" i="14"/>
  <c r="L64" i="14"/>
  <c r="F69" i="14"/>
  <c r="G69" i="14"/>
  <c r="H69" i="14"/>
  <c r="I69" i="14"/>
  <c r="J69" i="14"/>
  <c r="K69" i="14"/>
  <c r="L69" i="14"/>
  <c r="F70" i="14"/>
  <c r="G70" i="14"/>
  <c r="H70" i="14"/>
  <c r="I70" i="14"/>
  <c r="J70" i="14"/>
  <c r="K70" i="14"/>
  <c r="L70" i="14"/>
  <c r="F74" i="14"/>
  <c r="G74" i="14"/>
  <c r="H74" i="14"/>
  <c r="I74" i="14"/>
  <c r="J74" i="14"/>
  <c r="K74" i="14"/>
  <c r="L74" i="14"/>
  <c r="F75" i="14"/>
  <c r="G75" i="14"/>
  <c r="H75" i="14"/>
  <c r="I75" i="14"/>
  <c r="J75" i="14"/>
  <c r="K75" i="14"/>
  <c r="L75" i="14"/>
  <c r="F78" i="14"/>
  <c r="G78" i="14"/>
  <c r="H78" i="14"/>
  <c r="I78" i="14"/>
  <c r="J78" i="14"/>
  <c r="K78" i="14"/>
  <c r="L78" i="14"/>
  <c r="F79" i="14"/>
  <c r="G79" i="14"/>
  <c r="H79" i="14"/>
  <c r="I79" i="14"/>
  <c r="J79" i="14"/>
  <c r="K79" i="14"/>
  <c r="L79" i="14"/>
  <c r="F80" i="14"/>
  <c r="G80" i="14"/>
  <c r="H80" i="14"/>
  <c r="I80" i="14"/>
  <c r="J80" i="14"/>
  <c r="K80" i="14"/>
  <c r="L80" i="14"/>
  <c r="F81" i="14"/>
  <c r="G81" i="14"/>
  <c r="H81" i="14"/>
  <c r="I81" i="14"/>
  <c r="J81" i="14"/>
  <c r="K81" i="14"/>
  <c r="L81" i="14"/>
  <c r="F82" i="14"/>
  <c r="G82" i="14"/>
  <c r="H82" i="14"/>
  <c r="I82" i="14"/>
  <c r="J82" i="14"/>
  <c r="K82" i="14"/>
  <c r="L82" i="14"/>
  <c r="F89" i="14"/>
  <c r="G89" i="14"/>
  <c r="H89" i="14"/>
  <c r="I89" i="14"/>
  <c r="J89" i="14"/>
  <c r="K89" i="14"/>
  <c r="L89" i="14"/>
  <c r="F90" i="14"/>
  <c r="G90" i="14"/>
  <c r="H90" i="14"/>
  <c r="I90" i="14"/>
  <c r="J90" i="14"/>
  <c r="K90" i="14"/>
  <c r="L90" i="14"/>
  <c r="F93" i="14"/>
  <c r="G93" i="14"/>
  <c r="H93" i="14"/>
  <c r="I93" i="14"/>
  <c r="J93" i="14"/>
  <c r="K93" i="14"/>
  <c r="L93" i="14"/>
  <c r="F94" i="14"/>
  <c r="G94" i="14"/>
  <c r="H94" i="14"/>
  <c r="I94" i="14"/>
  <c r="J94" i="14"/>
  <c r="K94" i="14"/>
  <c r="L94" i="14"/>
  <c r="F95" i="14"/>
  <c r="G95" i="14"/>
  <c r="H95" i="14"/>
  <c r="I95" i="14"/>
  <c r="J95" i="14"/>
  <c r="K95" i="14"/>
  <c r="L95" i="14"/>
  <c r="F96" i="14"/>
  <c r="G96" i="14"/>
  <c r="H96" i="14"/>
  <c r="I96" i="14"/>
  <c r="J96" i="14"/>
  <c r="K96" i="14"/>
  <c r="L96" i="14"/>
  <c r="F97" i="14"/>
  <c r="G97" i="14"/>
  <c r="H97" i="14"/>
  <c r="I97" i="14"/>
  <c r="J97" i="14"/>
  <c r="K97" i="14"/>
  <c r="L97" i="14"/>
  <c r="F98" i="14"/>
  <c r="G98" i="14"/>
  <c r="H98" i="14"/>
  <c r="I98" i="14"/>
  <c r="J98" i="14"/>
  <c r="K98" i="14"/>
  <c r="L98" i="14"/>
  <c r="F99" i="14"/>
  <c r="G99" i="14"/>
  <c r="H99" i="14"/>
  <c r="I99" i="14"/>
  <c r="J99" i="14"/>
  <c r="K99" i="14"/>
  <c r="L99" i="14"/>
  <c r="F100" i="14"/>
  <c r="G100" i="14"/>
  <c r="H100" i="14"/>
  <c r="I100" i="14"/>
  <c r="J100" i="14"/>
  <c r="K100" i="14"/>
  <c r="L100" i="14"/>
  <c r="F101" i="14"/>
  <c r="G101" i="14"/>
  <c r="H101" i="14"/>
  <c r="I101" i="14"/>
  <c r="J101" i="14"/>
  <c r="K101" i="14"/>
  <c r="L101" i="14"/>
  <c r="F104" i="14"/>
  <c r="G104" i="14"/>
  <c r="H104" i="14"/>
  <c r="I104" i="14"/>
  <c r="J104" i="14"/>
  <c r="K104" i="14"/>
  <c r="L104" i="14"/>
  <c r="F106" i="14"/>
  <c r="G106" i="14"/>
  <c r="H106" i="14"/>
  <c r="I106" i="14"/>
  <c r="J106" i="14"/>
  <c r="K106" i="14"/>
  <c r="L106" i="14"/>
  <c r="F107" i="14"/>
  <c r="G107" i="14"/>
  <c r="H107" i="14"/>
  <c r="I107" i="14"/>
  <c r="J107" i="14"/>
  <c r="K107" i="14"/>
  <c r="L107" i="14"/>
  <c r="F108" i="14"/>
  <c r="G108" i="14"/>
  <c r="H108" i="14"/>
  <c r="I108" i="14"/>
  <c r="J108" i="14"/>
  <c r="K108" i="14"/>
  <c r="L108" i="14"/>
  <c r="F109" i="14"/>
  <c r="G109" i="14"/>
  <c r="H109" i="14"/>
  <c r="I109" i="14"/>
  <c r="J109" i="14"/>
  <c r="K109" i="14"/>
  <c r="L109" i="14"/>
  <c r="F110" i="14"/>
  <c r="G110" i="14"/>
  <c r="H110" i="14"/>
  <c r="I110" i="14"/>
  <c r="J110" i="14"/>
  <c r="K110" i="14"/>
  <c r="L110" i="14"/>
  <c r="F111" i="14"/>
  <c r="G111" i="14"/>
  <c r="H111" i="14"/>
  <c r="I111" i="14"/>
  <c r="J111" i="14"/>
  <c r="K111" i="14"/>
  <c r="L111" i="14"/>
  <c r="F114" i="14"/>
  <c r="G114" i="14"/>
  <c r="H114" i="14"/>
  <c r="I114" i="14"/>
  <c r="J114" i="14"/>
  <c r="K114" i="14"/>
  <c r="L114" i="14"/>
  <c r="F115" i="14"/>
  <c r="G115" i="14"/>
  <c r="H115" i="14"/>
  <c r="I115" i="14"/>
  <c r="J115" i="14"/>
  <c r="K115" i="14"/>
  <c r="L115" i="14"/>
  <c r="F116" i="14"/>
  <c r="G116" i="14"/>
  <c r="H116" i="14"/>
  <c r="I116" i="14"/>
  <c r="J116" i="14"/>
  <c r="K116" i="14"/>
  <c r="L116" i="14"/>
  <c r="F117" i="14"/>
  <c r="G117" i="14"/>
  <c r="H117" i="14"/>
  <c r="I117" i="14"/>
  <c r="J117" i="14"/>
  <c r="K117" i="14"/>
  <c r="L117" i="14"/>
  <c r="F118" i="14"/>
  <c r="G118" i="14"/>
  <c r="H118" i="14"/>
  <c r="I118" i="14"/>
  <c r="J118" i="14"/>
  <c r="K118" i="14"/>
  <c r="L118" i="14"/>
  <c r="F125" i="14"/>
  <c r="G125" i="14"/>
  <c r="H125" i="14"/>
  <c r="I125" i="14"/>
  <c r="J125" i="14"/>
  <c r="K125" i="14"/>
  <c r="L125" i="14"/>
  <c r="F127" i="14"/>
  <c r="G127" i="14"/>
  <c r="H127" i="14"/>
  <c r="I127" i="14"/>
  <c r="J127" i="14"/>
  <c r="K127" i="14"/>
  <c r="L127" i="14"/>
  <c r="F128" i="14"/>
  <c r="G128" i="14"/>
  <c r="H128" i="14"/>
  <c r="I128" i="14"/>
  <c r="J128" i="14"/>
  <c r="K128" i="14"/>
  <c r="L128" i="14"/>
  <c r="F129" i="14"/>
  <c r="G129" i="14"/>
  <c r="H129" i="14"/>
  <c r="I129" i="14"/>
  <c r="J129" i="14"/>
  <c r="K129" i="14"/>
  <c r="L129" i="14"/>
  <c r="F130" i="14"/>
  <c r="G130" i="14"/>
  <c r="H130" i="14"/>
  <c r="I130" i="14"/>
  <c r="J130" i="14"/>
  <c r="K130" i="14"/>
  <c r="L130" i="14"/>
  <c r="F133" i="14"/>
  <c r="G133" i="14"/>
  <c r="H133" i="14"/>
  <c r="I133" i="14"/>
  <c r="J133" i="14"/>
  <c r="K133" i="14"/>
  <c r="L133" i="14"/>
  <c r="F135" i="14"/>
  <c r="G135" i="14"/>
  <c r="H135" i="14"/>
  <c r="I135" i="14"/>
  <c r="J135" i="14"/>
  <c r="K135" i="14"/>
  <c r="L135" i="14"/>
  <c r="F136" i="14"/>
  <c r="G136" i="14"/>
  <c r="H136" i="14"/>
  <c r="I136" i="14"/>
  <c r="J136" i="14"/>
  <c r="K136" i="14"/>
  <c r="L136" i="14"/>
  <c r="F137" i="14"/>
  <c r="G137" i="14"/>
  <c r="H137" i="14"/>
  <c r="I137" i="14"/>
  <c r="J137" i="14"/>
  <c r="K137" i="14"/>
  <c r="L137" i="14"/>
  <c r="F143" i="14"/>
  <c r="G143" i="14"/>
  <c r="H143" i="14"/>
  <c r="I143" i="14"/>
  <c r="J143" i="14"/>
  <c r="K143" i="14"/>
  <c r="L143" i="14"/>
  <c r="F144" i="14"/>
  <c r="G144" i="14"/>
  <c r="H144" i="14"/>
  <c r="I144" i="14"/>
  <c r="J144" i="14"/>
  <c r="K144" i="14"/>
  <c r="L144" i="14"/>
  <c r="F147" i="14"/>
  <c r="G147" i="14"/>
  <c r="H147" i="14"/>
  <c r="I147" i="14"/>
  <c r="J147" i="14"/>
  <c r="K147" i="14"/>
  <c r="L147" i="14"/>
  <c r="F148" i="14"/>
  <c r="G148" i="14"/>
  <c r="H148" i="14"/>
  <c r="I148" i="14"/>
  <c r="J148" i="14"/>
  <c r="K148" i="14"/>
  <c r="L148" i="14"/>
  <c r="F149" i="14"/>
  <c r="G149" i="14"/>
  <c r="H149" i="14"/>
  <c r="I149" i="14"/>
  <c r="J149" i="14"/>
  <c r="K149" i="14"/>
  <c r="L149" i="14"/>
  <c r="F150" i="14"/>
  <c r="G150" i="14"/>
  <c r="H150" i="14"/>
  <c r="I150" i="14"/>
  <c r="J150" i="14"/>
  <c r="K150" i="14"/>
  <c r="L150" i="14"/>
  <c r="F151" i="14"/>
  <c r="G151" i="14"/>
  <c r="H151" i="14"/>
  <c r="I151" i="14"/>
  <c r="J151" i="14"/>
  <c r="K151" i="14"/>
  <c r="L151" i="14"/>
  <c r="F152" i="14"/>
  <c r="G152" i="14"/>
  <c r="H152" i="14"/>
  <c r="I152" i="14"/>
  <c r="J152" i="14"/>
  <c r="K152" i="14"/>
  <c r="L152" i="14"/>
  <c r="F153" i="14"/>
  <c r="G153" i="14"/>
  <c r="H153" i="14"/>
  <c r="I153" i="14"/>
  <c r="J153" i="14"/>
  <c r="K153" i="14"/>
  <c r="L153" i="14"/>
  <c r="F154" i="14"/>
  <c r="G154" i="14"/>
  <c r="H154" i="14"/>
  <c r="I154" i="14"/>
  <c r="J154" i="14"/>
  <c r="K154" i="14"/>
  <c r="L154" i="14"/>
  <c r="F156" i="14"/>
  <c r="G156" i="14"/>
  <c r="H156" i="14"/>
  <c r="I156" i="14"/>
  <c r="J156" i="14"/>
  <c r="K156" i="14"/>
  <c r="L156" i="14"/>
  <c r="F157" i="14"/>
  <c r="G157" i="14"/>
  <c r="H157" i="14"/>
  <c r="I157" i="14"/>
  <c r="J157" i="14"/>
  <c r="K157" i="14"/>
  <c r="L157" i="14"/>
  <c r="F158" i="14"/>
  <c r="G158" i="14"/>
  <c r="H158" i="14"/>
  <c r="I158" i="14"/>
  <c r="J158" i="14"/>
  <c r="K158" i="14"/>
  <c r="L158" i="14"/>
  <c r="F159" i="14"/>
  <c r="G159" i="14"/>
  <c r="H159" i="14"/>
  <c r="I159" i="14"/>
  <c r="J159" i="14"/>
  <c r="K159" i="14"/>
  <c r="L159" i="14"/>
  <c r="F160" i="14"/>
  <c r="G160" i="14"/>
  <c r="H160" i="14"/>
  <c r="I160" i="14"/>
  <c r="J160" i="14"/>
  <c r="K160" i="14"/>
  <c r="L160" i="14"/>
  <c r="F161" i="14"/>
  <c r="G161" i="14"/>
  <c r="H161" i="14"/>
  <c r="I161" i="14"/>
  <c r="J161" i="14"/>
  <c r="K161" i="14"/>
  <c r="L161" i="14"/>
  <c r="F162" i="14"/>
  <c r="G162" i="14"/>
  <c r="H162" i="14"/>
  <c r="I162" i="14"/>
  <c r="J162" i="14"/>
  <c r="K162" i="14"/>
  <c r="L162" i="14"/>
  <c r="F163" i="14"/>
  <c r="G163" i="14"/>
  <c r="H163" i="14"/>
  <c r="I163" i="14"/>
  <c r="J163" i="14"/>
  <c r="K163" i="14"/>
  <c r="L163" i="14"/>
  <c r="F165" i="14"/>
  <c r="G165" i="14"/>
  <c r="H165" i="14"/>
  <c r="I165" i="14"/>
  <c r="J165" i="14"/>
  <c r="K165" i="14"/>
  <c r="L165" i="14"/>
  <c r="F166" i="14"/>
  <c r="G166" i="14"/>
  <c r="H166" i="14"/>
  <c r="I166" i="14"/>
  <c r="J166" i="14"/>
  <c r="K166" i="14"/>
  <c r="L166" i="14"/>
  <c r="F168" i="14"/>
  <c r="G168" i="14"/>
  <c r="H168" i="14"/>
  <c r="I168" i="14"/>
  <c r="J168" i="14"/>
  <c r="K168" i="14"/>
  <c r="L168" i="14"/>
  <c r="F169" i="14"/>
  <c r="G169" i="14"/>
  <c r="H169" i="14"/>
  <c r="I169" i="14"/>
  <c r="J169" i="14"/>
  <c r="K169" i="14"/>
  <c r="L169" i="14"/>
  <c r="F170" i="14"/>
  <c r="G170" i="14"/>
  <c r="H170" i="14"/>
  <c r="I170" i="14"/>
  <c r="J170" i="14"/>
  <c r="K170" i="14"/>
  <c r="L170" i="14"/>
  <c r="F171" i="14"/>
  <c r="G171" i="14"/>
  <c r="H171" i="14"/>
  <c r="I171" i="14"/>
  <c r="J171" i="14"/>
  <c r="K171" i="14"/>
  <c r="L171" i="14"/>
  <c r="F172" i="14"/>
  <c r="G172" i="14"/>
  <c r="H172" i="14"/>
  <c r="I172" i="14"/>
  <c r="J172" i="14"/>
  <c r="K172" i="14"/>
  <c r="L172" i="14"/>
  <c r="F173" i="14"/>
  <c r="G173" i="14"/>
  <c r="H173" i="14"/>
  <c r="I173" i="14"/>
  <c r="J173" i="14"/>
  <c r="K173" i="14"/>
  <c r="L173" i="14"/>
  <c r="F179" i="14"/>
  <c r="G179" i="14"/>
  <c r="H179" i="14"/>
  <c r="I179" i="14"/>
  <c r="J179" i="14"/>
  <c r="K179" i="14"/>
  <c r="L179" i="14"/>
  <c r="F181" i="14"/>
  <c r="G181" i="14"/>
  <c r="H181" i="14"/>
  <c r="I181" i="14"/>
  <c r="J181" i="14"/>
  <c r="K181" i="14"/>
  <c r="L181" i="14"/>
  <c r="F185" i="14"/>
  <c r="G185" i="14"/>
  <c r="H185" i="14"/>
  <c r="I185" i="14"/>
  <c r="J185" i="14"/>
  <c r="K185" i="14"/>
  <c r="L185" i="14"/>
  <c r="F189" i="14"/>
  <c r="G189" i="14"/>
  <c r="H189" i="14"/>
  <c r="I189" i="14"/>
  <c r="J189" i="14"/>
  <c r="K189" i="14"/>
  <c r="L189" i="14"/>
  <c r="F191" i="14"/>
  <c r="G191" i="14"/>
  <c r="H191" i="14"/>
  <c r="I191" i="14"/>
  <c r="J191" i="14"/>
  <c r="K191" i="14"/>
  <c r="L191" i="14"/>
  <c r="I7" i="22"/>
  <c r="L7" i="22"/>
  <c r="O7" i="22"/>
  <c r="R7" i="22"/>
  <c r="U7" i="22"/>
  <c r="X7" i="22"/>
  <c r="AA7" i="22"/>
  <c r="I10" i="22"/>
  <c r="L10" i="22"/>
  <c r="O10" i="22"/>
  <c r="R10" i="22"/>
  <c r="U10" i="22"/>
  <c r="X10" i="22"/>
  <c r="AA10" i="22"/>
  <c r="I11" i="22"/>
  <c r="L11" i="22"/>
  <c r="O11" i="22"/>
  <c r="R11" i="22"/>
  <c r="U11" i="22"/>
  <c r="X11" i="22"/>
  <c r="AA11" i="22"/>
  <c r="I12" i="22"/>
  <c r="L12" i="22"/>
  <c r="O12" i="22"/>
  <c r="R12" i="22"/>
  <c r="U12" i="22"/>
  <c r="X12" i="22"/>
  <c r="AA12" i="22"/>
  <c r="I17" i="22"/>
  <c r="J17" i="22"/>
  <c r="K17" i="22"/>
  <c r="L17" i="22"/>
  <c r="M17" i="22"/>
  <c r="N17" i="22"/>
  <c r="O17" i="22"/>
  <c r="P17" i="22"/>
  <c r="Q17" i="22"/>
  <c r="R17" i="22"/>
  <c r="S17" i="22"/>
  <c r="T17" i="22"/>
  <c r="U17" i="22"/>
  <c r="V17" i="22"/>
  <c r="W17" i="22"/>
  <c r="X17" i="22"/>
  <c r="Y17" i="22"/>
  <c r="Z17" i="22"/>
  <c r="AA17" i="22"/>
  <c r="AB17" i="22"/>
  <c r="AC17" i="22"/>
  <c r="I19" i="22"/>
  <c r="J19" i="22"/>
  <c r="K19" i="22"/>
  <c r="L19" i="22"/>
  <c r="M19" i="22"/>
  <c r="N19" i="22"/>
  <c r="O19" i="22"/>
  <c r="P19" i="22"/>
  <c r="Q19" i="22"/>
  <c r="R19" i="22"/>
  <c r="S19" i="22"/>
  <c r="T19" i="22"/>
  <c r="U19" i="22"/>
  <c r="V19" i="22"/>
  <c r="W19" i="22"/>
  <c r="X19" i="22"/>
  <c r="Y19" i="22"/>
  <c r="Z19" i="22"/>
  <c r="AA19" i="22"/>
  <c r="AB19" i="22"/>
  <c r="AC19" i="22"/>
  <c r="K20" i="22"/>
  <c r="N20" i="22"/>
  <c r="Q20" i="22"/>
  <c r="T20" i="22"/>
  <c r="W20" i="22"/>
  <c r="Z20" i="22"/>
  <c r="AC20" i="22"/>
  <c r="I22" i="22"/>
  <c r="K22" i="22"/>
  <c r="L22" i="22"/>
  <c r="N22" i="22"/>
  <c r="O22" i="22"/>
  <c r="Q22" i="22"/>
  <c r="R22" i="22"/>
  <c r="T22" i="22"/>
  <c r="U22" i="22"/>
  <c r="W22" i="22"/>
  <c r="X22" i="22"/>
  <c r="Z22" i="22"/>
  <c r="AA22" i="22"/>
  <c r="AC22" i="22"/>
  <c r="I23" i="22"/>
  <c r="L23" i="22"/>
  <c r="O23" i="22"/>
  <c r="R23" i="22"/>
  <c r="U23" i="22"/>
  <c r="X23" i="22"/>
  <c r="AA23" i="22"/>
  <c r="I24" i="22"/>
  <c r="K24" i="22"/>
  <c r="L24" i="22"/>
  <c r="N24" i="22"/>
  <c r="O24" i="22"/>
  <c r="Q24" i="22"/>
  <c r="R24" i="22"/>
  <c r="T24" i="22"/>
  <c r="U24" i="22"/>
  <c r="W24" i="22"/>
  <c r="X24" i="22"/>
  <c r="Z24" i="22"/>
  <c r="AA24" i="22"/>
  <c r="AC24" i="22"/>
  <c r="I26" i="22"/>
  <c r="J26" i="22"/>
  <c r="K26" i="22"/>
  <c r="L26" i="22"/>
  <c r="M26" i="22"/>
  <c r="N26" i="22"/>
  <c r="O26" i="22"/>
  <c r="P26" i="22"/>
  <c r="Q26" i="22"/>
  <c r="R26" i="22"/>
  <c r="S26" i="22"/>
  <c r="T26" i="22"/>
  <c r="U26" i="22"/>
  <c r="V26" i="22"/>
  <c r="W26" i="22"/>
  <c r="X26" i="22"/>
  <c r="Y26" i="22"/>
  <c r="Z26" i="22"/>
  <c r="AA26" i="22"/>
  <c r="AB26" i="22"/>
  <c r="AC26" i="22"/>
  <c r="I27" i="22"/>
  <c r="J27" i="22"/>
  <c r="K27" i="22"/>
  <c r="L27" i="22"/>
  <c r="M27" i="22"/>
  <c r="N27" i="22"/>
  <c r="O27" i="22"/>
  <c r="P27" i="22"/>
  <c r="Q27" i="22"/>
  <c r="R27" i="22"/>
  <c r="S27" i="22"/>
  <c r="T27" i="22"/>
  <c r="U27" i="22"/>
  <c r="V27" i="22"/>
  <c r="W27" i="22"/>
  <c r="X27" i="22"/>
  <c r="Y27" i="22"/>
  <c r="Z27" i="22"/>
  <c r="AA27" i="22"/>
  <c r="AB27" i="22"/>
  <c r="AC27" i="22"/>
  <c r="I28" i="22"/>
  <c r="J28" i="22"/>
  <c r="K28" i="22"/>
  <c r="L28" i="22"/>
  <c r="M28" i="22"/>
  <c r="N28" i="22"/>
  <c r="O28" i="22"/>
  <c r="P28" i="22"/>
  <c r="Q28" i="22"/>
  <c r="R28" i="22"/>
  <c r="S28" i="22"/>
  <c r="T28" i="22"/>
  <c r="U28" i="22"/>
  <c r="V28" i="22"/>
  <c r="W28" i="22"/>
  <c r="X28" i="22"/>
  <c r="Y28" i="22"/>
  <c r="Z28" i="22"/>
  <c r="AA28" i="22"/>
  <c r="AB28" i="22"/>
  <c r="AC28" i="22"/>
  <c r="I29" i="22"/>
  <c r="J29" i="22"/>
  <c r="K29" i="22"/>
  <c r="L29" i="22"/>
  <c r="M29" i="22"/>
  <c r="N29" i="22"/>
  <c r="O29" i="22"/>
  <c r="P29" i="22"/>
  <c r="Q29" i="22"/>
  <c r="R29" i="22"/>
  <c r="S29" i="22"/>
  <c r="T29" i="22"/>
  <c r="U29" i="22"/>
  <c r="V29" i="22"/>
  <c r="W29" i="22"/>
  <c r="X29" i="22"/>
  <c r="Y29" i="22"/>
  <c r="Z29" i="22"/>
  <c r="AA29" i="22"/>
  <c r="AB29" i="22"/>
  <c r="AC29" i="22"/>
</calcChain>
</file>

<file path=xl/comments1.xml><?xml version="1.0" encoding="utf-8"?>
<comments xmlns="http://schemas.openxmlformats.org/spreadsheetml/2006/main">
  <authors>
    <author>Ahmed, Shabbir</author>
  </authors>
  <commentList>
    <comment ref="P84" authorId="0" shapeId="0">
      <text>
        <r>
          <rPr>
            <b/>
            <sz val="9"/>
            <color indexed="81"/>
            <rFont val="Tahoma"/>
            <family val="2"/>
          </rPr>
          <t>The values for the Dow coolant may be used as an alternative</t>
        </r>
      </text>
    </comment>
  </commentList>
</comments>
</file>

<file path=xl/sharedStrings.xml><?xml version="1.0" encoding="utf-8"?>
<sst xmlns="http://schemas.openxmlformats.org/spreadsheetml/2006/main" count="1615" uniqueCount="947">
  <si>
    <t>Battery 1</t>
  </si>
  <si>
    <t>Battery 2</t>
  </si>
  <si>
    <t>Battery 3</t>
  </si>
  <si>
    <t>Battery 4</t>
  </si>
  <si>
    <t>Battery 5</t>
  </si>
  <si>
    <t>Positive Electrode</t>
  </si>
  <si>
    <t>Active material</t>
  </si>
  <si>
    <t>Density</t>
  </si>
  <si>
    <t>Weight %</t>
  </si>
  <si>
    <t>Vol. %</t>
  </si>
  <si>
    <t>Carbon</t>
  </si>
  <si>
    <t>Binder</t>
  </si>
  <si>
    <t>Void</t>
  </si>
  <si>
    <t>Total</t>
  </si>
  <si>
    <r>
      <t>Electrode system ASI for power, ohm-cm</t>
    </r>
    <r>
      <rPr>
        <vertAlign val="superscript"/>
        <sz val="10"/>
        <rFont val="Arial"/>
        <family val="2"/>
      </rPr>
      <t>2</t>
    </r>
  </si>
  <si>
    <t>Excess negative area, %</t>
  </si>
  <si>
    <r>
      <t>Electrode system ASI for energy, ohm-cm</t>
    </r>
    <r>
      <rPr>
        <vertAlign val="superscript"/>
        <sz val="10"/>
        <rFont val="Arial"/>
        <family val="2"/>
      </rPr>
      <t>2</t>
    </r>
  </si>
  <si>
    <t>Capacity at C/3, Ah</t>
  </si>
  <si>
    <t>Positive Electrode, g</t>
  </si>
  <si>
    <r>
      <t xml:space="preserve">Thick., </t>
    </r>
    <r>
      <rPr>
        <sz val="10"/>
        <rFont val="Symbol"/>
        <family val="1"/>
        <charset val="2"/>
      </rPr>
      <t>m</t>
    </r>
    <r>
      <rPr>
        <sz val="10"/>
        <rFont val="Arial"/>
        <family val="2"/>
      </rPr>
      <t>m</t>
    </r>
  </si>
  <si>
    <r>
      <t>Positive foil, m</t>
    </r>
    <r>
      <rPr>
        <vertAlign val="superscript"/>
        <sz val="10"/>
        <rFont val="Arial"/>
        <family val="2"/>
      </rPr>
      <t>2</t>
    </r>
  </si>
  <si>
    <r>
      <t>Negative foil, m</t>
    </r>
    <r>
      <rPr>
        <vertAlign val="superscript"/>
        <sz val="10"/>
        <rFont val="Arial"/>
        <family val="2"/>
      </rPr>
      <t>2</t>
    </r>
  </si>
  <si>
    <r>
      <t>Separator, m</t>
    </r>
    <r>
      <rPr>
        <vertAlign val="superscript"/>
        <sz val="10"/>
        <rFont val="Arial"/>
        <family val="2"/>
      </rPr>
      <t>2</t>
    </r>
  </si>
  <si>
    <t>Electrolyte , L</t>
  </si>
  <si>
    <t>Positive active material capacity, mAh/g:</t>
  </si>
  <si>
    <r>
      <t>Positive electrode capacity, Ah/cm</t>
    </r>
    <r>
      <rPr>
        <vertAlign val="superscript"/>
        <sz val="10"/>
        <rFont val="Arial"/>
        <family val="2"/>
      </rPr>
      <t>3</t>
    </r>
  </si>
  <si>
    <t>Negative active material capacity, mAh/g:</t>
  </si>
  <si>
    <r>
      <t>Negative electrode capacity, Ah/cm</t>
    </r>
    <r>
      <rPr>
        <vertAlign val="superscript"/>
        <sz val="10"/>
        <rFont val="Arial"/>
        <family val="2"/>
      </rPr>
      <t>3</t>
    </r>
  </si>
  <si>
    <t>Cell Capacity Parameters</t>
  </si>
  <si>
    <t>Cell Voltage and Resistance Parameters</t>
  </si>
  <si>
    <t>Cell mass, g</t>
  </si>
  <si>
    <t>Positive terminal assembly, g</t>
  </si>
  <si>
    <t>Negative terminal assembly, g</t>
  </si>
  <si>
    <t>Battery Input Parameters</t>
  </si>
  <si>
    <t>Balance of Cell</t>
  </si>
  <si>
    <t>Calculated Battery Parameters</t>
  </si>
  <si>
    <r>
      <t>Total cell ASI for energy (C/3 rate), ohm-cm</t>
    </r>
    <r>
      <rPr>
        <vertAlign val="superscript"/>
        <sz val="10"/>
        <rFont val="Arial"/>
        <family val="2"/>
      </rPr>
      <t>2</t>
    </r>
  </si>
  <si>
    <t>Number of batteries manufactured per year</t>
  </si>
  <si>
    <t>Cell yield, %</t>
  </si>
  <si>
    <t>Unit Cell Materials Cost</t>
  </si>
  <si>
    <t>Baseline</t>
  </si>
  <si>
    <t>Positive Electrode, $/kg</t>
  </si>
  <si>
    <t>p</t>
  </si>
  <si>
    <t>Cost per</t>
  </si>
  <si>
    <t>Plus Cost</t>
  </si>
  <si>
    <t xml:space="preserve">     Active Material</t>
  </si>
  <si>
    <t>Mass, $/kg</t>
  </si>
  <si>
    <t>per Cell, $</t>
  </si>
  <si>
    <t>Positive terminal</t>
  </si>
  <si>
    <t xml:space="preserve">     Carbon Black</t>
  </si>
  <si>
    <t>Negative terminal</t>
  </si>
  <si>
    <t xml:space="preserve">     Binder PVDF</t>
  </si>
  <si>
    <t>Cell Container</t>
  </si>
  <si>
    <t xml:space="preserve">     Binder Solvent (NMP)</t>
  </si>
  <si>
    <t>Negative electrode material, $/kg</t>
  </si>
  <si>
    <t>Module state-of-charge regulator</t>
  </si>
  <si>
    <t xml:space="preserve">     Cost per cell, $</t>
  </si>
  <si>
    <t xml:space="preserve">     Plus cost per module, $</t>
  </si>
  <si>
    <r>
      <t>Separators, $/m</t>
    </r>
    <r>
      <rPr>
        <vertAlign val="superscript"/>
        <sz val="10"/>
        <rFont val="Arial"/>
        <family val="2"/>
      </rPr>
      <t>2</t>
    </r>
  </si>
  <si>
    <t>Electrolyte, $/L</t>
  </si>
  <si>
    <t xml:space="preserve">     Plus cost per battery, $</t>
  </si>
  <si>
    <t>Battery Assembly Costs</t>
  </si>
  <si>
    <t>Operation</t>
  </si>
  <si>
    <t>Plant</t>
  </si>
  <si>
    <t>Receiving</t>
  </si>
  <si>
    <t xml:space="preserve">     Pertinent volume: energy/year</t>
  </si>
  <si>
    <t xml:space="preserve">        Direct Labor, hours/year</t>
  </si>
  <si>
    <t xml:space="preserve">     Pertinent volume: cell area/year</t>
  </si>
  <si>
    <t xml:space="preserve">        Capital Equipment, million$</t>
  </si>
  <si>
    <t xml:space="preserve">        Plant Area, square meters</t>
  </si>
  <si>
    <t>Electrode Processing</t>
  </si>
  <si>
    <t>Materials preparation</t>
  </si>
  <si>
    <t xml:space="preserve">     Positive materials</t>
  </si>
  <si>
    <t xml:space="preserve">     Pertinent volume: positive active mass/year</t>
  </si>
  <si>
    <t xml:space="preserve">     Pertinent volume: number of cells/year</t>
  </si>
  <si>
    <t xml:space="preserve">     Negative materials</t>
  </si>
  <si>
    <t xml:space="preserve">     Pertinent volume: negative active mass/year</t>
  </si>
  <si>
    <t>Current collector welding</t>
  </si>
  <si>
    <t>Electrode coating</t>
  </si>
  <si>
    <t>Electrolyte filling, and cell sealing</t>
  </si>
  <si>
    <t>Formation Cycling</t>
  </si>
  <si>
    <t>Module Assembly</t>
  </si>
  <si>
    <t>Rejected Cell and Scrap Recycle</t>
  </si>
  <si>
    <t>Shipping</t>
  </si>
  <si>
    <t>Investment Costs</t>
  </si>
  <si>
    <t>Launch Cost rates</t>
  </si>
  <si>
    <t xml:space="preserve">     Percent of direct labor plus variable overhead, %</t>
  </si>
  <si>
    <t>Working capital, percent of annual variable cost, %</t>
  </si>
  <si>
    <t>Unit Cost of Battery Pack</t>
  </si>
  <si>
    <t>Variable Cost</t>
  </si>
  <si>
    <t>Direct labor rate, $/hr</t>
  </si>
  <si>
    <t>Fixed Expenses</t>
  </si>
  <si>
    <t>General, Sales, Administration rates</t>
  </si>
  <si>
    <t xml:space="preserve">     Percent of depreciation, %</t>
  </si>
  <si>
    <t>Research and Development rate, % of depreciation</t>
  </si>
  <si>
    <t>Depreciation rates</t>
  </si>
  <si>
    <r>
      <t xml:space="preserve">Profits After Taxes, </t>
    </r>
    <r>
      <rPr>
        <sz val="10"/>
        <rFont val="Arial"/>
        <family val="2"/>
      </rPr>
      <t>% of investment</t>
    </r>
  </si>
  <si>
    <t>Annual Processing Rates</t>
  </si>
  <si>
    <t>Number of accepted cells per year</t>
  </si>
  <si>
    <t>Number of cells adjusted for yield</t>
  </si>
  <si>
    <t>Direct Materials Costs</t>
  </si>
  <si>
    <t>Yield, %</t>
  </si>
  <si>
    <t xml:space="preserve">     Total</t>
  </si>
  <si>
    <r>
      <t>Positive current collector (aluminum foil), m</t>
    </r>
    <r>
      <rPr>
        <vertAlign val="superscript"/>
        <sz val="10"/>
        <rFont val="Arial"/>
        <family val="2"/>
      </rPr>
      <t>2</t>
    </r>
  </si>
  <si>
    <r>
      <t>Negative current collector (copper foil), m</t>
    </r>
    <r>
      <rPr>
        <vertAlign val="superscript"/>
        <sz val="10"/>
        <rFont val="Arial"/>
        <family val="2"/>
      </rPr>
      <t>2</t>
    </r>
  </si>
  <si>
    <r>
      <t>Separators, m</t>
    </r>
    <r>
      <rPr>
        <vertAlign val="superscript"/>
        <sz val="10"/>
        <rFont val="Arial"/>
        <family val="2"/>
      </rPr>
      <t>2</t>
    </r>
  </si>
  <si>
    <t>Electrolyte, L</t>
  </si>
  <si>
    <t>Annual Cell Materials Rates</t>
  </si>
  <si>
    <t xml:space="preserve">     Active Material, kg</t>
  </si>
  <si>
    <t xml:space="preserve">     Carbon Black, kg</t>
  </si>
  <si>
    <t xml:space="preserve">     Binder PVDF, kg</t>
  </si>
  <si>
    <t>Negative Electrode Material, kg</t>
  </si>
  <si>
    <t xml:space="preserve">     Active Material (graphite), kg</t>
  </si>
  <si>
    <t>Positive terminal assemblies</t>
  </si>
  <si>
    <t>Negative terminal assemblies</t>
  </si>
  <si>
    <t>Cell Containers</t>
  </si>
  <si>
    <t>Unit Cell Materials Costs</t>
  </si>
  <si>
    <t xml:space="preserve">     Positive terminal assembly</t>
  </si>
  <si>
    <t xml:space="preserve">     Negative terminal assembly</t>
  </si>
  <si>
    <t>Positive Electrode (dry)</t>
  </si>
  <si>
    <t>Negative electrode material (dry)</t>
  </si>
  <si>
    <t>Positive current collector (aluminum foil)</t>
  </si>
  <si>
    <t>Negative current collector (copper foil)</t>
  </si>
  <si>
    <t>Separators</t>
  </si>
  <si>
    <t>Electrolyte</t>
  </si>
  <si>
    <t>Positive terminal assembly, $/unit</t>
  </si>
  <si>
    <t>Negative terminal assembly, $/unit</t>
  </si>
  <si>
    <t>Total cost of cell winding materials, $</t>
  </si>
  <si>
    <t>Total cost of cell materials, $</t>
  </si>
  <si>
    <t>Operation (Pertinent rate)</t>
  </si>
  <si>
    <t xml:space="preserve">     Volume ratio (volume/baseline volume)</t>
  </si>
  <si>
    <t xml:space="preserve">     Positive materials (positive mass/yr)</t>
  </si>
  <si>
    <t xml:space="preserve">     Negative materials (negative mass/yr)</t>
  </si>
  <si>
    <t xml:space="preserve">     Positive materials (area/yr)</t>
  </si>
  <si>
    <t xml:space="preserve">     Negative materials area/yr)</t>
  </si>
  <si>
    <t>Electrode Slitting (area/yr)</t>
  </si>
  <si>
    <t>Current collector welding (number of cells/yr)</t>
  </si>
  <si>
    <t>Electrolyte filling, and cell sealing (number of cells/yr)</t>
  </si>
  <si>
    <t>Formation Cycling (number of cells/yr)</t>
  </si>
  <si>
    <t>Module Assembly (number of cells/yr)</t>
  </si>
  <si>
    <t xml:space="preserve">Rejected Cell and Scrap Recycle (number of cells/yr) </t>
  </si>
  <si>
    <t>Shipping (energy/yr)</t>
  </si>
  <si>
    <r>
      <t xml:space="preserve">     Area, m</t>
    </r>
    <r>
      <rPr>
        <vertAlign val="superscript"/>
        <sz val="10"/>
        <rFont val="Arial"/>
        <family val="2"/>
      </rPr>
      <t>2</t>
    </r>
  </si>
  <si>
    <t>Launch Costs</t>
  </si>
  <si>
    <t xml:space="preserve">     Rate: 5% of direct annual materials + 10% of other annual costs</t>
  </si>
  <si>
    <t xml:space="preserve">     Total, million$</t>
  </si>
  <si>
    <t xml:space="preserve">Materials and Purchased Items </t>
  </si>
  <si>
    <t xml:space="preserve">     Cell materials</t>
  </si>
  <si>
    <t xml:space="preserve">     Cell purchased Items</t>
  </si>
  <si>
    <t>Direct Labor</t>
  </si>
  <si>
    <t xml:space="preserve">     Electrode processing</t>
  </si>
  <si>
    <t xml:space="preserve">     Cell assembly</t>
  </si>
  <si>
    <t xml:space="preserve">     Module and battery assembly</t>
  </si>
  <si>
    <t xml:space="preserve">     Rejection and recycling</t>
  </si>
  <si>
    <t xml:space="preserve">     Receiving and shipping</t>
  </si>
  <si>
    <t xml:space="preserve">    Total</t>
  </si>
  <si>
    <t>Variable Overhead</t>
  </si>
  <si>
    <t>Total Variable Cost</t>
  </si>
  <si>
    <t>General, Sales, Administration</t>
  </si>
  <si>
    <t>Research and Development</t>
  </si>
  <si>
    <t>Depreciation</t>
  </si>
  <si>
    <t>Total Fixed Expenses</t>
  </si>
  <si>
    <t>Profits after taxes</t>
  </si>
  <si>
    <t xml:space="preserve">Direct Labor                     </t>
  </si>
  <si>
    <t xml:space="preserve">Variable Overhead  </t>
  </si>
  <si>
    <t xml:space="preserve">Profit     </t>
  </si>
  <si>
    <r>
      <t>Positive current collector foil, $/m</t>
    </r>
    <r>
      <rPr>
        <vertAlign val="superscript"/>
        <sz val="10"/>
        <rFont val="Arial"/>
        <family val="2"/>
      </rPr>
      <t>2</t>
    </r>
  </si>
  <si>
    <r>
      <t>Negative current collector foil, $/m</t>
    </r>
    <r>
      <rPr>
        <vertAlign val="superscript"/>
        <sz val="10"/>
        <rFont val="Arial"/>
        <family val="2"/>
      </rPr>
      <t>2</t>
    </r>
  </si>
  <si>
    <t>Negative Electrode, g</t>
  </si>
  <si>
    <t>Unit Cell Hardware Costs</t>
  </si>
  <si>
    <r>
      <t xml:space="preserve">     Cost, $/m</t>
    </r>
    <r>
      <rPr>
        <vertAlign val="superscript"/>
        <sz val="10"/>
        <rFont val="Arial"/>
        <family val="2"/>
      </rPr>
      <t>2</t>
    </r>
  </si>
  <si>
    <t>Capital equipment cost including installation, mil$</t>
  </si>
  <si>
    <t>Working capital (30% of annual variable costs), mil$</t>
  </si>
  <si>
    <t>Unit Cost of Battery Pack, $</t>
  </si>
  <si>
    <t>Summary of Unit Costs, $</t>
  </si>
  <si>
    <t>Negative-to-positive capacity ratio after formation</t>
  </si>
  <si>
    <t>Summary of Results</t>
  </si>
  <si>
    <t>Manufacturing Cost Calculations</t>
  </si>
  <si>
    <t>Cost Rates for Manufacturing</t>
  </si>
  <si>
    <t>Building, Land and Utilities</t>
  </si>
  <si>
    <t xml:space="preserve">     Building investment, mil$</t>
  </si>
  <si>
    <r>
      <t>Cost of building (including land and utilities), $/m</t>
    </r>
    <r>
      <rPr>
        <vertAlign val="superscript"/>
        <sz val="10"/>
        <rFont val="Arial"/>
        <family val="2"/>
      </rPr>
      <t>2</t>
    </r>
  </si>
  <si>
    <t>Total investment, mil$</t>
  </si>
  <si>
    <t>Nominal battery voltage (OCV at 50% SOC)</t>
  </si>
  <si>
    <t>Target % OCV at full power</t>
  </si>
  <si>
    <t>Maximum current at full power, A</t>
  </si>
  <si>
    <t>% OCV at full power adjusted for thickness limit</t>
  </si>
  <si>
    <t>Calculated Cell Parameters</t>
  </si>
  <si>
    <t>Baseline Manufacturing Rates</t>
  </si>
  <si>
    <t>Cost inputs that vary with cell chemistry</t>
  </si>
  <si>
    <t>Cost inputs that are do not vary with chemistry</t>
  </si>
  <si>
    <t>Cell Chemistry Input</t>
  </si>
  <si>
    <t>Capacity, Ah</t>
  </si>
  <si>
    <t>Available battery energy, % of total</t>
  </si>
  <si>
    <t>Vehicle electric range, miles</t>
  </si>
  <si>
    <t>Cell Chemistry</t>
  </si>
  <si>
    <r>
      <t>Density, g/cm</t>
    </r>
    <r>
      <rPr>
        <u/>
        <vertAlign val="superscript"/>
        <sz val="10"/>
        <rFont val="Arial"/>
        <family val="2"/>
      </rPr>
      <t>3</t>
    </r>
  </si>
  <si>
    <t>Negative Electrode</t>
  </si>
  <si>
    <t>Positive Foil</t>
  </si>
  <si>
    <t>Material</t>
  </si>
  <si>
    <t>Negative Foil</t>
  </si>
  <si>
    <r>
      <t xml:space="preserve">Thickness, </t>
    </r>
    <r>
      <rPr>
        <sz val="10"/>
        <rFont val="Symbol"/>
        <family val="1"/>
        <charset val="2"/>
      </rPr>
      <t>m</t>
    </r>
    <r>
      <rPr>
        <sz val="10"/>
        <rFont val="Arial"/>
        <family val="2"/>
      </rPr>
      <t>m</t>
    </r>
  </si>
  <si>
    <t>Separator</t>
  </si>
  <si>
    <t>Aluminum</t>
  </si>
  <si>
    <t>N/P capacity ratio after formation</t>
  </si>
  <si>
    <t>Active material capacity, mAh/g:</t>
  </si>
  <si>
    <t>Default Values</t>
  </si>
  <si>
    <t>NCA-G</t>
  </si>
  <si>
    <t>Other</t>
  </si>
  <si>
    <t>LFP-G</t>
  </si>
  <si>
    <t>Values</t>
  </si>
  <si>
    <t>Cell Materials Costs</t>
  </si>
  <si>
    <t>Copper</t>
  </si>
  <si>
    <t xml:space="preserve">     Active material</t>
  </si>
  <si>
    <t>Override</t>
  </si>
  <si>
    <t>Override Values</t>
  </si>
  <si>
    <t>LMO-G</t>
  </si>
  <si>
    <t>Positive Electrode Materials (dry), g</t>
  </si>
  <si>
    <t>Negative Electrode Materials (dry), g</t>
  </si>
  <si>
    <t>Binder solvent recovery, %</t>
  </si>
  <si>
    <t>Effective full days of operation per year</t>
  </si>
  <si>
    <t>Receiving (Energy/yr)</t>
  </si>
  <si>
    <t>Number of annual 8-h shifts</t>
  </si>
  <si>
    <t xml:space="preserve">     Binder Solvent (NMP) makeup, kg</t>
  </si>
  <si>
    <t>Purchased Items</t>
  </si>
  <si>
    <t>Materials</t>
  </si>
  <si>
    <t>Calendering</t>
  </si>
  <si>
    <t>Slitting</t>
  </si>
  <si>
    <t>Materials preparation and delivery to coating</t>
  </si>
  <si>
    <t>Inserting cell in container</t>
  </si>
  <si>
    <t>Battery Pack Assembly and Testing</t>
  </si>
  <si>
    <t>Inter-process materials handling (area/yr)</t>
  </si>
  <si>
    <t>Inserting cell in container (number of cell/yr)</t>
  </si>
  <si>
    <t xml:space="preserve">        Cell Capacity, Ah</t>
  </si>
  <si>
    <t xml:space="preserve">        Baseline Cell Capacity, Ah</t>
  </si>
  <si>
    <t>Energy, kWh per year</t>
  </si>
  <si>
    <r>
      <t>Electrode area, m</t>
    </r>
    <r>
      <rPr>
        <vertAlign val="superscript"/>
        <sz val="10"/>
        <rFont val="Arial"/>
        <family val="2"/>
      </rPr>
      <t>2</t>
    </r>
    <r>
      <rPr>
        <sz val="10"/>
        <rFont val="Arial"/>
        <family val="2"/>
      </rPr>
      <t xml:space="preserve"> per year</t>
    </r>
  </si>
  <si>
    <t>Positive active material, kg per year</t>
  </si>
  <si>
    <t>Negative active material, kg per year</t>
  </si>
  <si>
    <t>Binder solvent, kg per year</t>
  </si>
  <si>
    <t xml:space="preserve">     Pertinent volume: NMP mass/year</t>
  </si>
  <si>
    <t>Mixing</t>
  </si>
  <si>
    <t>Coating</t>
  </si>
  <si>
    <t>Electrode</t>
  </si>
  <si>
    <t>Filling</t>
  </si>
  <si>
    <t>Materials Yields During Processing</t>
  </si>
  <si>
    <t>Total Cell Materials per Accepted Cell</t>
  </si>
  <si>
    <t>Positive electrode material (dry)</t>
  </si>
  <si>
    <t>Materials yield per accepted cell, %</t>
  </si>
  <si>
    <t>Cost Input</t>
  </si>
  <si>
    <t>Cell thickness, mm</t>
  </si>
  <si>
    <t>Cell Dimensions</t>
  </si>
  <si>
    <t>Width of cell, mm</t>
  </si>
  <si>
    <t>Length of cell, mm</t>
  </si>
  <si>
    <t>Width of positive electrode, mm</t>
  </si>
  <si>
    <t>Length of positive electrode, mm</t>
  </si>
  <si>
    <t>Required battery power, kW</t>
  </si>
  <si>
    <t>Battery power at 80 % OCV, kW</t>
  </si>
  <si>
    <t>C-rate at full power, A/Ah</t>
  </si>
  <si>
    <r>
      <t>Volume of cell, cm</t>
    </r>
    <r>
      <rPr>
        <vertAlign val="superscript"/>
        <sz val="10"/>
        <rFont val="Arial"/>
        <family val="2"/>
      </rPr>
      <t>3</t>
    </r>
  </si>
  <si>
    <t>Positive electrode thickness</t>
  </si>
  <si>
    <r>
      <t>Negative electrode cm</t>
    </r>
    <r>
      <rPr>
        <vertAlign val="superscript"/>
        <sz val="10"/>
        <rFont val="Arial"/>
        <family val="2"/>
      </rPr>
      <t>2</t>
    </r>
    <r>
      <rPr>
        <sz val="10"/>
        <rFont val="Arial"/>
        <family val="2"/>
      </rPr>
      <t>/cm</t>
    </r>
    <r>
      <rPr>
        <vertAlign val="superscript"/>
        <sz val="10"/>
        <rFont val="Arial"/>
        <family val="2"/>
      </rPr>
      <t>3</t>
    </r>
  </si>
  <si>
    <r>
      <t>Positive electrode cm</t>
    </r>
    <r>
      <rPr>
        <vertAlign val="superscript"/>
        <sz val="10"/>
        <rFont val="Arial"/>
        <family val="2"/>
      </rPr>
      <t>2</t>
    </r>
    <r>
      <rPr>
        <sz val="10"/>
        <rFont val="Arial"/>
        <family val="2"/>
      </rPr>
      <t>/cm</t>
    </r>
    <r>
      <rPr>
        <vertAlign val="superscript"/>
        <sz val="10"/>
        <rFont val="Arial"/>
        <family val="2"/>
      </rPr>
      <t>3</t>
    </r>
  </si>
  <si>
    <t>Width of terminals, mm</t>
  </si>
  <si>
    <t>Open circuit voltage at 50% SOC, V</t>
  </si>
  <si>
    <t>Solid state diffusion limiting C-rate (10-s), A/Ah</t>
  </si>
  <si>
    <t xml:space="preserve">     At 50% SOC, 2-sec burst</t>
  </si>
  <si>
    <t xml:space="preserve">     At 50% SOC, 10-sec burst</t>
  </si>
  <si>
    <r>
      <t>Density, g/cm</t>
    </r>
    <r>
      <rPr>
        <vertAlign val="superscript"/>
        <sz val="10"/>
        <rFont val="Arial"/>
        <family val="2"/>
      </rPr>
      <t>3</t>
    </r>
  </si>
  <si>
    <t>Module length, mm</t>
  </si>
  <si>
    <t>Module width, mm</t>
  </si>
  <si>
    <t>Module height, mm</t>
  </si>
  <si>
    <t xml:space="preserve">     Carbon</t>
  </si>
  <si>
    <t xml:space="preserve">     Carbon, kg</t>
  </si>
  <si>
    <t xml:space="preserve">Number of cells per module </t>
  </si>
  <si>
    <t>Number of modules in row</t>
  </si>
  <si>
    <t>Battery pack insulation thickness, mm</t>
  </si>
  <si>
    <t>Battery jacket total thickness, mm</t>
  </si>
  <si>
    <t>Solvent recovery</t>
  </si>
  <si>
    <t>Binder solvent (NMP) recovery (kg/yr)</t>
  </si>
  <si>
    <t>Binder solvent</t>
  </si>
  <si>
    <t>NMP</t>
  </si>
  <si>
    <t>Water</t>
  </si>
  <si>
    <t>Cell stacking (number of cells)</t>
  </si>
  <si>
    <t xml:space="preserve">     Binder Solvent</t>
  </si>
  <si>
    <t>Cell stacking</t>
  </si>
  <si>
    <t>Positive Active  Material</t>
  </si>
  <si>
    <t>Negative Active  Material</t>
  </si>
  <si>
    <t>Carbon and Binders</t>
  </si>
  <si>
    <t>Positive Current Collector</t>
  </si>
  <si>
    <t>Negative Current Collector</t>
  </si>
  <si>
    <t>Cell Hardware</t>
  </si>
  <si>
    <t>Module Hardware</t>
  </si>
  <si>
    <t xml:space="preserve">     Binder Solvent (water)</t>
  </si>
  <si>
    <r>
      <t>Positive current collector, $/m</t>
    </r>
    <r>
      <rPr>
        <vertAlign val="superscript"/>
        <sz val="10"/>
        <rFont val="Arial"/>
        <family val="2"/>
      </rPr>
      <t>2</t>
    </r>
  </si>
  <si>
    <r>
      <t>Negative current collector, $/m</t>
    </r>
    <r>
      <rPr>
        <vertAlign val="superscript"/>
        <sz val="10"/>
        <rFont val="Arial"/>
        <family val="2"/>
      </rPr>
      <t>2</t>
    </r>
  </si>
  <si>
    <t>Positive current collector</t>
  </si>
  <si>
    <t>Negative current collector</t>
  </si>
  <si>
    <t xml:space="preserve">     Total (dry)</t>
  </si>
  <si>
    <t>Cell Assembly in Dry Room</t>
  </si>
  <si>
    <t xml:space="preserve">     Pertinent volume: dry room operating area, sq. meters</t>
  </si>
  <si>
    <t>Final Cell sealing</t>
  </si>
  <si>
    <t>Charge-Retention Testing</t>
  </si>
  <si>
    <t>Inter-process Materials Handling</t>
  </si>
  <si>
    <t>Electrode Slitting (positive and negative)</t>
  </si>
  <si>
    <t>Vacuum Drying of Electrodes</t>
  </si>
  <si>
    <t>Control Laboratory</t>
  </si>
  <si>
    <r>
      <t>Dry room operating area, m</t>
    </r>
    <r>
      <rPr>
        <vertAlign val="superscript"/>
        <sz val="10"/>
        <rFont val="Arial"/>
        <family val="2"/>
      </rPr>
      <t>2</t>
    </r>
  </si>
  <si>
    <t xml:space="preserve">     Binder</t>
  </si>
  <si>
    <t>Dry Room Control (operating area, sq. meters)</t>
  </si>
  <si>
    <t>Warranty Cost, % added to price</t>
  </si>
  <si>
    <t>Dry room airlocks and management</t>
  </si>
  <si>
    <t>Length of terminal material, mm</t>
  </si>
  <si>
    <t>Thickness of terminal material, mm</t>
  </si>
  <si>
    <t>Length-to-width ratio for positive electrode</t>
  </si>
  <si>
    <r>
      <t>Total cell ASI for power, ohm-cm</t>
    </r>
    <r>
      <rPr>
        <vertAlign val="superscript"/>
        <sz val="10"/>
        <rFont val="Arial"/>
        <family val="2"/>
      </rPr>
      <t>2</t>
    </r>
  </si>
  <si>
    <t>Current collector resistance parameter, ohms</t>
  </si>
  <si>
    <t>Length of current collector tabs, mm</t>
  </si>
  <si>
    <r>
      <t>Current collector ASI, ohms-cm</t>
    </r>
    <r>
      <rPr>
        <vertAlign val="superscript"/>
        <sz val="10"/>
        <rFont val="Arial"/>
        <family val="2"/>
      </rPr>
      <t>2</t>
    </r>
  </si>
  <si>
    <t>Number of bicell layers (97% packing density)</t>
  </si>
  <si>
    <t>Module state-of-charge regulator assembly, g</t>
  </si>
  <si>
    <t>Module volume, L</t>
  </si>
  <si>
    <t>Top of positive electrode to top of terminal, mm</t>
  </si>
  <si>
    <t>Warranty</t>
  </si>
  <si>
    <t xml:space="preserve">     Selected ASI value</t>
  </si>
  <si>
    <t>Select capacity, battery energy, or vehicle range, but only one.</t>
  </si>
  <si>
    <t>Module Parameters</t>
  </si>
  <si>
    <t>Module terminals, if more than one module (each 2.0-cm long), g</t>
  </si>
  <si>
    <t>Cell terminal contact voltage loss, % of cell OCV</t>
  </si>
  <si>
    <r>
      <t xml:space="preserve">Rate of terminal temperature rise at full power, </t>
    </r>
    <r>
      <rPr>
        <vertAlign val="superscript"/>
        <sz val="10"/>
        <rFont val="Arial"/>
        <family val="2"/>
      </rPr>
      <t>o</t>
    </r>
    <r>
      <rPr>
        <sz val="10"/>
        <rFont val="Arial"/>
        <family val="2"/>
      </rPr>
      <t>C/sec</t>
    </r>
  </si>
  <si>
    <t>Module terminal resistance both terminals, ohms</t>
  </si>
  <si>
    <t>Resistance of module interconnects if more than one module, ohms</t>
  </si>
  <si>
    <t xml:space="preserve">Terminal heating factor, W/g </t>
  </si>
  <si>
    <t xml:space="preserve">   Vehicle range (miles)</t>
  </si>
  <si>
    <t>Program for Calculating Performance and Materials Requirements</t>
  </si>
  <si>
    <t>Restart (0/1)</t>
  </si>
  <si>
    <r>
      <t>Maximum current density at full power, mA/cm</t>
    </r>
    <r>
      <rPr>
        <vertAlign val="superscript"/>
        <sz val="10"/>
        <rFont val="Arial"/>
        <family val="2"/>
      </rPr>
      <t>2</t>
    </r>
  </si>
  <si>
    <r>
      <t>Dry room, enclosed operating area, m</t>
    </r>
    <r>
      <rPr>
        <vertAlign val="subscript"/>
        <sz val="10"/>
        <rFont val="Arial"/>
        <family val="2"/>
      </rPr>
      <t>2</t>
    </r>
  </si>
  <si>
    <t xml:space="preserve">     Formation cycling, testing and sealing</t>
  </si>
  <si>
    <t xml:space="preserve">     Control laboratory</t>
  </si>
  <si>
    <t>Void, Vol% %</t>
  </si>
  <si>
    <t>Total unit cost per battery not including warranty, $</t>
  </si>
  <si>
    <t xml:space="preserve">     PHEV</t>
  </si>
  <si>
    <t xml:space="preserve">     EV</t>
  </si>
  <si>
    <t xml:space="preserve">     Selected % energy</t>
  </si>
  <si>
    <t>Number of cells in parallel</t>
  </si>
  <si>
    <t>OCV at full power, V</t>
  </si>
  <si>
    <t>Cell capacity</t>
  </si>
  <si>
    <t>Module terminals</t>
  </si>
  <si>
    <t>Terminal resistance factor, A-ohms/cm</t>
  </si>
  <si>
    <t xml:space="preserve">        Number of modules per pack</t>
  </si>
  <si>
    <t>Cell</t>
  </si>
  <si>
    <t>Stacking</t>
  </si>
  <si>
    <t xml:space="preserve">     Cost per battery jacket weight, $/kg</t>
  </si>
  <si>
    <t xml:space="preserve">        Number of modules per Pack</t>
  </si>
  <si>
    <t>Thickness of module compression plates (steel), mm</t>
  </si>
  <si>
    <t>Positive binder solvent evaporated, kg</t>
  </si>
  <si>
    <t>Negative binder solvent evaporated, kg</t>
  </si>
  <si>
    <t>Positive binder solvent evaporated, kg per year</t>
  </si>
  <si>
    <t>Negative binder solvent evaporated, kg per year</t>
  </si>
  <si>
    <t xml:space="preserve">     Module</t>
  </si>
  <si>
    <t>Unit Cost of Modules for One Battery Pack, $</t>
  </si>
  <si>
    <t>Battery Pack Assembly and Testing, 100,000 Battery Packs per year</t>
  </si>
  <si>
    <t xml:space="preserve">     Module assembly and testing</t>
  </si>
  <si>
    <t>Summary for Battery Pack</t>
  </si>
  <si>
    <t>Price for Modules Only</t>
  </si>
  <si>
    <t>LMO-LTO</t>
  </si>
  <si>
    <t>Total Direct Labor, hours/year</t>
  </si>
  <si>
    <t>Total Plant Area, square meters</t>
  </si>
  <si>
    <t>Total Capital Equipment, million$</t>
  </si>
  <si>
    <t>Summary for Cost of Modules Only</t>
  </si>
  <si>
    <t>Vehicle type (microHEV, HEV-HP, PHEV, EV)</t>
  </si>
  <si>
    <t xml:space="preserve">     microHEV and HEV-HP</t>
  </si>
  <si>
    <t>Useable battery energy storage, kWh</t>
  </si>
  <si>
    <t>Thickness of cell edge from positive electrode to outside of fold, mm</t>
  </si>
  <si>
    <t>Thermal Modeling</t>
  </si>
  <si>
    <t>Layer Thicknesses, microns</t>
  </si>
  <si>
    <t>Positive foil</t>
  </si>
  <si>
    <t>Negative foil</t>
  </si>
  <si>
    <t>Positive electrode</t>
  </si>
  <si>
    <t>Negative electrode</t>
  </si>
  <si>
    <t>Total Bicell Layer</t>
  </si>
  <si>
    <t>Across layers</t>
  </si>
  <si>
    <t>Parallel to layers</t>
  </si>
  <si>
    <t>Mass of battery pack less 50% of jacket mass kg</t>
  </si>
  <si>
    <t>Available energy, kWh</t>
  </si>
  <si>
    <t>Hydraulic diameter, Dh</t>
  </si>
  <si>
    <t>Total flow distance, cm</t>
  </si>
  <si>
    <t>Reynolds number</t>
  </si>
  <si>
    <t>Target pressure drop, bars</t>
  </si>
  <si>
    <t>Graetz number, Gz</t>
  </si>
  <si>
    <t>Mean Nusselt number, Nu</t>
  </si>
  <si>
    <r>
      <t>h = Nu*k/Dh, W/cm</t>
    </r>
    <r>
      <rPr>
        <vertAlign val="superscript"/>
        <sz val="10"/>
        <rFont val="Arial"/>
        <family val="2"/>
      </rPr>
      <t>2</t>
    </r>
    <r>
      <rPr>
        <sz val="10"/>
        <rFont val="Arial"/>
        <family val="2"/>
      </rPr>
      <t>-</t>
    </r>
    <r>
      <rPr>
        <vertAlign val="superscript"/>
        <sz val="10"/>
        <rFont val="Arial"/>
        <family val="2"/>
      </rPr>
      <t>o</t>
    </r>
    <r>
      <rPr>
        <sz val="10"/>
        <rFont val="Arial"/>
        <family val="2"/>
      </rPr>
      <t>C</t>
    </r>
  </si>
  <si>
    <r>
      <t>Effective area, cm</t>
    </r>
    <r>
      <rPr>
        <vertAlign val="superscript"/>
        <sz val="10"/>
        <rFont val="Arial"/>
        <family val="2"/>
      </rPr>
      <t>2</t>
    </r>
  </si>
  <si>
    <r>
      <t xml:space="preserve">Total rise in fluid temperature, </t>
    </r>
    <r>
      <rPr>
        <vertAlign val="superscript"/>
        <sz val="10"/>
        <rFont val="Arial"/>
        <family val="2"/>
      </rPr>
      <t>o</t>
    </r>
    <r>
      <rPr>
        <sz val="10"/>
        <rFont val="Arial"/>
        <family val="2"/>
      </rPr>
      <t>C</t>
    </r>
  </si>
  <si>
    <t>Required rate of fluid flow, mL/sec</t>
  </si>
  <si>
    <r>
      <t>Fluid mass rate (G), g/sec-cm</t>
    </r>
    <r>
      <rPr>
        <vertAlign val="superscript"/>
        <sz val="10"/>
        <rFont val="Arial"/>
        <family val="2"/>
      </rPr>
      <t>2</t>
    </r>
  </si>
  <si>
    <t>Flow passage thickness, cm</t>
  </si>
  <si>
    <r>
      <t>Fluid flow cross-section through battery pack jacket, cm</t>
    </r>
    <r>
      <rPr>
        <vertAlign val="superscript"/>
        <sz val="10"/>
        <rFont val="Arial"/>
        <family val="2"/>
      </rPr>
      <t>2</t>
    </r>
  </si>
  <si>
    <t>Fluid flow velocity, cm/sec</t>
  </si>
  <si>
    <t>Total efficiency of pump and motor, %</t>
  </si>
  <si>
    <t>Heat rejection per cell, W</t>
  </si>
  <si>
    <t>Length of aluminum conductor, cm</t>
  </si>
  <si>
    <t>Total conduction thickness including pouch aluminum, cm</t>
  </si>
  <si>
    <t>Thickness of cell, cm</t>
  </si>
  <si>
    <t>Width of cell, cm</t>
  </si>
  <si>
    <t>Thickness of cell edge, cm</t>
  </si>
  <si>
    <r>
      <t xml:space="preserve">Temperature drop from cell center to module wall, </t>
    </r>
    <r>
      <rPr>
        <vertAlign val="superscript"/>
        <sz val="10"/>
        <rFont val="Arial"/>
        <family val="2"/>
      </rPr>
      <t>o</t>
    </r>
    <r>
      <rPr>
        <sz val="10"/>
        <rFont val="Arial"/>
        <family val="2"/>
      </rPr>
      <t>C</t>
    </r>
  </si>
  <si>
    <t>Battery Cooling System</t>
  </si>
  <si>
    <t xml:space="preserve">     Volume, L</t>
  </si>
  <si>
    <t>Volume, L</t>
  </si>
  <si>
    <t>System</t>
  </si>
  <si>
    <t>Cell container (PET-Al-PP), g</t>
  </si>
  <si>
    <t>Density of cell container, g/cm3</t>
  </si>
  <si>
    <t>Thickness of cell container aluminum layer, µm</t>
  </si>
  <si>
    <t>Thickness of cell container (PET-Al-PP), µm</t>
  </si>
  <si>
    <t>Refrig 1</t>
  </si>
  <si>
    <t>Refrig 2</t>
  </si>
  <si>
    <t>Refrig 3</t>
  </si>
  <si>
    <t>Refrig 4</t>
  </si>
  <si>
    <t>Cooling System</t>
  </si>
  <si>
    <t>Ethylene glycol-50% water solution</t>
  </si>
  <si>
    <t>Volume of ethylene glycol-50% water solution within battery, L</t>
  </si>
  <si>
    <t>Mass of ethylene glycol-50% water solution within battery, kg</t>
  </si>
  <si>
    <t>Cooling system power requirement, W</t>
  </si>
  <si>
    <t>Performance</t>
  </si>
  <si>
    <t>Coefficient</t>
  </si>
  <si>
    <t>Cell container, $/unit</t>
  </si>
  <si>
    <t xml:space="preserve">     Cell container</t>
  </si>
  <si>
    <t xml:space="preserve">Aluminum thermal conductor </t>
  </si>
  <si>
    <t>HEV-HP Battery Packs</t>
  </si>
  <si>
    <r>
      <t>Estimated heat capacity of battery, J/g-</t>
    </r>
    <r>
      <rPr>
        <vertAlign val="superscript"/>
        <sz val="10"/>
        <rFont val="Arial"/>
        <family val="2"/>
      </rPr>
      <t>o</t>
    </r>
    <r>
      <rPr>
        <sz val="10"/>
        <rFont val="Arial"/>
        <family val="2"/>
      </rPr>
      <t>C</t>
    </r>
  </si>
  <si>
    <t>Heating Under Adiabatic Conditions for Discharge of Available Energy for PHEV or EV Battery Packs</t>
  </si>
  <si>
    <t>$/kWh</t>
  </si>
  <si>
    <t>Insulation thickness, cm</t>
  </si>
  <si>
    <r>
      <t>Insulation area, cm</t>
    </r>
    <r>
      <rPr>
        <vertAlign val="superscript"/>
        <sz val="10"/>
        <rFont val="Arial"/>
        <family val="2"/>
      </rPr>
      <t>2</t>
    </r>
  </si>
  <si>
    <r>
      <t xml:space="preserve">Ambient temperature, </t>
    </r>
    <r>
      <rPr>
        <vertAlign val="superscript"/>
        <sz val="10"/>
        <rFont val="Arial"/>
        <family val="2"/>
      </rPr>
      <t>o</t>
    </r>
    <r>
      <rPr>
        <sz val="10"/>
        <rFont val="Arial"/>
        <family val="2"/>
      </rPr>
      <t>C</t>
    </r>
  </si>
  <si>
    <t>Cooling</t>
  </si>
  <si>
    <t>Capacity, W</t>
  </si>
  <si>
    <t>PHEV</t>
  </si>
  <si>
    <r>
      <t xml:space="preserve">Battery temperature at startup, </t>
    </r>
    <r>
      <rPr>
        <vertAlign val="superscript"/>
        <sz val="10"/>
        <rFont val="Arial"/>
        <family val="2"/>
      </rPr>
      <t>o</t>
    </r>
    <r>
      <rPr>
        <sz val="10"/>
        <rFont val="Arial"/>
        <family val="2"/>
      </rPr>
      <t>C</t>
    </r>
  </si>
  <si>
    <r>
      <t xml:space="preserve">Battery temperature after heating, </t>
    </r>
    <r>
      <rPr>
        <vertAlign val="superscript"/>
        <sz val="10"/>
        <rFont val="Arial"/>
        <family val="2"/>
      </rPr>
      <t>o</t>
    </r>
    <r>
      <rPr>
        <sz val="10"/>
        <rFont val="Arial"/>
        <family val="2"/>
      </rPr>
      <t>C</t>
    </r>
  </si>
  <si>
    <t xml:space="preserve">     Cost per battery, $</t>
  </si>
  <si>
    <t>Added</t>
  </si>
  <si>
    <t>Power of battery heaters, kW</t>
  </si>
  <si>
    <t xml:space="preserve">Aluminum thermal conductors (each) </t>
  </si>
  <si>
    <t xml:space="preserve">Aluminum thermal conductors/module </t>
  </si>
  <si>
    <t>Cell group interconnects (copper)</t>
  </si>
  <si>
    <t>Total cost per module</t>
  </si>
  <si>
    <t>Cost of Battery Pack Materials and Purchased Items, $</t>
  </si>
  <si>
    <t>Battery Jacket</t>
  </si>
  <si>
    <t>Battery jacket</t>
  </si>
  <si>
    <r>
      <t xml:space="preserve">Battery temperature target, </t>
    </r>
    <r>
      <rPr>
        <vertAlign val="superscript"/>
        <sz val="10"/>
        <rFont val="Arial"/>
        <family val="2"/>
      </rPr>
      <t>o</t>
    </r>
    <r>
      <rPr>
        <sz val="10"/>
        <rFont val="Arial"/>
        <family val="2"/>
      </rPr>
      <t>C</t>
    </r>
  </si>
  <si>
    <t>Heating and Cooling  Required for Maintaining Pack Temperature</t>
  </si>
  <si>
    <t>Heating during cold ambient conditions</t>
  </si>
  <si>
    <t>Cooling during hot ambient conditions</t>
  </si>
  <si>
    <r>
      <t xml:space="preserve">Effective ambient temperature, </t>
    </r>
    <r>
      <rPr>
        <vertAlign val="superscript"/>
        <sz val="10"/>
        <rFont val="Arial"/>
        <family val="2"/>
      </rPr>
      <t>o</t>
    </r>
    <r>
      <rPr>
        <sz val="10"/>
        <rFont val="Arial"/>
        <family val="2"/>
      </rPr>
      <t>C</t>
    </r>
  </si>
  <si>
    <t>Weight, kg</t>
  </si>
  <si>
    <t>Thermal conductivity of aluminum, W/cm-K</t>
  </si>
  <si>
    <r>
      <t>Thermal conductivity across cell layers, W/cm-</t>
    </r>
    <r>
      <rPr>
        <sz val="10"/>
        <rFont val="Arial"/>
        <family val="2"/>
      </rPr>
      <t>K</t>
    </r>
  </si>
  <si>
    <r>
      <t>Thermal conductivity parallel to cell layers, W/cm-</t>
    </r>
    <r>
      <rPr>
        <sz val="10"/>
        <rFont val="Arial"/>
        <family val="2"/>
      </rPr>
      <t>K</t>
    </r>
  </si>
  <si>
    <r>
      <t>Thermal conductivity of pack jacket insulation, W/cm-</t>
    </r>
    <r>
      <rPr>
        <sz val="10"/>
        <rFont val="Arial"/>
        <family val="2"/>
      </rPr>
      <t>K</t>
    </r>
  </si>
  <si>
    <t>Cooling System Parameters for Use of Vehicle Air Conditioner</t>
  </si>
  <si>
    <t xml:space="preserve">     Percent of capital equipment investment (6-year rate), %</t>
  </si>
  <si>
    <t xml:space="preserve">     Percent of building investment (20-year rate), % </t>
  </si>
  <si>
    <t>State-of-charge regulator and safety monitors</t>
  </si>
  <si>
    <t>Module Purchased Materials Cost</t>
  </si>
  <si>
    <t>Battery Purchased Materials Cost</t>
  </si>
  <si>
    <t>Module compression plates and steel straps, $,kg</t>
  </si>
  <si>
    <t xml:space="preserve">     Plus cost per capacity, $/A (rounded up)</t>
  </si>
  <si>
    <t>Module Inter-connectors and signal wiring</t>
  </si>
  <si>
    <t>Alum. heat conductor</t>
  </si>
  <si>
    <t>MicroHEV</t>
  </si>
  <si>
    <t>HEV-HP</t>
  </si>
  <si>
    <t>and EV</t>
  </si>
  <si>
    <t>Battery Management System</t>
  </si>
  <si>
    <t>Thermal Controls</t>
  </si>
  <si>
    <t>Module controls, $/module</t>
  </si>
  <si>
    <t>Current and voltage sensing, $</t>
  </si>
  <si>
    <t>Battery terminals</t>
  </si>
  <si>
    <t>Module compression plates and steel straps</t>
  </si>
  <si>
    <t>Electrode Coating Thickness Calculation</t>
  </si>
  <si>
    <t>Auto. battery disconnect, $</t>
  </si>
  <si>
    <t>Manual disconnect, $</t>
  </si>
  <si>
    <t xml:space="preserve">     Plus cost per interconnect, $</t>
  </si>
  <si>
    <t>Battery current and voltage sensing, $</t>
  </si>
  <si>
    <t>Module controls</t>
  </si>
  <si>
    <t>Automatic battery disconnect, $</t>
  </si>
  <si>
    <t>Additions to AC system</t>
  </si>
  <si>
    <t>Heating system</t>
  </si>
  <si>
    <t xml:space="preserve">     Battery pack</t>
  </si>
  <si>
    <t>Price to OEM for battery pack, $</t>
  </si>
  <si>
    <t>Total cost to OEM for complete battery system, $</t>
  </si>
  <si>
    <t>Estimated cost to OEM for thermal management, $</t>
  </si>
  <si>
    <t>Price to OEM for modules for one pack, $</t>
  </si>
  <si>
    <t xml:space="preserve">Carbon </t>
  </si>
  <si>
    <t xml:space="preserve">     % of direct labor</t>
  </si>
  <si>
    <t>Variable overhead rate</t>
  </si>
  <si>
    <t>Battery Pack Total</t>
  </si>
  <si>
    <t>Electrode processing</t>
  </si>
  <si>
    <t>Cell assembly</t>
  </si>
  <si>
    <t>Formation cycling, testing and sealing</t>
  </si>
  <si>
    <t>Module and battery assembly</t>
  </si>
  <si>
    <t>Receiving and shipping</t>
  </si>
  <si>
    <t>Control laboratory</t>
  </si>
  <si>
    <t>Direct Labor Summary, hours/year</t>
  </si>
  <si>
    <t xml:space="preserve">     Cell and materials rejection and recycling</t>
  </si>
  <si>
    <t>Cell and materials rejection and recycling</t>
  </si>
  <si>
    <t xml:space="preserve">     % of depreciation</t>
  </si>
  <si>
    <t>Cost to OEM for Materials and Purchased Items for Thermal Management System, $</t>
  </si>
  <si>
    <t>Baseline thermal system</t>
  </si>
  <si>
    <t>Default thickness of aluminum conductors, cm</t>
  </si>
  <si>
    <t>Override thickness of aluminum conductors, cm</t>
  </si>
  <si>
    <t>Power of heating elements, W</t>
  </si>
  <si>
    <r>
      <t xml:space="preserve">Temperature difference at steady state, </t>
    </r>
    <r>
      <rPr>
        <vertAlign val="superscript"/>
        <sz val="10"/>
        <rFont val="Arial"/>
        <family val="2"/>
      </rPr>
      <t>o</t>
    </r>
    <r>
      <rPr>
        <sz val="10"/>
        <rFont val="Arial"/>
        <family val="2"/>
      </rPr>
      <t>C</t>
    </r>
  </si>
  <si>
    <t>microHEV battery packs, default heat generation</t>
  </si>
  <si>
    <t>Thermal Conductivities</t>
  </si>
  <si>
    <t>Adjustable parameters</t>
  </si>
  <si>
    <t>Constant parameters</t>
  </si>
  <si>
    <t>Battery power at target % OCV and SOC, kW</t>
  </si>
  <si>
    <t>Voltage drop for bus bar for packs with one row of modules, V</t>
  </si>
  <si>
    <t>Thermal Conductivities, W/cm-K</t>
  </si>
  <si>
    <t>Thermal conductivity through folded cell edge</t>
  </si>
  <si>
    <r>
      <t>Heat transfer through cell edges per unit temperature differential, W/</t>
    </r>
    <r>
      <rPr>
        <vertAlign val="superscript"/>
        <sz val="10"/>
        <rFont val="Arial"/>
        <family val="2"/>
      </rPr>
      <t>o</t>
    </r>
    <r>
      <rPr>
        <sz val="10"/>
        <rFont val="Arial"/>
        <family val="2"/>
      </rPr>
      <t>C</t>
    </r>
  </si>
  <si>
    <r>
      <t>Heat transfer through cell sides per unit temperature differential, W/</t>
    </r>
    <r>
      <rPr>
        <vertAlign val="superscript"/>
        <sz val="10"/>
        <rFont val="Arial"/>
        <family val="2"/>
      </rPr>
      <t>o</t>
    </r>
    <r>
      <rPr>
        <sz val="10"/>
        <rFont val="Arial"/>
        <family val="2"/>
      </rPr>
      <t>C</t>
    </r>
  </si>
  <si>
    <t>Thermal Management System</t>
  </si>
  <si>
    <t>Hardware Costs, $/unit</t>
  </si>
  <si>
    <t>Input required</t>
  </si>
  <si>
    <t>Actual negative to positive capacity ratio</t>
  </si>
  <si>
    <t>Positive</t>
  </si>
  <si>
    <t>Negative</t>
  </si>
  <si>
    <t>To enter into System Selection worksheet</t>
  </si>
  <si>
    <t>First cycle capacity, mAh/g:</t>
  </si>
  <si>
    <t>First cycle efficiency:</t>
  </si>
  <si>
    <t>Half cell reversible capacity, mAh/g:</t>
  </si>
  <si>
    <t>Delivered full cell capacity, mAh/g:</t>
  </si>
  <si>
    <t>Li captured in negative SEI, mAh/g:</t>
  </si>
  <si>
    <t>Cyclable Li left in negative, mAh/g:</t>
  </si>
  <si>
    <t>LMO</t>
  </si>
  <si>
    <t>LTO</t>
  </si>
  <si>
    <t>LFP</t>
  </si>
  <si>
    <t>Graph</t>
  </si>
  <si>
    <t>NCA</t>
  </si>
  <si>
    <t>NMC441</t>
  </si>
  <si>
    <t>Negative to positive capacity ratio parameter</t>
  </si>
  <si>
    <t>Negative to positive mass ratio</t>
  </si>
  <si>
    <t>NMC333-G</t>
  </si>
  <si>
    <t>NMC333</t>
  </si>
  <si>
    <t>Output to model (manually entered)</t>
  </si>
  <si>
    <t xml:space="preserve">Temperature Drop From Module Wall to Bulk Fluid </t>
  </si>
  <si>
    <t>Cooling of Modules with Ethylene Glycol-50% Water at Steady State</t>
  </si>
  <si>
    <t>Cooling of Modules</t>
  </si>
  <si>
    <t>Temperature Drop from Cell Center to Cell Wall at Steady State</t>
  </si>
  <si>
    <t>Width of channel, cm</t>
  </si>
  <si>
    <t>Width of channel support, cm</t>
  </si>
  <si>
    <r>
      <t xml:space="preserve">Temperature drop from cell center to cell wall, </t>
    </r>
    <r>
      <rPr>
        <vertAlign val="superscript"/>
        <sz val="10"/>
        <rFont val="Arial"/>
        <family val="2"/>
      </rPr>
      <t>o</t>
    </r>
    <r>
      <rPr>
        <sz val="10"/>
        <rFont val="Arial"/>
        <family val="2"/>
      </rPr>
      <t>C</t>
    </r>
  </si>
  <si>
    <r>
      <t>Fluid flow cross-section per channel, cm</t>
    </r>
    <r>
      <rPr>
        <vertAlign val="superscript"/>
        <sz val="10"/>
        <rFont val="Arial"/>
        <family val="2"/>
      </rPr>
      <t>2</t>
    </r>
  </si>
  <si>
    <t>Heat rejection per channel, W</t>
  </si>
  <si>
    <t>Required rate of fluid flow per flow channel, ml/sec</t>
  </si>
  <si>
    <t>Air</t>
  </si>
  <si>
    <t>Liquid-Cooled Battery Pack</t>
  </si>
  <si>
    <t>Pack Cooled with Cabin Air</t>
  </si>
  <si>
    <t>Total pressure drop through entrance and exit of pack, bar</t>
  </si>
  <si>
    <r>
      <t>Fluid mass rate through pack entrance (Gp), g/sec-cm</t>
    </r>
    <r>
      <rPr>
        <vertAlign val="superscript"/>
        <sz val="10"/>
        <rFont val="Arial"/>
        <family val="2"/>
      </rPr>
      <t>2</t>
    </r>
  </si>
  <si>
    <t>Width of air supply channels through pack, cm</t>
  </si>
  <si>
    <t>Module wall material</t>
  </si>
  <si>
    <t>Module wall thickness, mm</t>
  </si>
  <si>
    <t>Length of cooled section of cell (length of positive electrode), cm</t>
  </si>
  <si>
    <t>Total flow distance (L), cm</t>
  </si>
  <si>
    <t>Number of channels per cell group</t>
  </si>
  <si>
    <t>Thickness of air supply channel above and below modules, cm</t>
  </si>
  <si>
    <t>Required rate of air flow through pack, ml/sec</t>
  </si>
  <si>
    <t>Reynolds number, pack channels</t>
  </si>
  <si>
    <t>Target total pressure drop, bar</t>
  </si>
  <si>
    <t>Fraction of pressure drop through passages between cells, %</t>
  </si>
  <si>
    <r>
      <t xml:space="preserve">Total rise in coolant air temperature, </t>
    </r>
    <r>
      <rPr>
        <vertAlign val="superscript"/>
        <sz val="10"/>
        <rFont val="Arial"/>
        <family val="2"/>
      </rPr>
      <t>o</t>
    </r>
    <r>
      <rPr>
        <sz val="10"/>
        <rFont val="Arial"/>
        <family val="2"/>
      </rPr>
      <t>C</t>
    </r>
  </si>
  <si>
    <r>
      <t xml:space="preserve">Maximum temperature of center of cells, </t>
    </r>
    <r>
      <rPr>
        <b/>
        <vertAlign val="superscript"/>
        <sz val="10"/>
        <rFont val="Arial"/>
        <family val="2"/>
      </rPr>
      <t>o</t>
    </r>
    <r>
      <rPr>
        <b/>
        <sz val="10"/>
        <rFont val="Arial"/>
        <family val="2"/>
      </rPr>
      <t>C</t>
    </r>
  </si>
  <si>
    <t>Temperature Drop from Cell Wall to Bulk Air Coolant</t>
  </si>
  <si>
    <t>Coolant space above and below modules, mm</t>
  </si>
  <si>
    <r>
      <t>Effective heat transfer area per channel, cm</t>
    </r>
    <r>
      <rPr>
        <vertAlign val="superscript"/>
        <sz val="10"/>
        <rFont val="Arial"/>
        <family val="2"/>
      </rPr>
      <t>2</t>
    </r>
  </si>
  <si>
    <t xml:space="preserve">     Plus cost per capacity, $/Ah</t>
  </si>
  <si>
    <t xml:space="preserve">     Cost per mass, $/kg</t>
  </si>
  <si>
    <t xml:space="preserve">   (or thermal group enclosure)</t>
  </si>
  <si>
    <t>Total efficiency of fan and motor at maximum flow rate, %</t>
  </si>
  <si>
    <t>Power to fan, W</t>
  </si>
  <si>
    <t xml:space="preserve">Temperature Drop From Cell Wall to Bulk Air Stream </t>
  </si>
  <si>
    <t>Thickness of aluminum conductor or thermal enclosure, mm</t>
  </si>
  <si>
    <t>Thickness of aluminum in thermal cell wrap, mm</t>
  </si>
  <si>
    <t>Thickness added by cell wrap, mm</t>
  </si>
  <si>
    <t>Total thickness of wrapped cell, mm</t>
  </si>
  <si>
    <t>Final Cell Sealing (number of cells/yr)</t>
  </si>
  <si>
    <t>Charge Retention Testing (number of cells/yr)</t>
  </si>
  <si>
    <t>Cell capacity, Ah</t>
  </si>
  <si>
    <t>Maximum allowable ASI for limiting capacity</t>
  </si>
  <si>
    <t>Capacity estimating parameter</t>
  </si>
  <si>
    <t>Wh/kg</t>
  </si>
  <si>
    <t>Sustained battery power, kW</t>
  </si>
  <si>
    <t>Heat generation, W or joules/sec</t>
  </si>
  <si>
    <t>Efficiency for discharge, %</t>
  </si>
  <si>
    <t>Maximum Sustained Heat Generation Rates in Battery Pack</t>
  </si>
  <si>
    <t xml:space="preserve">     Fraction of energy delivered through battery, %</t>
  </si>
  <si>
    <t>Equivalent total length of passages into and out of pack (Lp), cm</t>
  </si>
  <si>
    <t xml:space="preserve">     Power for accessories, kW</t>
  </si>
  <si>
    <t xml:space="preserve">     Battery resistance for sustained power, ohms</t>
  </si>
  <si>
    <t>Applicable battery resistance, ohms</t>
  </si>
  <si>
    <t>Length of air channel between cells, cm</t>
  </si>
  <si>
    <t>Designated constant speed at energy requirement, mph</t>
  </si>
  <si>
    <t xml:space="preserve">     Total Power at designated speed, kW</t>
  </si>
  <si>
    <r>
      <t xml:space="preserve">     Power factor for aerodynamic drag, kW/(mph)</t>
    </r>
    <r>
      <rPr>
        <b/>
        <vertAlign val="superscript"/>
        <sz val="10"/>
        <rFont val="Arial"/>
        <family val="2"/>
      </rPr>
      <t>3</t>
    </r>
  </si>
  <si>
    <t xml:space="preserve">     Power factor for rolling friction, kW/mph</t>
  </si>
  <si>
    <t xml:space="preserve">   EG-W = ethylene glycol - 50% water)</t>
  </si>
  <si>
    <t>Adequacy of Cooling</t>
  </si>
  <si>
    <r>
      <t xml:space="preserve">Assumed initial temperature, </t>
    </r>
    <r>
      <rPr>
        <vertAlign val="superscript"/>
        <sz val="10"/>
        <rFont val="Arial"/>
        <family val="2"/>
      </rPr>
      <t>o</t>
    </r>
    <r>
      <rPr>
        <sz val="10"/>
        <rFont val="Arial"/>
        <family val="2"/>
      </rPr>
      <t>C</t>
    </r>
  </si>
  <si>
    <r>
      <t xml:space="preserve">Average battery temperature at end of discharge, </t>
    </r>
    <r>
      <rPr>
        <vertAlign val="superscript"/>
        <sz val="10"/>
        <rFont val="Arial"/>
        <family val="2"/>
      </rPr>
      <t>o</t>
    </r>
    <r>
      <rPr>
        <sz val="10"/>
        <rFont val="Arial"/>
        <family val="2"/>
      </rPr>
      <t>C</t>
    </r>
  </si>
  <si>
    <t>Voltage on discharge, V</t>
  </si>
  <si>
    <t>Current on discharge, I</t>
  </si>
  <si>
    <r>
      <t xml:space="preserve">     Maximum temperature at center of hottest cells, </t>
    </r>
    <r>
      <rPr>
        <vertAlign val="superscript"/>
        <sz val="10"/>
        <rFont val="Arial"/>
        <family val="2"/>
      </rPr>
      <t>o</t>
    </r>
    <r>
      <rPr>
        <sz val="10"/>
        <rFont val="Arial"/>
        <family val="2"/>
      </rPr>
      <t>C</t>
    </r>
  </si>
  <si>
    <t>Target width of air flow channel, cm</t>
  </si>
  <si>
    <t>Hydraulic diameter (4*flow area/perimeter), Dh</t>
  </si>
  <si>
    <t xml:space="preserve">     Thickness of air flow channel (holding)</t>
  </si>
  <si>
    <t>PHEV and EV Battery Packs</t>
  </si>
  <si>
    <t>Coolant Properties</t>
  </si>
  <si>
    <t>Temperature Drop from Cell Center to Module Wall (steady state)</t>
  </si>
  <si>
    <r>
      <t xml:space="preserve">     Heat capacity, J/g-</t>
    </r>
    <r>
      <rPr>
        <vertAlign val="superscript"/>
        <sz val="10"/>
        <rFont val="Arial"/>
        <family val="2"/>
      </rPr>
      <t>o</t>
    </r>
    <r>
      <rPr>
        <sz val="10"/>
        <rFont val="Arial"/>
        <family val="2"/>
      </rPr>
      <t>C</t>
    </r>
  </si>
  <si>
    <r>
      <t>Pressure drop, bars = 48*</t>
    </r>
    <r>
      <rPr>
        <sz val="10"/>
        <rFont val="Arial"/>
        <family val="2"/>
      </rPr>
      <t>µ*GL/(</t>
    </r>
    <r>
      <rPr>
        <sz val="10"/>
        <rFont val="Calibri"/>
        <family val="2"/>
      </rPr>
      <t>ρ</t>
    </r>
    <r>
      <rPr>
        <sz val="10"/>
        <rFont val="Arial"/>
        <family val="2"/>
      </rPr>
      <t>Dh^2)/1000000</t>
    </r>
  </si>
  <si>
    <r>
      <t xml:space="preserve">     Density (</t>
    </r>
    <r>
      <rPr>
        <sz val="10"/>
        <rFont val="Calibri"/>
        <family val="2"/>
      </rPr>
      <t>ρ)</t>
    </r>
    <r>
      <rPr>
        <sz val="10"/>
        <rFont val="Arial"/>
        <family val="2"/>
      </rPr>
      <t>, g/mL</t>
    </r>
  </si>
  <si>
    <r>
      <t xml:space="preserve">     Viscosity (</t>
    </r>
    <r>
      <rPr>
        <sz val="10"/>
        <rFont val="Calibri"/>
        <family val="2"/>
      </rPr>
      <t>µ</t>
    </r>
    <r>
      <rPr>
        <sz val="10"/>
        <rFont val="Arial"/>
        <family val="2"/>
      </rPr>
      <t>), poise (g/s-cm)</t>
    </r>
  </si>
  <si>
    <r>
      <t xml:space="preserve">     Conductivity (k), W/cm-</t>
    </r>
    <r>
      <rPr>
        <vertAlign val="superscript"/>
        <sz val="10"/>
        <rFont val="Arial"/>
        <family val="2"/>
      </rPr>
      <t>o</t>
    </r>
    <r>
      <rPr>
        <sz val="10"/>
        <rFont val="Arial"/>
        <family val="2"/>
      </rPr>
      <t>C</t>
    </r>
  </si>
  <si>
    <t>Length of cell  sleeve, cm</t>
  </si>
  <si>
    <t>Thickness of pack extensions for air-cooled packs, mm</t>
  </si>
  <si>
    <t>Total volume of pack extensions for air-cooled packs, L</t>
  </si>
  <si>
    <t>Battery pack length (A dimension), mm</t>
  </si>
  <si>
    <t>Battery pack width (B dimension), mm</t>
  </si>
  <si>
    <t>Battery pack height (C dimension), mm</t>
  </si>
  <si>
    <t>Power into air to provide flow, W</t>
  </si>
  <si>
    <r>
      <rPr>
        <b/>
        <sz val="10"/>
        <rFont val="Arial"/>
        <family val="2"/>
      </rPr>
      <t>BatPaC  (Battery Performance and Cost Model) SOFTWARE COPYRIGHT NOTIFICATION</t>
    </r>
    <r>
      <rPr>
        <sz val="10"/>
        <rFont val="Arial"/>
        <family val="2"/>
      </rPr>
      <t xml:space="preserve">
© COPYRIGHT 2011 UCHICAGO ARGONNE, LLC    All rights reserved.  The BatPaC, Version 2.0 and 1.0 software, manual and supporting documentation are protectable under copyright laws of the United States.
NEITHER THE UNITED STATES GOVERNMENT NOR ANY AGENCY THEREOF, NOR THE UCHICAGO ARGONNE, LLC, NOR ANY OF THEIR EMPLOYEES, MAKES ANY WARRANTY, EXPRESS OR IMPLIED, OR ASSUMES ANY LEGAL LIABILITY OR RESPONSIBILITY FOR THE ACCURACY, COMPLETENESS, OR USEFULNESS OF ANY INFORMATION, APPARATUS, PRODUCT, OR PROCESS DISCLOSED, OR REPRESENTS THAT ITS USE WOULD NOT INFRINGE PRIVATELY OWNED RIGHTS.
Paul Nelson, Kevin Gallagher, and Ira Bloom 
Chemical Science and Engineering Division
Argonne National Laboratory
9700 S. Cass Ave, Lemont, IL 60439
www.cse.anl.gov/batpac</t>
    </r>
  </si>
  <si>
    <t>Number of modules in parallel</t>
  </si>
  <si>
    <t>Pressure drop through channels, bars = 48*µ*GL/(RhoDh^2)/1,000,000</t>
  </si>
  <si>
    <t>Number of battery packs manufactured per year</t>
  </si>
  <si>
    <t>Total unit cost per pack not including warranty, $</t>
  </si>
  <si>
    <t>Bus bar for packs with one row of modules or</t>
  </si>
  <si>
    <t xml:space="preserve">     multiple modules or packs in parallel, $ each</t>
  </si>
  <si>
    <t>Bus bar for battery packs with one row of modules</t>
  </si>
  <si>
    <t>Bus bars for interconnecting multiple battery packs</t>
  </si>
  <si>
    <t>Bus bars for battery packs with parallel modules</t>
  </si>
  <si>
    <t>Additional for parallel modules and packs, $ per string</t>
  </si>
  <si>
    <t>Total cost per battery pack</t>
  </si>
  <si>
    <t>Additional for multiple packs, $/additional pack</t>
  </si>
  <si>
    <t>Number of packs per vehicle (parallel or series)</t>
  </si>
  <si>
    <t>Additional for parallel modules and multiple packs, $</t>
  </si>
  <si>
    <t xml:space="preserve">     Parallel packs (P) or series (S)</t>
  </si>
  <si>
    <t>Energy requirement of battery pack, Wh/mile</t>
  </si>
  <si>
    <t>Calculated Battery Pack Parameters</t>
  </si>
  <si>
    <t>Total battery pack energy storage, kWh</t>
  </si>
  <si>
    <t>Number of battery packs</t>
  </si>
  <si>
    <t>Battery system total energy storage, kWh</t>
  </si>
  <si>
    <t>Battery system power at target % OCV, kW</t>
  </si>
  <si>
    <t>Required battery system power, kW</t>
  </si>
  <si>
    <t xml:space="preserve">     Packs in series or parallel</t>
  </si>
  <si>
    <t>Nominal battery system voltage (OCV at 50% SOC),V</t>
  </si>
  <si>
    <t>Heat Transfer Fluid (CA = Cabin air, CoolA = Cooled air,</t>
  </si>
  <si>
    <r>
      <t xml:space="preserve">     Override value, </t>
    </r>
    <r>
      <rPr>
        <vertAlign val="superscript"/>
        <sz val="10"/>
        <rFont val="Arial"/>
        <family val="2"/>
      </rPr>
      <t>o</t>
    </r>
    <r>
      <rPr>
        <sz val="10"/>
        <rFont val="Arial"/>
        <family val="2"/>
      </rPr>
      <t>C</t>
    </r>
  </si>
  <si>
    <r>
      <t xml:space="preserve">     Default value, </t>
    </r>
    <r>
      <rPr>
        <vertAlign val="superscript"/>
        <sz val="10"/>
        <rFont val="Arial"/>
        <family val="2"/>
      </rPr>
      <t>o</t>
    </r>
    <r>
      <rPr>
        <sz val="10"/>
        <rFont val="Arial"/>
        <family val="2"/>
      </rPr>
      <t>C</t>
    </r>
  </si>
  <si>
    <t>Coolant Inlet Temperature</t>
  </si>
  <si>
    <r>
      <t xml:space="preserve">     Selected temperature, </t>
    </r>
    <r>
      <rPr>
        <vertAlign val="superscript"/>
        <sz val="10"/>
        <rFont val="Arial"/>
        <family val="2"/>
      </rPr>
      <t>o</t>
    </r>
    <r>
      <rPr>
        <sz val="10"/>
        <rFont val="Arial"/>
        <family val="2"/>
      </rPr>
      <t>C</t>
    </r>
  </si>
  <si>
    <r>
      <t xml:space="preserve">Coolant temperature at inlet to pack, </t>
    </r>
    <r>
      <rPr>
        <vertAlign val="superscript"/>
        <sz val="10"/>
        <rFont val="Arial"/>
        <family val="2"/>
      </rPr>
      <t>o</t>
    </r>
    <r>
      <rPr>
        <sz val="10"/>
        <rFont val="Arial"/>
        <family val="2"/>
      </rPr>
      <t>C</t>
    </r>
  </si>
  <si>
    <t>Power to compressor, W</t>
  </si>
  <si>
    <t>Pack heat transfer fluid (EG-W, CA, CoolA )</t>
  </si>
  <si>
    <t>Battery system capacity, Ah</t>
  </si>
  <si>
    <t xml:space="preserve">Cell group capacity </t>
  </si>
  <si>
    <t>Pack capacity, Ah</t>
  </si>
  <si>
    <t>Selected heat generation rate for pack, W</t>
  </si>
  <si>
    <t>Cooling system power requirement for entire battery system, W</t>
  </si>
  <si>
    <t>Heat Generation in Pack at Maximum Sustained Speed</t>
  </si>
  <si>
    <t>Cooling required at steady state per Pack, W</t>
  </si>
  <si>
    <t>Heat Input required at steady state per pack, W</t>
  </si>
  <si>
    <t>Cooling of Cells with Air at Steady State</t>
  </si>
  <si>
    <r>
      <t>Fluid flow velocity in channel (v</t>
    </r>
    <r>
      <rPr>
        <vertAlign val="subscript"/>
        <sz val="10"/>
        <rFont val="Arial"/>
        <family val="2"/>
      </rPr>
      <t>c</t>
    </r>
    <r>
      <rPr>
        <sz val="10"/>
        <rFont val="Arial"/>
        <family val="2"/>
      </rPr>
      <t>), cm/sec</t>
    </r>
  </si>
  <si>
    <r>
      <t>Fluid flow velocity in pack (v</t>
    </r>
    <r>
      <rPr>
        <vertAlign val="subscript"/>
        <sz val="10"/>
        <rFont val="Arial"/>
        <family val="2"/>
      </rPr>
      <t>p</t>
    </r>
    <r>
      <rPr>
        <sz val="10"/>
        <rFont val="Arial"/>
        <family val="2"/>
      </rPr>
      <t>), cm/sec</t>
    </r>
  </si>
  <si>
    <t>Entrance and exit losses, 2(vp2-vc2)/2*Rho, bar</t>
  </si>
  <si>
    <t>EG-W</t>
  </si>
  <si>
    <t>Number of rows of modules per pack</t>
  </si>
  <si>
    <t>Number of modules per battery pack</t>
  </si>
  <si>
    <t>Cells per battery pack</t>
  </si>
  <si>
    <t>Total cells per battery system</t>
  </si>
  <si>
    <t>Module capacity, Ah</t>
  </si>
  <si>
    <t>Total battery energy storage, kWh</t>
  </si>
  <si>
    <t>Number modules per battery pack</t>
  </si>
  <si>
    <t>Number of battery packs per vehicle</t>
  </si>
  <si>
    <t>Cell group capacity, Ah</t>
  </si>
  <si>
    <t>Battery pack capacity, Ah</t>
  </si>
  <si>
    <t>Number of cells per pack</t>
  </si>
  <si>
    <t xml:space="preserve">     Designed battery pack power for short bursts, kW</t>
  </si>
  <si>
    <t>Power to compressor and pump for battery pack, W</t>
  </si>
  <si>
    <t>Heat required per pack, Wh</t>
  </si>
  <si>
    <t>Heat Required to Heat Battery Pack During Cold Start</t>
  </si>
  <si>
    <t>Additions to AC system**, $/kW</t>
  </si>
  <si>
    <t>**No charge for cabin air cooling</t>
  </si>
  <si>
    <t>Baseline thermal system*, $</t>
  </si>
  <si>
    <t>Heat generation rate for battery system, W</t>
  </si>
  <si>
    <t>Total cost of materials for cells and battery pack, $</t>
  </si>
  <si>
    <t>Manual disconnect per pack, $</t>
  </si>
  <si>
    <t>Warranty (includes battery pack(s) only)</t>
  </si>
  <si>
    <t>Resistance of battery pack terminals</t>
  </si>
  <si>
    <t>Negative-to-positive electrode thickness ratio</t>
  </si>
  <si>
    <t>Module resistance , ohms</t>
  </si>
  <si>
    <r>
      <t>Total cell hardware and battery ASI, ohm-cm</t>
    </r>
    <r>
      <rPr>
        <vertAlign val="superscript"/>
        <sz val="10"/>
        <rFont val="Arial"/>
        <family val="2"/>
      </rPr>
      <t>2</t>
    </r>
  </si>
  <si>
    <r>
      <t>Cell terminal and connection ASI, ohms-cm</t>
    </r>
    <r>
      <rPr>
        <vertAlign val="superscript"/>
        <sz val="10"/>
        <rFont val="Arial"/>
        <family val="2"/>
      </rPr>
      <t>2</t>
    </r>
  </si>
  <si>
    <t>Resistance of module and pack hardware per cell, ohms</t>
  </si>
  <si>
    <t>Resistance of module and pack per module, ohms</t>
  </si>
  <si>
    <t>Pack Capacity Calculation</t>
  </si>
  <si>
    <t xml:space="preserve">   Pack capacity (Ah)</t>
  </si>
  <si>
    <t xml:space="preserve">   Pack energy (kWh)</t>
  </si>
  <si>
    <t>Length of pack extensions for air cooled packs, mm</t>
  </si>
  <si>
    <t>*$60 additional for each added pack</t>
  </si>
  <si>
    <t>Battery System Values</t>
  </si>
  <si>
    <t>Power, kW</t>
  </si>
  <si>
    <t>Energy, kWh</t>
  </si>
  <si>
    <t>Wh/L</t>
  </si>
  <si>
    <r>
      <t xml:space="preserve">     Solvent evaporated, kg/m</t>
    </r>
    <r>
      <rPr>
        <vertAlign val="superscript"/>
        <sz val="10"/>
        <rFont val="Arial"/>
        <family val="2"/>
      </rPr>
      <t>2</t>
    </r>
    <r>
      <rPr>
        <sz val="10"/>
        <rFont val="Arial"/>
        <family val="2"/>
      </rPr>
      <t>yr</t>
    </r>
  </si>
  <si>
    <t xml:space="preserve">     Vehicle power efficiency factor</t>
  </si>
  <si>
    <t>Default factors</t>
  </si>
  <si>
    <r>
      <t xml:space="preserve">Power Requirement from </t>
    </r>
    <r>
      <rPr>
        <u/>
        <sz val="10"/>
        <rFont val="Arial"/>
        <family val="2"/>
      </rPr>
      <t>Each Pack</t>
    </r>
    <r>
      <rPr>
        <sz val="10"/>
        <rFont val="Arial"/>
        <family val="2"/>
      </rPr>
      <t xml:space="preserve"> for Vehicle at </t>
    </r>
    <r>
      <rPr>
        <u/>
        <sz val="10"/>
        <rFont val="Arial"/>
        <family val="2"/>
      </rPr>
      <t>Designated Speed</t>
    </r>
  </si>
  <si>
    <t xml:space="preserve">     Pack resistance for sustained power, ohms</t>
  </si>
  <si>
    <t>Working capital (15% of annual variable costs), mil$</t>
  </si>
  <si>
    <t>Direct Labor at</t>
  </si>
  <si>
    <t>$/hour</t>
  </si>
  <si>
    <t>Basic Cost Factors</t>
  </si>
  <si>
    <t>Capital Equipment Summary, $millions</t>
  </si>
  <si>
    <t>Breakdown of Cost with Overhead Items Distributed to Basic Cost Factors</t>
  </si>
  <si>
    <t>Building, Land and Utilities, square meters</t>
  </si>
  <si>
    <t>Direct Labor Summary, $/pack</t>
  </si>
  <si>
    <t>Capital equipment (100K packs/yr*)</t>
  </si>
  <si>
    <t>*For other production rates multiply by 100,000/rate</t>
  </si>
  <si>
    <t>Materials and Purchased Items Summary, $/Pack</t>
  </si>
  <si>
    <t>Capital Equipment, $/pack</t>
  </si>
  <si>
    <t>Building, Land and Utilities, $/pack</t>
  </si>
  <si>
    <t>Materials, $</t>
  </si>
  <si>
    <t>Manufacturing, $</t>
  </si>
  <si>
    <t>Purchased items, $</t>
  </si>
  <si>
    <t>Battery pack total</t>
  </si>
  <si>
    <t>Pack integration (BMS &amp; disconnects), $</t>
  </si>
  <si>
    <t>Labor, $</t>
  </si>
  <si>
    <t>Capital Equipment and Building, $</t>
  </si>
  <si>
    <t>Building, land, utilities (100K packs/yr*)</t>
  </si>
  <si>
    <t>Materials and purchased items, $/pack</t>
  </si>
  <si>
    <t>Direct labor, $/pack</t>
  </si>
  <si>
    <t>Cost Breakdown Analysis</t>
  </si>
  <si>
    <t>Cost Breakdown with Overhead Distributed to Processes</t>
  </si>
  <si>
    <t xml:space="preserve">     At 20% SOC range, 10-sec burst</t>
  </si>
  <si>
    <t>Battery 6</t>
  </si>
  <si>
    <t>Cell capacity inadequate (if X)</t>
  </si>
  <si>
    <t>Battery 7</t>
  </si>
  <si>
    <t>ASI correction factor</t>
  </si>
  <si>
    <r>
      <t>Electrode system ASI for power at SOC for vehicle type, ohm-cm</t>
    </r>
    <r>
      <rPr>
        <vertAlign val="superscript"/>
        <sz val="10"/>
        <rFont val="Arial"/>
        <family val="2"/>
      </rPr>
      <t>2</t>
    </r>
  </si>
  <si>
    <t>Cell Materials Cost, $/cell</t>
  </si>
  <si>
    <t>Cost of Module Materials and Purchased Items, $/module</t>
  </si>
  <si>
    <t>Summary Breakdown to Basic Cost Factors</t>
  </si>
  <si>
    <r>
      <t>Electrolyte density, g/cm</t>
    </r>
    <r>
      <rPr>
        <b/>
        <vertAlign val="superscript"/>
        <sz val="11"/>
        <rFont val="Arial"/>
        <family val="2"/>
      </rPr>
      <t>3</t>
    </r>
  </si>
  <si>
    <t>Parameters for Finished Cell</t>
  </si>
  <si>
    <r>
      <t>Cell Area Calculation, cm</t>
    </r>
    <r>
      <rPr>
        <b/>
        <vertAlign val="superscript"/>
        <sz val="11"/>
        <rFont val="Arial"/>
        <family val="2"/>
      </rPr>
      <t>2</t>
    </r>
  </si>
  <si>
    <t>Multipliers for Overhead to Basic Costs</t>
  </si>
  <si>
    <t>Multiplier</t>
  </si>
  <si>
    <t>Number of 8-hr shifts per day (2 for shipping and receiving)</t>
  </si>
  <si>
    <t>Baseeline Plant Summary</t>
  </si>
  <si>
    <t>Total battery cost to OEM, $</t>
  </si>
  <si>
    <t>Additions to AC for thermal management, $</t>
  </si>
  <si>
    <t>Total cost to OEM for complete system, $</t>
  </si>
  <si>
    <t>Cost</t>
  </si>
  <si>
    <t>Pack integration unit (BMS &amp; disconnects), L</t>
  </si>
  <si>
    <t>Pack integration unit (BMS &amp; disconnects, ave. density = 1.0), kg</t>
  </si>
  <si>
    <t>Volume of battery pack and integration unit, L</t>
  </si>
  <si>
    <t>Battery system weight (all packs), kg</t>
  </si>
  <si>
    <t>Battery system volume (all packs), L</t>
  </si>
  <si>
    <t>Electrode Capacity Calculations</t>
  </si>
  <si>
    <t xml:space="preserve">Purchased Items </t>
  </si>
  <si>
    <t>Number of modules per pack</t>
  </si>
  <si>
    <t>Battery  Pack Integration System</t>
  </si>
  <si>
    <t xml:space="preserve">     Percent of direct annual materials and purch.items cost, %</t>
  </si>
  <si>
    <t>Heating system**, $/kW/pack</t>
  </si>
  <si>
    <t>Vehicle requirements (Note: Not for design, but for estimating cooling requirements.)</t>
  </si>
  <si>
    <t>Mass, kg</t>
  </si>
  <si>
    <t xml:space="preserve">     Mass, kg</t>
  </si>
  <si>
    <t>Mass and Volume of Cooling System Exterior to Battery Packs</t>
  </si>
  <si>
    <t>Mass of each cell group interconnect (copper), g</t>
  </si>
  <si>
    <t>Total mass of aluminum conductors or thermal enclosures, g</t>
  </si>
  <si>
    <t>Module mass, kg</t>
  </si>
  <si>
    <t>Mass of each module inter-connect (5-cm long), g</t>
  </si>
  <si>
    <t>Mass of module compression plates and steel straps, g</t>
  </si>
  <si>
    <t>Mass of bus bar for packs with one row of modules, g</t>
  </si>
  <si>
    <t>Battery coolant mass within jacket, kg</t>
  </si>
  <si>
    <r>
      <t>Battery jacket mass parameter, g/cm</t>
    </r>
    <r>
      <rPr>
        <vertAlign val="superscript"/>
        <sz val="10"/>
        <rFont val="Arial"/>
        <family val="2"/>
      </rPr>
      <t>2</t>
    </r>
  </si>
  <si>
    <t>Total mass of pack extensions for air-cooled packs, kg</t>
  </si>
  <si>
    <t>Mass of battery pack and integration unit, kg</t>
  </si>
  <si>
    <t>Battery system mass (all packs), kg</t>
  </si>
  <si>
    <t>Energy requirement for pack on UDDS, Wh/mile</t>
  </si>
  <si>
    <t>Energy requirement of vehicle on UDDS cycle (default = 250), Wh/mile</t>
  </si>
  <si>
    <t>Estimated Total Battery Cost to OEM, US$</t>
  </si>
  <si>
    <t>Data to Meet USABC Guidelines</t>
  </si>
  <si>
    <t>Battery power, kW</t>
  </si>
  <si>
    <t>Battery capacity, Ah</t>
  </si>
  <si>
    <t>Cooling system power requirements, W</t>
  </si>
  <si>
    <t>USABC Parameters</t>
  </si>
  <si>
    <t>Subsystem</t>
  </si>
  <si>
    <t>Contents</t>
  </si>
  <si>
    <t>Cost, $</t>
  </si>
  <si>
    <t>Additions at Module Level</t>
  </si>
  <si>
    <t xml:space="preserve">     Module hardware</t>
  </si>
  <si>
    <t xml:space="preserve">     CSC</t>
  </si>
  <si>
    <t>Addition at Pack Level</t>
  </si>
  <si>
    <t>Cost of Pack Integration (BMU &amp; Disconnects)</t>
  </si>
  <si>
    <t>Total cost of battery management unit</t>
  </si>
  <si>
    <t>Pack integration (BMU &amp; Disconnects), $/pack</t>
  </si>
  <si>
    <t xml:space="preserve">     Pack hardware</t>
  </si>
  <si>
    <t xml:space="preserve">     Thermal management system</t>
  </si>
  <si>
    <t xml:space="preserve">     High voltage wiring</t>
  </si>
  <si>
    <t>Cells</t>
  </si>
  <si>
    <t>Exterior Cooling System</t>
  </si>
  <si>
    <t>Total Battery Pack(s)</t>
  </si>
  <si>
    <t>Tray, compression structure, housing</t>
  </si>
  <si>
    <t>Number of cells per battery system</t>
  </si>
  <si>
    <t>Number of modules per battery system</t>
  </si>
  <si>
    <t>Number of packs per battery system</t>
  </si>
  <si>
    <t>Heaters, coolant</t>
  </si>
  <si>
    <t>Summary for Cost of Cells Only</t>
  </si>
  <si>
    <t>Total cost to OEM for addition to AC system</t>
  </si>
  <si>
    <t>Battery management, module balancing, 2-way comm</t>
  </si>
  <si>
    <t xml:space="preserve">     BMU &amp; Disconnects</t>
  </si>
  <si>
    <t>Additions to AC for thermal management</t>
  </si>
  <si>
    <t>Volume, l</t>
  </si>
  <si>
    <t>Cell Fractions of Total Pack</t>
  </si>
  <si>
    <t>Price for Cells Only</t>
  </si>
  <si>
    <t>Housing, thermal conductors, terminals</t>
  </si>
  <si>
    <t>Cell-to-cell balancing, sensors, and low-voltage wiring</t>
  </si>
  <si>
    <t>Bussing between modules, and pack terminals</t>
  </si>
  <si>
    <t>Parameters in BatPaC</t>
  </si>
  <si>
    <t>Total Including Cooling System</t>
  </si>
  <si>
    <t>Width of space for gas release at back of module,, mm</t>
  </si>
  <si>
    <t>Total mass of polymer spacers for gas release, g</t>
  </si>
  <si>
    <t>Module enclosure, g</t>
  </si>
  <si>
    <t>Provision for gas release from modules, $/module</t>
  </si>
  <si>
    <t>Module enclosure</t>
  </si>
  <si>
    <t>Provision for gas release</t>
  </si>
  <si>
    <t>Module enclosure materials</t>
  </si>
  <si>
    <t>Mass of battery pack heaters (0.2 kg/kW), kg</t>
  </si>
  <si>
    <t>Addition to cell thickness to adjust for whole number of electrodes</t>
  </si>
  <si>
    <t>Price to OEM for cells for one pack, $</t>
  </si>
  <si>
    <t>Unit Cost of Cells for One Battery Pack, $</t>
  </si>
  <si>
    <t>Price to OEM of cells for one pack , $</t>
  </si>
  <si>
    <t>Price  to OEM of modules for one pack, $</t>
  </si>
  <si>
    <t>Default cell thickness target, mm</t>
  </si>
  <si>
    <t>Override cell thickness target, mm</t>
  </si>
  <si>
    <r>
      <t xml:space="preserve">     Limiting temperature at center of hottest cell, </t>
    </r>
    <r>
      <rPr>
        <vertAlign val="superscript"/>
        <sz val="10"/>
        <rFont val="Arial"/>
        <family val="2"/>
      </rPr>
      <t>o</t>
    </r>
    <r>
      <rPr>
        <sz val="10"/>
        <rFont val="Arial"/>
        <family val="2"/>
      </rPr>
      <t>C</t>
    </r>
  </si>
  <si>
    <t xml:space="preserve">     Maximum sustained vehicle speed at maximum cell temperature, mph</t>
  </si>
  <si>
    <t>Battery open circuit voltage, V</t>
  </si>
  <si>
    <t xml:space="preserve">        Convergence parametert for vehicle speed</t>
  </si>
  <si>
    <t xml:space="preserve">     Convergence parameter for thickness of channel</t>
  </si>
  <si>
    <t xml:space="preserve">        Calculated maximum speed (holding)</t>
  </si>
  <si>
    <t xml:space="preserve">     Capacity (holding)</t>
  </si>
  <si>
    <t xml:space="preserve">     Positive electrode thickness (holding)</t>
  </si>
  <si>
    <t xml:space="preserve">     Convergence parametert for vehicle speed</t>
  </si>
  <si>
    <t xml:space="preserve">     Constant vehicle speed (holding)</t>
  </si>
  <si>
    <t>Time required for heat up with electic heater, min</t>
  </si>
  <si>
    <t>Thickness of air flow channel between cells, cm</t>
  </si>
  <si>
    <t xml:space="preserve">     Addition to cell thickness (holding)</t>
  </si>
  <si>
    <t xml:space="preserve">     Convergence constant</t>
  </si>
  <si>
    <t>Battery jacket and hardware mass, kg</t>
  </si>
  <si>
    <t>Vehicle Electric Parameters</t>
  </si>
  <si>
    <t>Vehicle Speed Limited by Temperature</t>
  </si>
  <si>
    <r>
      <t xml:space="preserve">     Positive electrode thickness parameter, </t>
    </r>
    <r>
      <rPr>
        <sz val="10"/>
        <rFont val="Symbol"/>
        <family val="1"/>
        <charset val="2"/>
      </rPr>
      <t>m</t>
    </r>
    <r>
      <rPr>
        <sz val="10"/>
        <rFont val="Arial"/>
        <family val="2"/>
      </rPr>
      <t>m</t>
    </r>
  </si>
  <si>
    <r>
      <t xml:space="preserve">     Negative electrode thickness parameter, </t>
    </r>
    <r>
      <rPr>
        <sz val="10"/>
        <rFont val="Symbol"/>
        <family val="1"/>
        <charset val="2"/>
      </rPr>
      <t>m</t>
    </r>
    <r>
      <rPr>
        <sz val="10"/>
        <rFont val="Arial"/>
        <family val="2"/>
      </rPr>
      <t>m</t>
    </r>
  </si>
  <si>
    <t>Selected Electrode Thickness</t>
  </si>
  <si>
    <t>Thickness for Target Power at Target OCV</t>
  </si>
  <si>
    <r>
      <t xml:space="preserve">     Positive electrode thickness, </t>
    </r>
    <r>
      <rPr>
        <sz val="10"/>
        <rFont val="Symbol"/>
        <family val="1"/>
        <charset val="2"/>
      </rPr>
      <t>m</t>
    </r>
    <r>
      <rPr>
        <sz val="10"/>
        <rFont val="Arial"/>
        <family val="2"/>
      </rPr>
      <t>m</t>
    </r>
  </si>
  <si>
    <r>
      <t xml:space="preserve">     Negative electrode thickness, </t>
    </r>
    <r>
      <rPr>
        <sz val="10"/>
        <rFont val="Symbol"/>
        <family val="1"/>
        <charset val="2"/>
      </rPr>
      <t>m</t>
    </r>
    <r>
      <rPr>
        <sz val="10"/>
        <rFont val="Arial"/>
        <family val="2"/>
      </rPr>
      <t>m</t>
    </r>
  </si>
  <si>
    <t>Area determined by sustained power</t>
  </si>
  <si>
    <t>Area determined by burst power at target % OCV</t>
  </si>
  <si>
    <t>ASI Calculations</t>
  </si>
  <si>
    <r>
      <t>Limiting current density for power bursts, mA/cm</t>
    </r>
    <r>
      <rPr>
        <vertAlign val="superscript"/>
        <sz val="10"/>
        <rFont val="Arial"/>
        <family val="2"/>
      </rPr>
      <t>2</t>
    </r>
  </si>
  <si>
    <t>Limiting C-rate for power bursts, A/Ah</t>
  </si>
  <si>
    <t>EV</t>
  </si>
  <si>
    <t>Power at Target OCV, kWh</t>
  </si>
  <si>
    <t>Length of aluminum conductor or thermal enclosure around cells, mm</t>
  </si>
  <si>
    <t xml:space="preserve">     At 20% SOC range, 30-sec burst</t>
  </si>
  <si>
    <t>Designated duration of power pulse for application (10 or 2), s</t>
  </si>
  <si>
    <t>Rapid Charging of Electric Vehicles (EVs)</t>
  </si>
  <si>
    <t>Time for Charging</t>
  </si>
  <si>
    <t>Battery capacity at C/3, Ah</t>
  </si>
  <si>
    <t>Battery energy storage, Wh</t>
  </si>
  <si>
    <t xml:space="preserve">Equivalent number of cells in series </t>
  </si>
  <si>
    <t>Average battery Impedance during full discharge or charge, ohms</t>
  </si>
  <si>
    <t>Charger power, kW</t>
  </si>
  <si>
    <r>
      <t xml:space="preserve">Maximum cell </t>
    </r>
    <r>
      <rPr>
        <sz val="10"/>
        <rFont val="Symbol"/>
        <family val="1"/>
        <charset val="2"/>
      </rPr>
      <t>D</t>
    </r>
    <r>
      <rPr>
        <sz val="10"/>
        <rFont val="Arial"/>
        <family val="2"/>
      </rPr>
      <t>V at 20% SOC for full charger power, V</t>
    </r>
  </si>
  <si>
    <t>Total time charging 80% SOC (from 15 to 95% SOC), min</t>
  </si>
  <si>
    <t>Target battery pack power, kW</t>
  </si>
  <si>
    <r>
      <t xml:space="preserve">     Positive electrode, </t>
    </r>
    <r>
      <rPr>
        <sz val="10"/>
        <rFont val="Calibri"/>
        <family val="2"/>
      </rPr>
      <t>μ</t>
    </r>
    <r>
      <rPr>
        <sz val="10"/>
        <rFont val="Arial"/>
        <family val="2"/>
      </rPr>
      <t>m</t>
    </r>
  </si>
  <si>
    <r>
      <t xml:space="preserve">     Negative electrode, </t>
    </r>
    <r>
      <rPr>
        <sz val="10"/>
        <rFont val="Calibri"/>
        <family val="2"/>
      </rPr>
      <t>μ</t>
    </r>
    <r>
      <rPr>
        <sz val="10"/>
        <rFont val="Arial"/>
        <family val="2"/>
      </rPr>
      <t>m</t>
    </r>
  </si>
  <si>
    <t>Sustained power parameter, a</t>
  </si>
  <si>
    <t>Sustained power parameter, b</t>
  </si>
  <si>
    <t>Total time charging 60% SOC (15 to 75% SOC), min</t>
  </si>
  <si>
    <t>Total time charging 70% SOC (15 to 85% SOC, 82% useable), min</t>
  </si>
  <si>
    <t>Maximum Thickness for Sustained Discharge Limited by Ion Transport</t>
  </si>
  <si>
    <t>Positive thickness override</t>
  </si>
  <si>
    <t>Selected cell area</t>
  </si>
  <si>
    <r>
      <t xml:space="preserve">Maximum cell </t>
    </r>
    <r>
      <rPr>
        <sz val="10"/>
        <rFont val="Symbol"/>
        <family val="1"/>
        <charset val="2"/>
      </rPr>
      <t>D</t>
    </r>
    <r>
      <rPr>
        <sz val="10"/>
        <rFont val="Arial"/>
        <family val="2"/>
      </rPr>
      <t>V to avoid lithium deposition, V</t>
    </r>
  </si>
  <si>
    <t>Battery open-circuit voltage at 50% SOC, V</t>
  </si>
  <si>
    <t>Battery open-circuit voltage at 20% SOC, V</t>
  </si>
  <si>
    <t>Limiting charging restriction (Charger, Li deposition, Temperature)</t>
  </si>
  <si>
    <t>Maximum sustainable C-rate on discharge, A/Ah</t>
  </si>
  <si>
    <r>
      <t xml:space="preserve">Cell </t>
    </r>
    <r>
      <rPr>
        <sz val="10"/>
        <rFont val="Symbol"/>
        <family val="1"/>
        <charset val="2"/>
      </rPr>
      <t>D</t>
    </r>
    <r>
      <rPr>
        <sz val="10"/>
        <rFont val="Arial"/>
        <family val="2"/>
      </rPr>
      <t>V at which temperature exceeds maximum allowed, V</t>
    </r>
  </si>
  <si>
    <r>
      <t xml:space="preserve">     Initial battery temperature, </t>
    </r>
    <r>
      <rPr>
        <vertAlign val="superscript"/>
        <sz val="10"/>
        <rFont val="Arial"/>
        <family val="2"/>
      </rPr>
      <t>o</t>
    </r>
    <r>
      <rPr>
        <sz val="10"/>
        <rFont val="Arial"/>
        <family val="2"/>
      </rPr>
      <t>C</t>
    </r>
  </si>
  <si>
    <r>
      <t xml:space="preserve">     Maximum allowed battery temperature, </t>
    </r>
    <r>
      <rPr>
        <vertAlign val="superscript"/>
        <sz val="10"/>
        <rFont val="Arial"/>
        <family val="2"/>
      </rPr>
      <t>o</t>
    </r>
    <r>
      <rPr>
        <sz val="10"/>
        <rFont val="Arial"/>
        <family val="2"/>
      </rPr>
      <t>C</t>
    </r>
  </si>
  <si>
    <t xml:space="preserve">     Maximum cooling rate, kW</t>
  </si>
  <si>
    <r>
      <t xml:space="preserve">     Estimated heat capacity of battery, J/g-</t>
    </r>
    <r>
      <rPr>
        <vertAlign val="superscript"/>
        <sz val="10"/>
        <rFont val="Arial"/>
        <family val="2"/>
      </rPr>
      <t>o</t>
    </r>
    <r>
      <rPr>
        <sz val="10"/>
        <rFont val="Arial"/>
        <family val="2"/>
      </rPr>
      <t>C</t>
    </r>
  </si>
  <si>
    <t xml:space="preserve">     Mass of battery pack less 50% of jacket mass, kg</t>
  </si>
  <si>
    <t xml:space="preserve">     Approximate target power for 30-sec pulse (EV application), kW</t>
  </si>
  <si>
    <t xml:space="preserve">     Estimated battery power at target % OCV, kW</t>
  </si>
  <si>
    <r>
      <t>Maximum current density to avoid lithium deposition (&lt;75% SOC), mA/cm</t>
    </r>
    <r>
      <rPr>
        <vertAlign val="superscript"/>
        <sz val="10"/>
        <rFont val="Arial"/>
        <family val="2"/>
      </rPr>
      <t>2</t>
    </r>
  </si>
  <si>
    <t>Initial C-rate on charging, A/Ah</t>
  </si>
  <si>
    <t>Required Battery Design Input</t>
  </si>
  <si>
    <t>Error bars on price to OEM for battery pack, ±%</t>
  </si>
  <si>
    <t xml:space="preserve">   Errors in electrode thickness and capacity limits</t>
  </si>
  <si>
    <t xml:space="preserve">   Errors in unit materials and processing costs</t>
  </si>
  <si>
    <t xml:space="preserve">   Maximum price to OEM for battery pack, $</t>
  </si>
  <si>
    <t xml:space="preserve">   Minimum price to OEM for battery pack, $</t>
  </si>
  <si>
    <t>Illustrative Parameters for PHEV Batteries</t>
  </si>
  <si>
    <t>Illustrative Parameters for EV Batteries</t>
  </si>
  <si>
    <t>Note: LMO-G Cell chemistry should be selected on Chem worksheet</t>
  </si>
  <si>
    <t>Note: NMC441-G Cell chemistry should be selected on Chem worksheet</t>
  </si>
  <si>
    <t>Default Input Values (may be changed)</t>
  </si>
  <si>
    <t>Open circuit voltage at 20% SOC, V</t>
  </si>
  <si>
    <t>NMC/x%LMO-G</t>
  </si>
  <si>
    <t>Lithium Requirement per Pack</t>
  </si>
  <si>
    <t>Negative electrode material, kg/kWh</t>
  </si>
  <si>
    <t>Positive electrodes, kg/kWh</t>
  </si>
  <si>
    <t>Electrolyte, kg/kWh</t>
  </si>
  <si>
    <t>Total specific requirement, kg/kWh</t>
  </si>
  <si>
    <t>Lithium Content</t>
  </si>
  <si>
    <t>Positive electrode, g Li/g active material</t>
  </si>
  <si>
    <t>Negative electrode, g Li/g active material</t>
  </si>
  <si>
    <t>Electrolyte (1.2M LiPF6), g Li/L electrolyte</t>
  </si>
  <si>
    <t>Total lithium requirement, kg per battery system</t>
  </si>
  <si>
    <t>NMC622-G</t>
  </si>
  <si>
    <t>Selected System</t>
  </si>
  <si>
    <t>Dow 561 Transformer Cooler</t>
  </si>
  <si>
    <r>
      <t xml:space="preserve">Fast charging rate, time for 60% </t>
    </r>
    <r>
      <rPr>
        <sz val="10"/>
        <rFont val="Symbol"/>
        <family val="1"/>
        <charset val="2"/>
      </rPr>
      <t>D</t>
    </r>
    <r>
      <rPr>
        <sz val="10"/>
        <rFont val="Arial"/>
        <family val="2"/>
      </rPr>
      <t>SOC, min</t>
    </r>
  </si>
  <si>
    <t>To change illustration example, copy appropriate group of parameters on lines 53 to 65, 103, and 190 to 198.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</si>
</sst>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0">
    <numFmt numFmtId="44" formatCode="_(&quot;$&quot;* #,##0.00_);_(&quot;$&quot;* \(#,##0.00\);_(&quot;$&quot;* &quot;-&quot;??_);_(@_)"/>
    <numFmt numFmtId="43" formatCode="_(* #,##0.00_);_(* \(#,##0.00\);_(* &quot;-&quot;??_);_(@_)"/>
    <numFmt numFmtId="164" formatCode="#,##0.0"/>
    <numFmt numFmtId="165" formatCode="0.0"/>
    <numFmt numFmtId="166" formatCode="0.000"/>
    <numFmt numFmtId="167" formatCode="0.0000"/>
    <numFmt numFmtId="168" formatCode="0.00000"/>
    <numFmt numFmtId="169" formatCode="_(* #,##0.0_);_(* \(#,##0.0\);_(* &quot;-&quot;??_);_(@_)"/>
    <numFmt numFmtId="170" formatCode="_(* #,##0_);_(* \(#,##0\);_(* &quot;-&quot;??_);_(@_)"/>
    <numFmt numFmtId="171" formatCode="#,##0.000_);[Red]\(#,##0.000\)"/>
    <numFmt numFmtId="172" formatCode="_(* #,##0.000_);_(* \(#,##0.000\);_(* &quot;-&quot;??_);_(@_)"/>
    <numFmt numFmtId="173" formatCode="_(* #,##0.0000_);_(* \(#,##0.0000\);_(* &quot;-&quot;??_);_(@_)"/>
    <numFmt numFmtId="174" formatCode="#,##0.0_);[Red]\(#,##0.0\)"/>
    <numFmt numFmtId="175" formatCode="0.0000000"/>
    <numFmt numFmtId="176" formatCode="0.000000"/>
    <numFmt numFmtId="177" formatCode="#,##0.000"/>
    <numFmt numFmtId="178" formatCode="#,##0.0000000"/>
    <numFmt numFmtId="179" formatCode="#,##0.000000_);[Red]\(#,##0.000000\)"/>
    <numFmt numFmtId="180" formatCode="#,##0.0000_);[Red]\(#,##0.0000\)"/>
    <numFmt numFmtId="181" formatCode="_(* #,##0.0_);_(* \(#,##0.0\);_(* &quot;-&quot;?_);_(@_)"/>
  </numFmts>
  <fonts count="41" x14ac:knownFonts="1">
    <font>
      <sz val="10"/>
      <name val="Arial"/>
    </font>
    <font>
      <sz val="10"/>
      <name val="Arial"/>
      <family val="2"/>
    </font>
    <font>
      <b/>
      <sz val="12"/>
      <name val="Arial"/>
      <family val="2"/>
    </font>
    <font>
      <vertAlign val="superscript"/>
      <sz val="10"/>
      <name val="Arial"/>
      <family val="2"/>
    </font>
    <font>
      <sz val="10"/>
      <name val="Arial"/>
      <family val="2"/>
    </font>
    <font>
      <sz val="8"/>
      <name val="Arial"/>
      <family val="2"/>
    </font>
    <font>
      <b/>
      <sz val="10"/>
      <name val="Arial"/>
      <family val="2"/>
    </font>
    <font>
      <sz val="10"/>
      <name val="Symbol"/>
      <family val="1"/>
      <charset val="2"/>
    </font>
    <font>
      <sz val="9"/>
      <name val="Arial"/>
      <family val="2"/>
    </font>
    <font>
      <sz val="12"/>
      <name val="Arial"/>
      <family val="2"/>
    </font>
    <font>
      <u/>
      <sz val="10"/>
      <name val="Arial"/>
      <family val="2"/>
    </font>
    <font>
      <u/>
      <vertAlign val="superscript"/>
      <sz val="10"/>
      <name val="Arial"/>
      <family val="2"/>
    </font>
    <font>
      <b/>
      <sz val="14"/>
      <name val="Arial"/>
      <family val="2"/>
    </font>
    <font>
      <u/>
      <sz val="10"/>
      <name val="Arial"/>
      <family val="2"/>
    </font>
    <font>
      <b/>
      <sz val="10"/>
      <color indexed="10"/>
      <name val="Arial"/>
      <family val="2"/>
    </font>
    <font>
      <b/>
      <vertAlign val="superscript"/>
      <sz val="10"/>
      <name val="Arial"/>
      <family val="2"/>
    </font>
    <font>
      <b/>
      <sz val="10"/>
      <color indexed="12"/>
      <name val="Arial"/>
      <family val="2"/>
    </font>
    <font>
      <vertAlign val="subscript"/>
      <sz val="10"/>
      <name val="Arial"/>
      <family val="2"/>
    </font>
    <font>
      <b/>
      <sz val="10"/>
      <color indexed="17"/>
      <name val="Arial"/>
      <family val="2"/>
    </font>
    <font>
      <sz val="10"/>
      <name val="Arial"/>
      <family val="2"/>
    </font>
    <font>
      <b/>
      <sz val="12"/>
      <name val="Arial"/>
      <family val="2"/>
    </font>
    <font>
      <sz val="18"/>
      <name val="Arial"/>
      <family val="2"/>
    </font>
    <font>
      <b/>
      <sz val="22"/>
      <name val="Arial"/>
      <family val="2"/>
    </font>
    <font>
      <b/>
      <sz val="12"/>
      <color indexed="10"/>
      <name val="Arial"/>
      <family val="2"/>
    </font>
    <font>
      <b/>
      <sz val="10"/>
      <color indexed="10"/>
      <name val="Arial"/>
      <family val="2"/>
    </font>
    <font>
      <b/>
      <sz val="10"/>
      <color indexed="10"/>
      <name val="Arial"/>
      <family val="2"/>
    </font>
    <font>
      <b/>
      <sz val="11"/>
      <name val="Arial"/>
      <family val="2"/>
    </font>
    <font>
      <sz val="10"/>
      <name val="Calibri"/>
      <family val="2"/>
    </font>
    <font>
      <b/>
      <sz val="10"/>
      <color rgb="FFFF0000"/>
      <name val="Arial"/>
      <family val="2"/>
    </font>
    <font>
      <sz val="11"/>
      <name val="Arial"/>
      <family val="2"/>
    </font>
    <font>
      <sz val="10"/>
      <color rgb="FFFF0000"/>
      <name val="Arial"/>
      <family val="2"/>
    </font>
    <font>
      <b/>
      <vertAlign val="superscript"/>
      <sz val="11"/>
      <name val="Arial"/>
      <family val="2"/>
    </font>
    <font>
      <b/>
      <sz val="16"/>
      <name val="Arial"/>
      <family val="2"/>
    </font>
    <font>
      <b/>
      <sz val="10"/>
      <color rgb="FF00B050"/>
      <name val="Arial"/>
      <family val="2"/>
    </font>
    <font>
      <sz val="10"/>
      <name val="Arial"/>
      <family val="2"/>
    </font>
    <font>
      <b/>
      <sz val="12"/>
      <color rgb="FFFF0000"/>
      <name val="Arial"/>
      <family val="2"/>
    </font>
    <font>
      <b/>
      <u/>
      <sz val="12"/>
      <name val="Arial"/>
      <family val="2"/>
    </font>
    <font>
      <b/>
      <sz val="10"/>
      <color rgb="FF0000FF"/>
      <name val="Arial"/>
      <family val="2"/>
    </font>
    <font>
      <sz val="10"/>
      <name val="MS Sans Serif"/>
      <family val="2"/>
    </font>
    <font>
      <b/>
      <sz val="10"/>
      <name val="MS Sans Serif"/>
      <family val="2"/>
    </font>
    <font>
      <b/>
      <sz val="9"/>
      <color indexed="81"/>
      <name val="Tahoma"/>
      <family val="2"/>
    </font>
  </fonts>
  <fills count="14">
    <fill>
      <patternFill patternType="none"/>
    </fill>
    <fill>
      <patternFill patternType="gray125"/>
    </fill>
    <fill>
      <patternFill patternType="solid">
        <fgColor indexed="43"/>
        <bgColor indexed="64"/>
      </patternFill>
    </fill>
    <fill>
      <patternFill patternType="solid">
        <fgColor indexed="45"/>
        <bgColor indexed="64"/>
      </patternFill>
    </fill>
    <fill>
      <patternFill patternType="gray0625">
        <bgColor indexed="42"/>
      </patternFill>
    </fill>
    <fill>
      <patternFill patternType="solid">
        <fgColor indexed="41"/>
        <bgColor indexed="64"/>
      </patternFill>
    </fill>
    <fill>
      <patternFill patternType="solid">
        <fgColor indexed="40"/>
        <bgColor indexed="64"/>
      </patternFill>
    </fill>
    <fill>
      <patternFill patternType="solid">
        <fgColor indexed="15"/>
        <bgColor indexed="64"/>
      </patternFill>
    </fill>
    <fill>
      <patternFill patternType="solid">
        <fgColor indexed="42"/>
        <bgColor indexed="64"/>
      </patternFill>
    </fill>
    <fill>
      <patternFill patternType="solid">
        <fgColor indexed="46"/>
        <bgColor indexed="64"/>
      </patternFill>
    </fill>
    <fill>
      <patternFill patternType="solid">
        <fgColor rgb="FF66FFFF"/>
        <bgColor indexed="64"/>
      </patternFill>
    </fill>
    <fill>
      <patternFill patternType="solid">
        <fgColor rgb="FFFFFF99"/>
        <bgColor indexed="64"/>
      </patternFill>
    </fill>
    <fill>
      <patternFill patternType="solid">
        <fgColor theme="8" tint="0.59999389629810485"/>
        <bgColor indexed="64"/>
      </patternFill>
    </fill>
    <fill>
      <patternFill patternType="solid">
        <fgColor theme="6" tint="0.59999389629810485"/>
        <bgColor indexed="64"/>
      </patternFill>
    </fill>
  </fills>
  <borders count="12">
    <border>
      <left/>
      <right/>
      <top/>
      <bottom/>
      <diagonal/>
    </border>
    <border>
      <left/>
      <right/>
      <top/>
      <bottom style="thin">
        <color indexed="64"/>
      </bottom>
      <diagonal/>
    </border>
    <border>
      <left/>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style="medium">
        <color indexed="64"/>
      </left>
      <right/>
      <top/>
      <bottom/>
      <diagonal/>
    </border>
    <border>
      <left/>
      <right style="medium">
        <color indexed="64"/>
      </right>
      <top/>
      <bottom/>
      <diagonal/>
    </border>
    <border>
      <left/>
      <right/>
      <top style="medium">
        <color indexed="64"/>
      </top>
      <bottom style="medium">
        <color indexed="64"/>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44" fontId="34" fillId="0" borderId="0" applyFont="0" applyFill="0" applyBorder="0" applyAlignment="0" applyProtection="0"/>
    <xf numFmtId="44" fontId="1" fillId="0" borderId="0" applyFont="0" applyFill="0" applyBorder="0" applyAlignment="0" applyProtection="0"/>
  </cellStyleXfs>
  <cellXfs count="634">
    <xf numFmtId="0" fontId="0" fillId="0" borderId="0" xfId="0"/>
    <xf numFmtId="0" fontId="2" fillId="0" borderId="0" xfId="0" applyFont="1" applyAlignment="1">
      <alignment horizontal="center"/>
    </xf>
    <xf numFmtId="0" fontId="0" fillId="0" borderId="0" xfId="0" applyAlignment="1">
      <alignment horizontal="center"/>
    </xf>
    <xf numFmtId="1" fontId="0" fillId="0" borderId="0" xfId="0" applyNumberFormat="1" applyAlignment="1">
      <alignment horizontal="center"/>
    </xf>
    <xf numFmtId="0" fontId="6" fillId="0" borderId="0" xfId="0" applyFont="1"/>
    <xf numFmtId="165" fontId="0" fillId="0" borderId="0" xfId="0" applyNumberFormat="1" applyAlignment="1">
      <alignment horizontal="center"/>
    </xf>
    <xf numFmtId="0" fontId="4" fillId="0" borderId="0" xfId="0" applyFont="1"/>
    <xf numFmtId="0" fontId="6" fillId="0" borderId="0" xfId="0" applyFont="1" applyAlignment="1">
      <alignment horizontal="center"/>
    </xf>
    <xf numFmtId="0" fontId="4" fillId="0" borderId="0" xfId="0" applyFont="1" applyAlignment="1">
      <alignment horizontal="center"/>
    </xf>
    <xf numFmtId="0" fontId="4" fillId="0" borderId="0" xfId="0" applyFont="1" applyAlignment="1">
      <alignment horizontal="left"/>
    </xf>
    <xf numFmtId="2" fontId="8" fillId="0" borderId="0" xfId="0" applyNumberFormat="1" applyFont="1" applyBorder="1" applyAlignment="1">
      <alignment horizontal="center"/>
    </xf>
    <xf numFmtId="2" fontId="4" fillId="0" borderId="0" xfId="0" applyNumberFormat="1" applyFont="1" applyBorder="1" applyAlignment="1">
      <alignment horizontal="left"/>
    </xf>
    <xf numFmtId="0" fontId="4" fillId="0" borderId="1" xfId="0" applyFont="1" applyBorder="1" applyAlignment="1">
      <alignment horizontal="center"/>
    </xf>
    <xf numFmtId="166" fontId="4" fillId="0" borderId="0" xfId="0" applyNumberFormat="1" applyFont="1" applyAlignment="1">
      <alignment horizontal="center"/>
    </xf>
    <xf numFmtId="1" fontId="4" fillId="0" borderId="0" xfId="2" applyNumberFormat="1" applyFont="1" applyAlignment="1">
      <alignment horizontal="right"/>
    </xf>
    <xf numFmtId="0" fontId="2" fillId="0" borderId="0" xfId="0" applyFont="1" applyAlignment="1">
      <alignment horizontal="left"/>
    </xf>
    <xf numFmtId="0" fontId="0" fillId="0" borderId="0" xfId="0" applyBorder="1"/>
    <xf numFmtId="0" fontId="2" fillId="0" borderId="0" xfId="0" applyFont="1"/>
    <xf numFmtId="0" fontId="9" fillId="0" borderId="0" xfId="0" applyFont="1"/>
    <xf numFmtId="2" fontId="0" fillId="0" borderId="0" xfId="0" applyNumberFormat="1" applyAlignment="1">
      <alignment horizontal="center"/>
    </xf>
    <xf numFmtId="166" fontId="0" fillId="0" borderId="0" xfId="0" applyNumberFormat="1" applyBorder="1" applyAlignment="1">
      <alignment horizontal="center"/>
    </xf>
    <xf numFmtId="0" fontId="4" fillId="0" borderId="0" xfId="0" applyFont="1" applyBorder="1" applyAlignment="1">
      <alignment horizontal="left"/>
    </xf>
    <xf numFmtId="0" fontId="4" fillId="0" borderId="0" xfId="0" applyFont="1" applyFill="1" applyBorder="1" applyAlignment="1">
      <alignment horizontal="left"/>
    </xf>
    <xf numFmtId="0" fontId="4" fillId="0" borderId="0" xfId="0" applyFont="1" applyAlignment="1">
      <alignment horizontal="right"/>
    </xf>
    <xf numFmtId="3" fontId="0" fillId="0" borderId="0" xfId="0" applyNumberFormat="1" applyAlignment="1">
      <alignment horizontal="center"/>
    </xf>
    <xf numFmtId="0" fontId="1" fillId="0" borderId="0" xfId="0" applyFont="1" applyBorder="1"/>
    <xf numFmtId="0" fontId="1" fillId="0" borderId="0" xfId="0" applyFont="1" applyBorder="1" applyAlignment="1">
      <alignment horizontal="center"/>
    </xf>
    <xf numFmtId="0" fontId="1" fillId="0" borderId="0" xfId="0" applyFont="1" applyBorder="1" applyAlignment="1">
      <alignment horizontal="left"/>
    </xf>
    <xf numFmtId="166" fontId="1" fillId="0" borderId="0" xfId="0" applyNumberFormat="1" applyFont="1" applyBorder="1" applyAlignment="1">
      <alignment horizontal="center"/>
    </xf>
    <xf numFmtId="1" fontId="1" fillId="0" borderId="0" xfId="0" applyNumberFormat="1" applyFont="1" applyBorder="1" applyAlignment="1">
      <alignment horizontal="center"/>
    </xf>
    <xf numFmtId="1" fontId="1" fillId="0" borderId="0" xfId="2" applyNumberFormat="1" applyFont="1" applyBorder="1" applyAlignment="1">
      <alignment horizontal="right"/>
    </xf>
    <xf numFmtId="1" fontId="1" fillId="0" borderId="1" xfId="0" applyNumberFormat="1" applyFont="1" applyBorder="1" applyAlignment="1">
      <alignment horizontal="center"/>
    </xf>
    <xf numFmtId="0" fontId="1" fillId="0" borderId="1" xfId="0" applyFont="1" applyBorder="1" applyAlignment="1">
      <alignment horizontal="center"/>
    </xf>
    <xf numFmtId="2" fontId="1" fillId="0" borderId="0" xfId="0" applyNumberFormat="1" applyFont="1" applyBorder="1" applyAlignment="1">
      <alignment horizontal="center"/>
    </xf>
    <xf numFmtId="0" fontId="6" fillId="0" borderId="0" xfId="0" applyFont="1" applyAlignment="1">
      <alignment horizontal="left"/>
    </xf>
    <xf numFmtId="2" fontId="8" fillId="0" borderId="0" xfId="0" applyNumberFormat="1" applyFont="1" applyBorder="1" applyAlignment="1">
      <alignment horizontal="left"/>
    </xf>
    <xf numFmtId="43" fontId="0" fillId="0" borderId="0" xfId="1" applyFont="1"/>
    <xf numFmtId="43" fontId="0" fillId="0" borderId="0" xfId="1" applyFont="1" applyAlignment="1">
      <alignment horizontal="center"/>
    </xf>
    <xf numFmtId="43" fontId="0" fillId="0" borderId="0" xfId="0" applyNumberFormat="1"/>
    <xf numFmtId="43" fontId="0" fillId="0" borderId="1" xfId="0" applyNumberFormat="1" applyBorder="1"/>
    <xf numFmtId="43" fontId="1" fillId="0" borderId="0" xfId="1" applyFont="1" applyBorder="1" applyAlignment="1">
      <alignment horizontal="left"/>
    </xf>
    <xf numFmtId="43" fontId="1" fillId="0" borderId="0" xfId="0" applyNumberFormat="1" applyFont="1" applyBorder="1" applyAlignment="1">
      <alignment horizontal="left"/>
    </xf>
    <xf numFmtId="43" fontId="1" fillId="0" borderId="1" xfId="0" applyNumberFormat="1" applyFont="1" applyBorder="1" applyAlignment="1">
      <alignment horizontal="left"/>
    </xf>
    <xf numFmtId="0" fontId="1" fillId="0" borderId="1" xfId="0" applyFont="1" applyBorder="1"/>
    <xf numFmtId="0" fontId="4" fillId="0" borderId="0" xfId="0" applyFont="1" applyBorder="1"/>
    <xf numFmtId="172" fontId="1" fillId="0" borderId="0" xfId="0" applyNumberFormat="1" applyFont="1" applyBorder="1" applyAlignment="1">
      <alignment horizontal="left"/>
    </xf>
    <xf numFmtId="173" fontId="1" fillId="0" borderId="0" xfId="0" applyNumberFormat="1" applyFont="1" applyBorder="1" applyAlignment="1">
      <alignment horizontal="left"/>
    </xf>
    <xf numFmtId="0" fontId="4" fillId="0" borderId="0" xfId="0" applyFont="1" applyFill="1" applyBorder="1"/>
    <xf numFmtId="169" fontId="1" fillId="0" borderId="0" xfId="0" applyNumberFormat="1" applyFont="1" applyBorder="1" applyAlignment="1">
      <alignment horizontal="left"/>
    </xf>
    <xf numFmtId="170" fontId="1" fillId="0" borderId="0" xfId="0" applyNumberFormat="1" applyFont="1" applyBorder="1" applyAlignment="1">
      <alignment horizontal="left"/>
    </xf>
    <xf numFmtId="2" fontId="1" fillId="0" borderId="0" xfId="0" applyNumberFormat="1" applyFont="1" applyBorder="1" applyAlignment="1">
      <alignment horizontal="left"/>
    </xf>
    <xf numFmtId="0" fontId="0" fillId="0" borderId="0" xfId="0" applyBorder="1" applyAlignment="1">
      <alignment horizontal="center"/>
    </xf>
    <xf numFmtId="2" fontId="0" fillId="0" borderId="0" xfId="0" applyNumberFormat="1" applyBorder="1" applyAlignment="1">
      <alignment horizontal="center"/>
    </xf>
    <xf numFmtId="171" fontId="0" fillId="0" borderId="0" xfId="1" applyNumberFormat="1" applyFont="1"/>
    <xf numFmtId="0" fontId="6" fillId="0" borderId="1" xfId="0" applyFont="1" applyBorder="1"/>
    <xf numFmtId="0" fontId="6" fillId="0" borderId="1" xfId="0" applyFont="1" applyBorder="1" applyAlignment="1">
      <alignment horizontal="center"/>
    </xf>
    <xf numFmtId="0" fontId="2" fillId="0" borderId="0" xfId="0" applyFont="1" applyBorder="1"/>
    <xf numFmtId="0" fontId="6" fillId="0" borderId="0" xfId="0" applyFont="1" applyBorder="1"/>
    <xf numFmtId="0" fontId="6" fillId="0" borderId="0" xfId="0" applyFont="1" applyBorder="1" applyAlignment="1">
      <alignment horizontal="center"/>
    </xf>
    <xf numFmtId="0" fontId="4" fillId="0" borderId="0" xfId="0" applyFont="1" applyBorder="1" applyAlignment="1">
      <alignment horizontal="center"/>
    </xf>
    <xf numFmtId="38" fontId="4" fillId="0" borderId="0" xfId="1" applyNumberFormat="1" applyFont="1" applyBorder="1" applyAlignment="1">
      <alignment horizontal="center"/>
    </xf>
    <xf numFmtId="38" fontId="4" fillId="0" borderId="0" xfId="1" applyNumberFormat="1" applyFont="1" applyBorder="1" applyAlignment="1">
      <alignment horizontal="right"/>
    </xf>
    <xf numFmtId="0" fontId="6" fillId="0" borderId="0" xfId="0" applyFont="1" applyFill="1" applyBorder="1" applyAlignment="1">
      <alignment horizontal="center"/>
    </xf>
    <xf numFmtId="0" fontId="9" fillId="0" borderId="0" xfId="0" applyFont="1" applyAlignment="1">
      <alignment horizontal="center"/>
    </xf>
    <xf numFmtId="166" fontId="0" fillId="0" borderId="0" xfId="0" applyNumberFormat="1" applyAlignment="1">
      <alignment horizontal="center"/>
    </xf>
    <xf numFmtId="170" fontId="6" fillId="0" borderId="0" xfId="1" applyNumberFormat="1" applyFont="1" applyAlignment="1">
      <alignment horizontal="center"/>
    </xf>
    <xf numFmtId="0" fontId="6" fillId="0" borderId="0" xfId="0" applyFont="1" applyBorder="1" applyAlignment="1"/>
    <xf numFmtId="0" fontId="6" fillId="0" borderId="1" xfId="0" applyFont="1" applyBorder="1" applyAlignment="1">
      <alignment horizontal="left"/>
    </xf>
    <xf numFmtId="170" fontId="6" fillId="0" borderId="1" xfId="1" applyNumberFormat="1" applyFont="1" applyBorder="1" applyAlignment="1">
      <alignment horizontal="center"/>
    </xf>
    <xf numFmtId="170" fontId="4" fillId="0" borderId="0" xfId="1" applyNumberFormat="1" applyFont="1" applyBorder="1" applyAlignment="1">
      <alignment horizontal="center"/>
    </xf>
    <xf numFmtId="170" fontId="4" fillId="0" borderId="0" xfId="1" applyNumberFormat="1" applyFont="1" applyAlignment="1">
      <alignment horizontal="center"/>
    </xf>
    <xf numFmtId="38" fontId="4" fillId="0" borderId="0" xfId="1" applyNumberFormat="1" applyFont="1" applyAlignment="1">
      <alignment horizontal="right"/>
    </xf>
    <xf numFmtId="0" fontId="10" fillId="0" borderId="0" xfId="0" applyFont="1"/>
    <xf numFmtId="0" fontId="6" fillId="0" borderId="0" xfId="0" applyFont="1" applyFill="1" applyBorder="1"/>
    <xf numFmtId="166" fontId="0" fillId="0" borderId="0" xfId="0" applyNumberFormat="1"/>
    <xf numFmtId="2" fontId="6" fillId="0" borderId="0" xfId="0" applyNumberFormat="1" applyFont="1" applyBorder="1" applyAlignment="1">
      <alignment horizontal="center"/>
    </xf>
    <xf numFmtId="174" fontId="4" fillId="2" borderId="0" xfId="1" applyNumberFormat="1" applyFont="1" applyFill="1" applyAlignment="1">
      <alignment horizontal="right"/>
    </xf>
    <xf numFmtId="169" fontId="4" fillId="0" borderId="0" xfId="1" applyNumberFormat="1" applyFont="1" applyBorder="1" applyAlignment="1">
      <alignment horizontal="center"/>
    </xf>
    <xf numFmtId="172" fontId="4" fillId="0" borderId="0" xfId="1" applyNumberFormat="1" applyFont="1" applyBorder="1" applyAlignment="1">
      <alignment horizontal="center"/>
    </xf>
    <xf numFmtId="172" fontId="0" fillId="0" borderId="0" xfId="0" applyNumberFormat="1"/>
    <xf numFmtId="2" fontId="0" fillId="0" borderId="0" xfId="0" applyNumberFormat="1"/>
    <xf numFmtId="43" fontId="4" fillId="0" borderId="0" xfId="1" applyFont="1" applyBorder="1" applyAlignment="1">
      <alignment horizontal="center"/>
    </xf>
    <xf numFmtId="170" fontId="4" fillId="0" borderId="0" xfId="1" applyNumberFormat="1" applyFont="1" applyBorder="1" applyAlignment="1">
      <alignment horizontal="left"/>
    </xf>
    <xf numFmtId="0" fontId="4" fillId="0" borderId="0" xfId="1" applyNumberFormat="1" applyFont="1" applyBorder="1" applyAlignment="1">
      <alignment horizontal="center"/>
    </xf>
    <xf numFmtId="38" fontId="0" fillId="0" borderId="0" xfId="1" applyNumberFormat="1" applyFont="1"/>
    <xf numFmtId="38" fontId="0" fillId="0" borderId="0" xfId="0" applyNumberFormat="1"/>
    <xf numFmtId="170" fontId="0" fillId="0" borderId="0" xfId="0" applyNumberFormat="1"/>
    <xf numFmtId="170" fontId="0" fillId="0" borderId="1" xfId="0" applyNumberFormat="1" applyBorder="1"/>
    <xf numFmtId="40" fontId="0" fillId="0" borderId="0" xfId="0" applyNumberFormat="1"/>
    <xf numFmtId="1" fontId="4" fillId="2" borderId="0" xfId="0" applyNumberFormat="1" applyFont="1" applyFill="1" applyBorder="1" applyAlignment="1">
      <alignment horizontal="center"/>
    </xf>
    <xf numFmtId="2" fontId="0" fillId="2" borderId="0" xfId="0" applyNumberFormat="1" applyFill="1" applyAlignment="1">
      <alignment horizontal="center"/>
    </xf>
    <xf numFmtId="166" fontId="0" fillId="2" borderId="0" xfId="0" applyNumberFormat="1" applyFill="1" applyAlignment="1">
      <alignment horizontal="center"/>
    </xf>
    <xf numFmtId="0" fontId="0" fillId="2" borderId="0" xfId="0" applyFill="1" applyAlignment="1">
      <alignment horizontal="center"/>
    </xf>
    <xf numFmtId="38" fontId="4" fillId="2" borderId="0" xfId="1" applyNumberFormat="1" applyFont="1" applyFill="1" applyAlignment="1">
      <alignment horizontal="right"/>
    </xf>
    <xf numFmtId="170" fontId="4" fillId="2" borderId="0" xfId="1" applyNumberFormat="1" applyFont="1" applyFill="1" applyBorder="1" applyAlignment="1">
      <alignment horizontal="center"/>
    </xf>
    <xf numFmtId="2" fontId="0" fillId="0" borderId="0" xfId="0" applyNumberFormat="1" applyFill="1" applyAlignment="1">
      <alignment horizontal="center"/>
    </xf>
    <xf numFmtId="165" fontId="4" fillId="0" borderId="0" xfId="0" applyNumberFormat="1" applyFont="1" applyAlignment="1">
      <alignment horizontal="center"/>
    </xf>
    <xf numFmtId="0" fontId="0" fillId="3" borderId="0" xfId="0" applyFill="1" applyAlignment="1">
      <alignment horizontal="center"/>
    </xf>
    <xf numFmtId="0" fontId="4" fillId="3" borderId="0" xfId="0" applyFont="1" applyFill="1" applyAlignment="1">
      <alignment horizontal="center"/>
    </xf>
    <xf numFmtId="0" fontId="0" fillId="0" borderId="0" xfId="0" applyFill="1"/>
    <xf numFmtId="1" fontId="4" fillId="3" borderId="0" xfId="2" applyNumberFormat="1" applyFont="1" applyFill="1" applyAlignment="1">
      <alignment horizontal="center"/>
    </xf>
    <xf numFmtId="1" fontId="1" fillId="3" borderId="0" xfId="0" applyNumberFormat="1" applyFont="1" applyFill="1" applyBorder="1" applyAlignment="1">
      <alignment horizontal="center"/>
    </xf>
    <xf numFmtId="0" fontId="1" fillId="3" borderId="0" xfId="0" applyFont="1" applyFill="1" applyBorder="1" applyAlignment="1">
      <alignment horizontal="center"/>
    </xf>
    <xf numFmtId="2" fontId="1" fillId="3" borderId="0" xfId="0" applyNumberFormat="1" applyFont="1" applyFill="1" applyBorder="1" applyAlignment="1">
      <alignment horizontal="center"/>
    </xf>
    <xf numFmtId="2" fontId="1" fillId="3" borderId="0" xfId="2" applyNumberFormat="1" applyFont="1" applyFill="1" applyBorder="1" applyAlignment="1">
      <alignment horizontal="center"/>
    </xf>
    <xf numFmtId="165" fontId="0" fillId="3" borderId="0" xfId="0" applyNumberFormat="1" applyFill="1" applyAlignment="1">
      <alignment horizontal="center"/>
    </xf>
    <xf numFmtId="0" fontId="4" fillId="0" borderId="2" xfId="0" applyFont="1" applyFill="1" applyBorder="1"/>
    <xf numFmtId="0" fontId="0" fillId="0" borderId="2" xfId="0" applyFill="1" applyBorder="1"/>
    <xf numFmtId="0" fontId="4" fillId="0" borderId="3" xfId="0" applyFont="1" applyBorder="1"/>
    <xf numFmtId="0" fontId="0" fillId="0" borderId="3" xfId="0" applyBorder="1"/>
    <xf numFmtId="0" fontId="0" fillId="2" borderId="4" xfId="0" applyFill="1" applyBorder="1"/>
    <xf numFmtId="0" fontId="6" fillId="0" borderId="5" xfId="0" applyFont="1" applyFill="1" applyBorder="1"/>
    <xf numFmtId="0" fontId="6" fillId="0" borderId="6" xfId="0" applyFont="1" applyFill="1" applyBorder="1"/>
    <xf numFmtId="2" fontId="1" fillId="0" borderId="0" xfId="0" applyNumberFormat="1" applyFont="1" applyFill="1" applyBorder="1" applyAlignment="1">
      <alignment horizontal="center"/>
    </xf>
    <xf numFmtId="2" fontId="0" fillId="4" borderId="0" xfId="0" applyNumberFormat="1" applyFill="1" applyAlignment="1"/>
    <xf numFmtId="2" fontId="0" fillId="4" borderId="0" xfId="0" applyNumberFormat="1" applyFill="1" applyAlignment="1">
      <alignment horizontal="center"/>
    </xf>
    <xf numFmtId="0" fontId="0" fillId="4" borderId="7" xfId="0" applyFill="1" applyBorder="1"/>
    <xf numFmtId="170" fontId="0" fillId="0" borderId="0" xfId="1" applyNumberFormat="1" applyFont="1"/>
    <xf numFmtId="169" fontId="0" fillId="0" borderId="0" xfId="1" applyNumberFormat="1" applyFont="1" applyAlignment="1">
      <alignment horizontal="right"/>
    </xf>
    <xf numFmtId="170" fontId="0" fillId="0" borderId="0" xfId="1" applyNumberFormat="1" applyFont="1" applyAlignment="1">
      <alignment horizontal="right"/>
    </xf>
    <xf numFmtId="169" fontId="0" fillId="0" borderId="0" xfId="0" applyNumberFormat="1"/>
    <xf numFmtId="171" fontId="0" fillId="0" borderId="0" xfId="0" applyNumberFormat="1"/>
    <xf numFmtId="3" fontId="0" fillId="0" borderId="0" xfId="0" applyNumberFormat="1"/>
    <xf numFmtId="169" fontId="4" fillId="2" borderId="0" xfId="1" applyNumberFormat="1" applyFont="1" applyFill="1" applyBorder="1" applyAlignment="1">
      <alignment horizontal="center"/>
    </xf>
    <xf numFmtId="0" fontId="0" fillId="0" borderId="0" xfId="0" applyFill="1" applyAlignment="1">
      <alignment horizontal="center"/>
    </xf>
    <xf numFmtId="0" fontId="1" fillId="0" borderId="0" xfId="0" applyFont="1" applyFill="1" applyBorder="1" applyAlignment="1">
      <alignment horizontal="center"/>
    </xf>
    <xf numFmtId="165" fontId="0" fillId="0" borderId="0" xfId="0" applyNumberFormat="1" applyFill="1" applyAlignment="1">
      <alignment horizontal="center"/>
    </xf>
    <xf numFmtId="165" fontId="0" fillId="0" borderId="0" xfId="0" applyNumberFormat="1"/>
    <xf numFmtId="1" fontId="0" fillId="0" borderId="0" xfId="0" applyNumberFormat="1" applyFill="1" applyAlignment="1">
      <alignment horizontal="center"/>
    </xf>
    <xf numFmtId="3" fontId="4" fillId="0" borderId="0" xfId="0" applyNumberFormat="1" applyFont="1" applyFill="1" applyBorder="1" applyAlignment="1">
      <alignment horizontal="center"/>
    </xf>
    <xf numFmtId="1" fontId="6" fillId="0" borderId="0" xfId="0" applyNumberFormat="1" applyFont="1" applyAlignment="1">
      <alignment horizontal="center"/>
    </xf>
    <xf numFmtId="0" fontId="0" fillId="5" borderId="0" xfId="0" applyFill="1" applyAlignment="1">
      <alignment horizontal="center"/>
    </xf>
    <xf numFmtId="0" fontId="0" fillId="5" borderId="4" xfId="0" applyFill="1" applyBorder="1"/>
    <xf numFmtId="0" fontId="6" fillId="0" borderId="5" xfId="0" applyFont="1" applyBorder="1"/>
    <xf numFmtId="0" fontId="0" fillId="0" borderId="2" xfId="0" applyBorder="1"/>
    <xf numFmtId="0" fontId="0" fillId="0" borderId="3" xfId="0" applyFill="1" applyBorder="1"/>
    <xf numFmtId="0" fontId="6" fillId="0" borderId="0" xfId="0" applyFont="1" applyBorder="1" applyAlignment="1">
      <alignment horizontal="left"/>
    </xf>
    <xf numFmtId="0" fontId="10" fillId="0" borderId="0" xfId="0" applyFont="1" applyAlignment="1">
      <alignment horizontal="left"/>
    </xf>
    <xf numFmtId="0" fontId="1" fillId="0" borderId="0" xfId="0" applyFont="1" applyFill="1" applyBorder="1" applyAlignment="1">
      <alignment horizontal="left"/>
    </xf>
    <xf numFmtId="0" fontId="2" fillId="0" borderId="0" xfId="0" applyFont="1" applyAlignment="1">
      <alignment horizontal="right"/>
    </xf>
    <xf numFmtId="0" fontId="4" fillId="0" borderId="0" xfId="0" applyFont="1" applyFill="1" applyAlignment="1">
      <alignment horizontal="center"/>
    </xf>
    <xf numFmtId="1" fontId="4" fillId="0" borderId="0" xfId="2" applyNumberFormat="1" applyFont="1" applyFill="1" applyAlignment="1">
      <alignment horizontal="center"/>
    </xf>
    <xf numFmtId="0" fontId="1" fillId="0" borderId="0" xfId="0" applyFont="1" applyFill="1" applyBorder="1"/>
    <xf numFmtId="2" fontId="4" fillId="0" borderId="0" xfId="0" applyNumberFormat="1" applyFont="1" applyFill="1" applyBorder="1" applyAlignment="1">
      <alignment horizontal="center"/>
    </xf>
    <xf numFmtId="1" fontId="1" fillId="0" borderId="0" xfId="0" applyNumberFormat="1" applyFont="1" applyFill="1" applyBorder="1" applyAlignment="1">
      <alignment horizontal="center"/>
    </xf>
    <xf numFmtId="0" fontId="0" fillId="0" borderId="0" xfId="0" applyFill="1" applyBorder="1"/>
    <xf numFmtId="2" fontId="0" fillId="0" borderId="0" xfId="0" applyNumberFormat="1" applyFill="1" applyAlignment="1"/>
    <xf numFmtId="2" fontId="0" fillId="0" borderId="0" xfId="1" applyNumberFormat="1" applyFont="1" applyFill="1" applyAlignment="1"/>
    <xf numFmtId="2" fontId="4" fillId="0" borderId="0" xfId="0" applyNumberFormat="1" applyFont="1" applyFill="1" applyAlignment="1"/>
    <xf numFmtId="1" fontId="4" fillId="3" borderId="0" xfId="0" applyNumberFormat="1" applyFont="1" applyFill="1" applyAlignment="1">
      <alignment horizontal="center"/>
    </xf>
    <xf numFmtId="0" fontId="10" fillId="0" borderId="0" xfId="0" applyFont="1" applyBorder="1" applyAlignment="1">
      <alignment horizontal="right"/>
    </xf>
    <xf numFmtId="0" fontId="13" fillId="0" borderId="0" xfId="0" applyFont="1" applyBorder="1" applyAlignment="1">
      <alignment horizontal="center"/>
    </xf>
    <xf numFmtId="170" fontId="4" fillId="2" borderId="0" xfId="1" applyNumberFormat="1" applyFont="1" applyFill="1" applyAlignment="1">
      <alignment horizontal="left"/>
    </xf>
    <xf numFmtId="2" fontId="4" fillId="2" borderId="0" xfId="1" applyNumberFormat="1" applyFont="1" applyFill="1" applyBorder="1" applyAlignment="1">
      <alignment horizontal="center"/>
    </xf>
    <xf numFmtId="170" fontId="4" fillId="0" borderId="0" xfId="1" applyNumberFormat="1" applyFont="1" applyFill="1" applyBorder="1" applyAlignment="1">
      <alignment horizontal="center"/>
    </xf>
    <xf numFmtId="38" fontId="6" fillId="0" borderId="0" xfId="1" applyNumberFormat="1" applyFont="1" applyBorder="1" applyAlignment="1">
      <alignment horizontal="center"/>
    </xf>
    <xf numFmtId="0" fontId="4" fillId="0" borderId="0" xfId="0" applyFont="1" applyFill="1" applyBorder="1" applyAlignment="1">
      <alignment horizontal="center"/>
    </xf>
    <xf numFmtId="1" fontId="4" fillId="0" borderId="0" xfId="1" applyNumberFormat="1" applyFont="1" applyBorder="1" applyAlignment="1">
      <alignment horizontal="center"/>
    </xf>
    <xf numFmtId="165" fontId="0" fillId="2" borderId="0" xfId="0" applyNumberFormat="1" applyFill="1" applyAlignment="1">
      <alignment horizontal="center"/>
    </xf>
    <xf numFmtId="165" fontId="4" fillId="0" borderId="0" xfId="1" applyNumberFormat="1" applyFont="1" applyBorder="1" applyAlignment="1">
      <alignment horizontal="center"/>
    </xf>
    <xf numFmtId="166" fontId="0" fillId="0" borderId="0" xfId="0" applyNumberFormat="1" applyFill="1" applyAlignment="1">
      <alignment horizontal="center"/>
    </xf>
    <xf numFmtId="166" fontId="0" fillId="3" borderId="0" xfId="0" applyNumberFormat="1" applyFill="1" applyAlignment="1">
      <alignment horizontal="center"/>
    </xf>
    <xf numFmtId="0" fontId="0" fillId="0" borderId="0" xfId="0" applyFill="1" applyAlignment="1">
      <alignment horizontal="right"/>
    </xf>
    <xf numFmtId="1" fontId="14" fillId="0" borderId="0" xfId="0" applyNumberFormat="1" applyFont="1" applyBorder="1" applyAlignment="1">
      <alignment horizontal="center"/>
    </xf>
    <xf numFmtId="1" fontId="0" fillId="5" borderId="0" xfId="0" applyNumberFormat="1" applyFill="1" applyAlignment="1">
      <alignment horizontal="center"/>
    </xf>
    <xf numFmtId="1" fontId="0" fillId="0" borderId="0" xfId="1" applyNumberFormat="1" applyFont="1" applyAlignment="1">
      <alignment horizontal="center"/>
    </xf>
    <xf numFmtId="1" fontId="0" fillId="0" borderId="0" xfId="0" applyNumberFormat="1"/>
    <xf numFmtId="165" fontId="14" fillId="0" borderId="0" xfId="0" applyNumberFormat="1" applyFont="1" applyAlignment="1">
      <alignment horizontal="center"/>
    </xf>
    <xf numFmtId="4" fontId="0" fillId="0" borderId="0" xfId="0" applyNumberFormat="1" applyAlignment="1">
      <alignment horizontal="center"/>
    </xf>
    <xf numFmtId="1" fontId="0" fillId="0" borderId="0" xfId="0" applyNumberFormat="1" applyFill="1" applyBorder="1" applyAlignment="1">
      <alignment horizontal="center"/>
    </xf>
    <xf numFmtId="43" fontId="4" fillId="0" borderId="0" xfId="1" applyNumberFormat="1" applyFont="1" applyBorder="1" applyAlignment="1">
      <alignment horizontal="center"/>
    </xf>
    <xf numFmtId="40" fontId="4" fillId="2" borderId="0" xfId="1" applyNumberFormat="1" applyFont="1" applyFill="1" applyAlignment="1">
      <alignment horizontal="center"/>
    </xf>
    <xf numFmtId="43" fontId="4" fillId="2" borderId="0" xfId="1" applyNumberFormat="1" applyFont="1" applyFill="1" applyBorder="1" applyAlignment="1">
      <alignment horizontal="center"/>
    </xf>
    <xf numFmtId="176" fontId="4" fillId="0" borderId="0" xfId="0" applyNumberFormat="1" applyFont="1" applyAlignment="1">
      <alignment horizontal="center"/>
    </xf>
    <xf numFmtId="166" fontId="4" fillId="0" borderId="0" xfId="1" applyNumberFormat="1" applyFont="1" applyAlignment="1">
      <alignment horizontal="center"/>
    </xf>
    <xf numFmtId="0" fontId="14" fillId="0" borderId="0" xfId="0" applyFont="1"/>
    <xf numFmtId="170" fontId="0" fillId="0" borderId="0" xfId="0" applyNumberFormat="1" applyBorder="1"/>
    <xf numFmtId="1" fontId="4" fillId="0" borderId="0" xfId="0" applyNumberFormat="1" applyFont="1" applyAlignment="1">
      <alignment horizontal="center"/>
    </xf>
    <xf numFmtId="177" fontId="0" fillId="0" borderId="0" xfId="0" applyNumberFormat="1" applyAlignment="1">
      <alignment horizontal="center"/>
    </xf>
    <xf numFmtId="178" fontId="0" fillId="0" borderId="0" xfId="0" applyNumberFormat="1" applyAlignment="1">
      <alignment horizontal="center"/>
    </xf>
    <xf numFmtId="175" fontId="0" fillId="0" borderId="0" xfId="0" applyNumberFormat="1" applyAlignment="1">
      <alignment horizontal="center"/>
    </xf>
    <xf numFmtId="168" fontId="0" fillId="0" borderId="0" xfId="0" applyNumberFormat="1" applyAlignment="1">
      <alignment horizontal="center"/>
    </xf>
    <xf numFmtId="165" fontId="16" fillId="5" borderId="0" xfId="0" applyNumberFormat="1" applyFont="1" applyFill="1" applyAlignment="1">
      <alignment horizontal="center"/>
    </xf>
    <xf numFmtId="38" fontId="0" fillId="0" borderId="0" xfId="0" applyNumberFormat="1" applyAlignment="1">
      <alignment horizontal="center"/>
    </xf>
    <xf numFmtId="38" fontId="0" fillId="2" borderId="0" xfId="0" applyNumberFormat="1" applyFill="1"/>
    <xf numFmtId="0" fontId="14" fillId="0" borderId="0" xfId="0" applyFont="1" applyBorder="1"/>
    <xf numFmtId="170" fontId="0" fillId="2" borderId="0" xfId="0" applyNumberFormat="1" applyFill="1"/>
    <xf numFmtId="38" fontId="14" fillId="0" borderId="0" xfId="1" applyNumberFormat="1" applyFont="1" applyAlignment="1">
      <alignment horizontal="right"/>
    </xf>
    <xf numFmtId="0" fontId="18" fillId="0" borderId="0" xfId="0" applyFont="1"/>
    <xf numFmtId="38" fontId="18" fillId="0" borderId="0" xfId="0" applyNumberFormat="1" applyFont="1"/>
    <xf numFmtId="38" fontId="6" fillId="0" borderId="0" xfId="0" applyNumberFormat="1" applyFont="1"/>
    <xf numFmtId="40" fontId="6" fillId="0" borderId="0" xfId="0" applyNumberFormat="1" applyFont="1"/>
    <xf numFmtId="0" fontId="0" fillId="0" borderId="0" xfId="0" applyAlignment="1">
      <alignment vertical="top" wrapText="1"/>
    </xf>
    <xf numFmtId="0" fontId="13" fillId="0" borderId="0" xfId="0" applyFont="1"/>
    <xf numFmtId="0" fontId="10" fillId="0" borderId="0" xfId="0" applyFont="1" applyBorder="1"/>
    <xf numFmtId="168" fontId="4" fillId="0" borderId="0" xfId="0" applyNumberFormat="1" applyFont="1" applyAlignment="1">
      <alignment horizontal="center"/>
    </xf>
    <xf numFmtId="167" fontId="0" fillId="0" borderId="0" xfId="0" applyNumberFormat="1" applyAlignment="1">
      <alignment horizontal="center"/>
    </xf>
    <xf numFmtId="176" fontId="0" fillId="0" borderId="0" xfId="0" applyNumberFormat="1" applyAlignment="1">
      <alignment horizontal="center"/>
    </xf>
    <xf numFmtId="167" fontId="0" fillId="0" borderId="0" xfId="0" applyNumberFormat="1"/>
    <xf numFmtId="176" fontId="0" fillId="0" borderId="0" xfId="0" applyNumberFormat="1"/>
    <xf numFmtId="4" fontId="0" fillId="0" borderId="0" xfId="0" applyNumberFormat="1"/>
    <xf numFmtId="168" fontId="0" fillId="0" borderId="0" xfId="0" applyNumberFormat="1"/>
    <xf numFmtId="170" fontId="1" fillId="0" borderId="0" xfId="0" applyNumberFormat="1" applyFont="1" applyFill="1" applyBorder="1" applyAlignment="1">
      <alignment horizontal="left"/>
    </xf>
    <xf numFmtId="0" fontId="13" fillId="0" borderId="0" xfId="0" applyFont="1" applyAlignment="1">
      <alignment horizontal="center"/>
    </xf>
    <xf numFmtId="2" fontId="13" fillId="0" borderId="0" xfId="0" applyNumberFormat="1" applyFont="1" applyFill="1" applyAlignment="1">
      <alignment horizontal="center"/>
    </xf>
    <xf numFmtId="0" fontId="2" fillId="0" borderId="0" xfId="0" applyFont="1" applyFill="1" applyBorder="1"/>
    <xf numFmtId="2" fontId="0" fillId="0" borderId="0" xfId="0" applyNumberFormat="1" applyFill="1" applyBorder="1" applyAlignment="1">
      <alignment horizontal="center"/>
    </xf>
    <xf numFmtId="0" fontId="9" fillId="0" borderId="0" xfId="0" applyFont="1" applyFill="1" applyBorder="1" applyAlignment="1">
      <alignment horizontal="center"/>
    </xf>
    <xf numFmtId="4" fontId="0" fillId="5" borderId="0" xfId="0" applyNumberFormat="1" applyFill="1" applyAlignment="1">
      <alignment horizontal="center"/>
    </xf>
    <xf numFmtId="2" fontId="13" fillId="0" borderId="0" xfId="0" applyNumberFormat="1" applyFont="1" applyFill="1" applyBorder="1" applyAlignment="1">
      <alignment horizontal="center"/>
    </xf>
    <xf numFmtId="4" fontId="0" fillId="0" borderId="0" xfId="0" applyNumberFormat="1" applyFill="1" applyAlignment="1">
      <alignment horizontal="center"/>
    </xf>
    <xf numFmtId="43" fontId="0" fillId="0" borderId="1" xfId="1" applyFont="1" applyBorder="1"/>
    <xf numFmtId="1" fontId="4" fillId="0" borderId="0" xfId="0" applyNumberFormat="1" applyFont="1" applyBorder="1" applyAlignment="1">
      <alignment horizontal="center"/>
    </xf>
    <xf numFmtId="40" fontId="0" fillId="2" borderId="0" xfId="0" applyNumberFormat="1" applyFill="1" applyAlignment="1">
      <alignment horizontal="center"/>
    </xf>
    <xf numFmtId="170" fontId="0" fillId="0" borderId="0" xfId="1" applyNumberFormat="1" applyFont="1" applyAlignment="1">
      <alignment horizontal="center"/>
    </xf>
    <xf numFmtId="38" fontId="4" fillId="2" borderId="0" xfId="1" applyNumberFormat="1" applyFont="1" applyFill="1" applyBorder="1" applyAlignment="1">
      <alignment horizontal="right"/>
    </xf>
    <xf numFmtId="170" fontId="0" fillId="0" borderId="0" xfId="0" applyNumberFormat="1" applyAlignment="1">
      <alignment horizontal="center"/>
    </xf>
    <xf numFmtId="0" fontId="6" fillId="0" borderId="0" xfId="0" applyFont="1" applyFill="1"/>
    <xf numFmtId="0" fontId="4" fillId="0" borderId="0" xfId="0" applyFont="1" applyFill="1"/>
    <xf numFmtId="0" fontId="2" fillId="0" borderId="0" xfId="0" applyFont="1" applyFill="1" applyAlignment="1">
      <alignment horizontal="center"/>
    </xf>
    <xf numFmtId="0" fontId="10" fillId="0" borderId="0" xfId="0" applyFont="1" applyFill="1"/>
    <xf numFmtId="40" fontId="0" fillId="0" borderId="0" xfId="0" applyNumberFormat="1" applyFill="1"/>
    <xf numFmtId="170" fontId="0" fillId="0" borderId="0" xfId="0" applyNumberFormat="1" applyFill="1"/>
    <xf numFmtId="165" fontId="0" fillId="0" borderId="0" xfId="0" applyNumberFormat="1" applyFill="1"/>
    <xf numFmtId="1" fontId="0" fillId="0" borderId="0" xfId="1" applyNumberFormat="1" applyFont="1" applyAlignment="1">
      <alignment horizontal="right"/>
    </xf>
    <xf numFmtId="179" fontId="6" fillId="0" borderId="0" xfId="0" applyNumberFormat="1" applyFont="1" applyBorder="1"/>
    <xf numFmtId="0" fontId="14" fillId="0" borderId="0" xfId="0" applyFont="1" applyBorder="1" applyAlignment="1">
      <alignment horizontal="center"/>
    </xf>
    <xf numFmtId="164" fontId="0" fillId="5" borderId="0" xfId="0" applyNumberFormat="1" applyFill="1" applyAlignment="1">
      <alignment horizontal="center"/>
    </xf>
    <xf numFmtId="170" fontId="6" fillId="6" borderId="0" xfId="1" applyNumberFormat="1" applyFont="1" applyFill="1" applyBorder="1" applyAlignment="1">
      <alignment horizontal="right"/>
    </xf>
    <xf numFmtId="0" fontId="4" fillId="2" borderId="0" xfId="0" applyFont="1" applyFill="1" applyBorder="1" applyAlignment="1">
      <alignment horizontal="center"/>
    </xf>
    <xf numFmtId="165" fontId="4" fillId="2" borderId="0" xfId="0" applyNumberFormat="1" applyFont="1" applyFill="1" applyAlignment="1">
      <alignment horizontal="center"/>
    </xf>
    <xf numFmtId="166" fontId="4" fillId="2" borderId="0" xfId="0" applyNumberFormat="1" applyFont="1" applyFill="1" applyAlignment="1">
      <alignment horizontal="center"/>
    </xf>
    <xf numFmtId="167" fontId="4" fillId="2" borderId="0" xfId="0" applyNumberFormat="1" applyFont="1" applyFill="1" applyAlignment="1">
      <alignment horizontal="center"/>
    </xf>
    <xf numFmtId="0" fontId="1" fillId="0" borderId="0" xfId="0" applyFont="1" applyAlignment="1">
      <alignment horizontal="center"/>
    </xf>
    <xf numFmtId="0" fontId="20" fillId="0" borderId="0" xfId="0" applyFont="1" applyAlignment="1">
      <alignment horizontal="center"/>
    </xf>
    <xf numFmtId="2" fontId="0" fillId="7" borderId="0" xfId="0" applyNumberFormat="1" applyFill="1" applyAlignment="1">
      <alignment horizontal="center"/>
    </xf>
    <xf numFmtId="0" fontId="0" fillId="7" borderId="0" xfId="0" applyFill="1"/>
    <xf numFmtId="0" fontId="0" fillId="7" borderId="0" xfId="0" applyFill="1" applyAlignment="1">
      <alignment horizontal="center"/>
    </xf>
    <xf numFmtId="1" fontId="0" fillId="8" borderId="0" xfId="0" applyNumberFormat="1" applyFill="1" applyAlignment="1">
      <alignment horizontal="center"/>
    </xf>
    <xf numFmtId="0" fontId="0" fillId="8" borderId="0" xfId="0" applyFill="1" applyAlignment="1">
      <alignment horizontal="center"/>
    </xf>
    <xf numFmtId="0" fontId="0" fillId="8" borderId="0" xfId="0" applyFill="1"/>
    <xf numFmtId="2" fontId="0" fillId="8" borderId="0" xfId="0" applyNumberFormat="1" applyFill="1" applyAlignment="1">
      <alignment horizontal="center"/>
    </xf>
    <xf numFmtId="0" fontId="6" fillId="0" borderId="0" xfId="0" applyFont="1" applyFill="1" applyAlignment="1">
      <alignment horizontal="center"/>
    </xf>
    <xf numFmtId="0" fontId="23" fillId="0" borderId="0" xfId="0" applyFont="1" applyAlignment="1">
      <alignment horizontal="center"/>
    </xf>
    <xf numFmtId="0" fontId="21" fillId="0" borderId="0" xfId="0" applyFont="1"/>
    <xf numFmtId="168" fontId="0" fillId="2" borderId="0" xfId="0" applyNumberFormat="1" applyFill="1" applyAlignment="1">
      <alignment horizontal="center"/>
    </xf>
    <xf numFmtId="0" fontId="24" fillId="0" borderId="0" xfId="0" applyFont="1" applyAlignment="1">
      <alignment horizontal="center"/>
    </xf>
    <xf numFmtId="3" fontId="0" fillId="0" borderId="0" xfId="0" applyNumberFormat="1" applyFill="1" applyAlignment="1">
      <alignment horizontal="center"/>
    </xf>
    <xf numFmtId="167" fontId="0" fillId="0" borderId="0" xfId="0" applyNumberFormat="1" applyFill="1" applyAlignment="1">
      <alignment horizontal="center"/>
    </xf>
    <xf numFmtId="176" fontId="0" fillId="0" borderId="0" xfId="0" applyNumberFormat="1" applyFill="1" applyAlignment="1">
      <alignment horizontal="center"/>
    </xf>
    <xf numFmtId="1" fontId="0" fillId="2" borderId="0" xfId="0" applyNumberFormat="1" applyFill="1" applyAlignment="1">
      <alignment horizontal="center"/>
    </xf>
    <xf numFmtId="0" fontId="25" fillId="0" borderId="0" xfId="0" applyFont="1" applyAlignment="1">
      <alignment horizontal="center"/>
    </xf>
    <xf numFmtId="167" fontId="25" fillId="0" borderId="0" xfId="0" applyNumberFormat="1" applyFont="1" applyAlignment="1">
      <alignment horizontal="center"/>
    </xf>
    <xf numFmtId="0" fontId="1" fillId="0" borderId="0" xfId="0" applyFont="1"/>
    <xf numFmtId="0" fontId="0" fillId="9" borderId="7" xfId="0" applyFill="1" applyBorder="1"/>
    <xf numFmtId="1" fontId="0" fillId="10" borderId="0" xfId="0" applyNumberFormat="1" applyFill="1" applyAlignment="1">
      <alignment horizontal="center"/>
    </xf>
    <xf numFmtId="165" fontId="1" fillId="0" borderId="0" xfId="0" applyNumberFormat="1" applyFont="1" applyAlignment="1">
      <alignment horizontal="center"/>
    </xf>
    <xf numFmtId="0" fontId="0" fillId="0" borderId="0" xfId="0" applyAlignment="1">
      <alignment horizontal="center"/>
    </xf>
    <xf numFmtId="0" fontId="1" fillId="0" borderId="0" xfId="0" applyFont="1" applyAlignment="1">
      <alignment horizontal="right"/>
    </xf>
    <xf numFmtId="0" fontId="26" fillId="0" borderId="0" xfId="0" applyFont="1"/>
    <xf numFmtId="1" fontId="1" fillId="0" borderId="0" xfId="0" applyNumberFormat="1" applyFont="1" applyAlignment="1">
      <alignment horizontal="center"/>
    </xf>
    <xf numFmtId="0" fontId="1" fillId="0" borderId="0" xfId="0" applyFont="1" applyAlignment="1">
      <alignment horizontal="left"/>
    </xf>
    <xf numFmtId="40" fontId="6" fillId="0" borderId="0" xfId="0" applyNumberFormat="1" applyFont="1" applyAlignment="1"/>
    <xf numFmtId="0" fontId="28" fillId="0" borderId="0" xfId="0" applyFont="1"/>
    <xf numFmtId="0" fontId="28" fillId="0" borderId="0" xfId="0" applyFont="1" applyAlignment="1">
      <alignment horizontal="center"/>
    </xf>
    <xf numFmtId="165" fontId="1" fillId="0" borderId="0" xfId="0" applyNumberFormat="1" applyFont="1" applyFill="1" applyAlignment="1">
      <alignment horizontal="center"/>
    </xf>
    <xf numFmtId="0" fontId="1" fillId="0" borderId="0" xfId="0" applyFont="1" applyFill="1"/>
    <xf numFmtId="0" fontId="10" fillId="0" borderId="0" xfId="0" applyFont="1" applyBorder="1" applyAlignment="1">
      <alignment horizontal="center"/>
    </xf>
    <xf numFmtId="1" fontId="10" fillId="0" borderId="0" xfId="0" applyNumberFormat="1" applyFont="1" applyBorder="1" applyAlignment="1">
      <alignment horizontal="center"/>
    </xf>
    <xf numFmtId="165" fontId="4" fillId="0" borderId="0" xfId="0" applyNumberFormat="1" applyFont="1" applyFill="1" applyBorder="1" applyAlignment="1">
      <alignment horizontal="center"/>
    </xf>
    <xf numFmtId="165" fontId="1" fillId="10" borderId="0" xfId="0" applyNumberFormat="1" applyFont="1" applyFill="1" applyAlignment="1">
      <alignment horizontal="center"/>
    </xf>
    <xf numFmtId="0" fontId="1" fillId="10" borderId="0" xfId="0" applyFont="1" applyFill="1" applyAlignment="1">
      <alignment horizontal="center"/>
    </xf>
    <xf numFmtId="166" fontId="4" fillId="0" borderId="0" xfId="0" applyNumberFormat="1" applyFont="1" applyFill="1" applyBorder="1" applyAlignment="1">
      <alignment horizontal="center"/>
    </xf>
    <xf numFmtId="0" fontId="0" fillId="10" borderId="0" xfId="0" applyFill="1" applyAlignment="1">
      <alignment horizontal="center"/>
    </xf>
    <xf numFmtId="165" fontId="0" fillId="10" borderId="0" xfId="0" applyNumberFormat="1" applyFill="1" applyAlignment="1">
      <alignment horizontal="center"/>
    </xf>
    <xf numFmtId="0" fontId="6" fillId="0" borderId="0" xfId="0" applyFont="1" applyAlignment="1">
      <alignment horizontal="center"/>
    </xf>
    <xf numFmtId="2" fontId="4" fillId="0" borderId="0" xfId="0" applyNumberFormat="1" applyFont="1" applyBorder="1" applyAlignment="1">
      <alignment horizontal="center"/>
    </xf>
    <xf numFmtId="0" fontId="0" fillId="0" borderId="0" xfId="0" applyAlignment="1">
      <alignment vertical="center"/>
    </xf>
    <xf numFmtId="167" fontId="0" fillId="11" borderId="0" xfId="0" applyNumberFormat="1" applyFill="1" applyAlignment="1">
      <alignment horizontal="center"/>
    </xf>
    <xf numFmtId="168" fontId="0" fillId="11" borderId="0" xfId="0" applyNumberFormat="1" applyFill="1" applyAlignment="1">
      <alignment horizontal="center"/>
    </xf>
    <xf numFmtId="0" fontId="14" fillId="0" borderId="0" xfId="0" applyFont="1" applyFill="1" applyBorder="1" applyAlignment="1">
      <alignment horizontal="center"/>
    </xf>
    <xf numFmtId="1" fontId="4" fillId="0" borderId="0" xfId="0" applyNumberFormat="1" applyFont="1" applyFill="1" applyBorder="1" applyAlignment="1">
      <alignment horizontal="center"/>
    </xf>
    <xf numFmtId="0" fontId="1" fillId="10" borderId="0" xfId="0" applyFont="1" applyFill="1" applyBorder="1" applyAlignment="1">
      <alignment horizontal="center"/>
    </xf>
    <xf numFmtId="0" fontId="1" fillId="0" borderId="0" xfId="0" applyFont="1" applyFill="1" applyAlignment="1">
      <alignment horizontal="center"/>
    </xf>
    <xf numFmtId="2" fontId="1" fillId="0" borderId="0" xfId="0" applyNumberFormat="1" applyFont="1" applyAlignment="1">
      <alignment horizontal="center"/>
    </xf>
    <xf numFmtId="43" fontId="0" fillId="0" borderId="0" xfId="1" applyFont="1" applyBorder="1" applyAlignment="1">
      <alignment horizontal="center"/>
    </xf>
    <xf numFmtId="43" fontId="0" fillId="0" borderId="0" xfId="1" applyFont="1" applyAlignment="1">
      <alignment horizontal="right"/>
    </xf>
    <xf numFmtId="0" fontId="0" fillId="11" borderId="0" xfId="0" applyFill="1" applyAlignment="1">
      <alignment horizontal="center"/>
    </xf>
    <xf numFmtId="164" fontId="0" fillId="0" borderId="0" xfId="0" applyNumberFormat="1" applyFill="1" applyAlignment="1">
      <alignment horizontal="center"/>
    </xf>
    <xf numFmtId="0" fontId="29" fillId="0" borderId="0" xfId="0" applyFont="1"/>
    <xf numFmtId="168" fontId="0" fillId="0" borderId="0" xfId="0" applyNumberFormat="1" applyFill="1" applyAlignment="1">
      <alignment horizontal="center"/>
    </xf>
    <xf numFmtId="0" fontId="0" fillId="11" borderId="0" xfId="0" applyFill="1"/>
    <xf numFmtId="0" fontId="1" fillId="11" borderId="0" xfId="0" applyFont="1" applyFill="1" applyAlignment="1">
      <alignment horizontal="left"/>
    </xf>
    <xf numFmtId="0" fontId="1" fillId="0" borderId="0" xfId="0" applyFont="1" applyFill="1" applyAlignment="1">
      <alignment horizontal="left"/>
    </xf>
    <xf numFmtId="180" fontId="4" fillId="2" borderId="0" xfId="1" applyNumberFormat="1" applyFont="1" applyFill="1" applyAlignment="1">
      <alignment horizontal="right"/>
    </xf>
    <xf numFmtId="175" fontId="4" fillId="0" borderId="0" xfId="0" applyNumberFormat="1" applyFont="1" applyAlignment="1">
      <alignment horizontal="center"/>
    </xf>
    <xf numFmtId="166" fontId="1" fillId="0" borderId="0" xfId="0" applyNumberFormat="1" applyFont="1" applyAlignment="1">
      <alignment horizontal="center"/>
    </xf>
    <xf numFmtId="170" fontId="1" fillId="0" borderId="0" xfId="0" applyNumberFormat="1" applyFont="1"/>
    <xf numFmtId="0" fontId="1" fillId="11" borderId="0" xfId="0" applyFont="1" applyFill="1" applyAlignment="1">
      <alignment horizontal="center"/>
    </xf>
    <xf numFmtId="43" fontId="0" fillId="0" borderId="0" xfId="1" applyNumberFormat="1" applyFont="1" applyAlignment="1">
      <alignment horizontal="center"/>
    </xf>
    <xf numFmtId="170" fontId="0" fillId="0" borderId="1" xfId="1" applyNumberFormat="1" applyFont="1" applyBorder="1" applyAlignment="1">
      <alignment horizontal="center"/>
    </xf>
    <xf numFmtId="170" fontId="0" fillId="0" borderId="0" xfId="1" applyNumberFormat="1" applyFont="1" applyBorder="1" applyAlignment="1">
      <alignment horizontal="center"/>
    </xf>
    <xf numFmtId="0" fontId="6" fillId="0" borderId="0" xfId="0" applyFont="1" applyAlignment="1">
      <alignment horizontal="center"/>
    </xf>
    <xf numFmtId="167" fontId="1" fillId="0" borderId="0" xfId="3" applyNumberFormat="1" applyAlignment="1">
      <alignment horizontal="center"/>
    </xf>
    <xf numFmtId="167" fontId="6" fillId="0" borderId="0" xfId="3" applyNumberFormat="1" applyFont="1" applyAlignment="1">
      <alignment horizontal="center"/>
    </xf>
    <xf numFmtId="0" fontId="6" fillId="0" borderId="0" xfId="0" applyFont="1" applyFill="1" applyBorder="1" applyAlignment="1">
      <alignment horizontal="center"/>
    </xf>
    <xf numFmtId="0" fontId="6" fillId="0" borderId="0" xfId="0" applyFont="1" applyAlignment="1">
      <alignment horizontal="center"/>
    </xf>
    <xf numFmtId="0" fontId="0" fillId="0" borderId="0" xfId="0" applyFont="1" applyFill="1" applyBorder="1" applyAlignment="1">
      <alignment horizontal="center"/>
    </xf>
    <xf numFmtId="168" fontId="0" fillId="0" borderId="0" xfId="0" applyNumberFormat="1" applyFont="1" applyFill="1" applyBorder="1" applyAlignment="1">
      <alignment horizontal="center"/>
    </xf>
    <xf numFmtId="0" fontId="0" fillId="0" borderId="0" xfId="0" applyAlignment="1"/>
    <xf numFmtId="0" fontId="1" fillId="0" borderId="0" xfId="0" applyFont="1" applyAlignment="1"/>
    <xf numFmtId="0" fontId="1" fillId="0" borderId="0" xfId="0" applyFont="1" applyAlignment="1">
      <alignment vertical="center"/>
    </xf>
    <xf numFmtId="2" fontId="1" fillId="0" borderId="0" xfId="0" applyNumberFormat="1" applyFont="1"/>
    <xf numFmtId="166" fontId="1" fillId="0" borderId="0" xfId="0" applyNumberFormat="1" applyFont="1"/>
    <xf numFmtId="0" fontId="6" fillId="0" borderId="1" xfId="0" applyFont="1" applyBorder="1" applyAlignment="1">
      <alignment horizontal="center"/>
    </xf>
    <xf numFmtId="0" fontId="6" fillId="0" borderId="0" xfId="0" applyFont="1" applyAlignment="1">
      <alignment horizontal="center"/>
    </xf>
    <xf numFmtId="0" fontId="6" fillId="0" borderId="1" xfId="0" applyFont="1" applyBorder="1" applyAlignment="1">
      <alignment horizontal="center"/>
    </xf>
    <xf numFmtId="0" fontId="6" fillId="0" borderId="0" xfId="0" applyFont="1" applyAlignment="1">
      <alignment horizontal="center"/>
    </xf>
    <xf numFmtId="0" fontId="2" fillId="0" borderId="0" xfId="0" applyFont="1" applyAlignment="1"/>
    <xf numFmtId="165" fontId="4" fillId="0" borderId="0" xfId="0" applyNumberFormat="1" applyFont="1" applyFill="1" applyAlignment="1">
      <alignment horizontal="center"/>
    </xf>
    <xf numFmtId="166" fontId="6" fillId="0" borderId="0" xfId="0" applyNumberFormat="1" applyFont="1" applyAlignment="1">
      <alignment horizontal="center"/>
    </xf>
    <xf numFmtId="1" fontId="0" fillId="0" borderId="0" xfId="0" applyNumberFormat="1" applyFont="1" applyAlignment="1">
      <alignment horizontal="center"/>
    </xf>
    <xf numFmtId="2" fontId="30" fillId="0" borderId="0" xfId="0" applyNumberFormat="1" applyFont="1" applyAlignment="1">
      <alignment horizontal="left"/>
    </xf>
    <xf numFmtId="0" fontId="28" fillId="0" borderId="0" xfId="0" applyFont="1" applyAlignment="1">
      <alignment horizontal="right"/>
    </xf>
    <xf numFmtId="169" fontId="0" fillId="0" borderId="0" xfId="1" applyNumberFormat="1" applyFont="1" applyFill="1" applyAlignment="1">
      <alignment horizontal="right"/>
    </xf>
    <xf numFmtId="0" fontId="6" fillId="0" borderId="0" xfId="0" applyFont="1" applyFill="1" applyBorder="1" applyAlignment="1">
      <alignment horizontal="center"/>
    </xf>
    <xf numFmtId="0" fontId="6" fillId="0" borderId="0" xfId="0" applyFont="1" applyAlignment="1">
      <alignment horizontal="center"/>
    </xf>
    <xf numFmtId="0" fontId="26" fillId="0" borderId="0" xfId="0" applyFont="1" applyBorder="1"/>
    <xf numFmtId="0" fontId="26" fillId="0" borderId="0" xfId="0" applyFont="1" applyBorder="1" applyAlignment="1">
      <alignment horizontal="left"/>
    </xf>
    <xf numFmtId="0" fontId="26" fillId="0" borderId="0" xfId="0" applyFont="1" applyFill="1" applyBorder="1" applyAlignment="1">
      <alignment horizontal="left"/>
    </xf>
    <xf numFmtId="0" fontId="26" fillId="0" borderId="0" xfId="0" applyFont="1" applyAlignment="1">
      <alignment horizontal="center"/>
    </xf>
    <xf numFmtId="166" fontId="26" fillId="0" borderId="0" xfId="0" applyNumberFormat="1" applyFont="1" applyBorder="1" applyAlignment="1">
      <alignment horizontal="center"/>
    </xf>
    <xf numFmtId="0" fontId="26" fillId="0" borderId="0" xfId="0" applyFont="1" applyFill="1" applyBorder="1"/>
    <xf numFmtId="0" fontId="26" fillId="0" borderId="1" xfId="0" applyFont="1" applyBorder="1" applyAlignment="1">
      <alignment horizontal="center"/>
    </xf>
    <xf numFmtId="0" fontId="26" fillId="0" borderId="1" xfId="0" applyFont="1" applyBorder="1" applyAlignment="1">
      <alignment horizontal="left"/>
    </xf>
    <xf numFmtId="170" fontId="26" fillId="0" borderId="0" xfId="1" applyNumberFormat="1" applyFont="1" applyAlignment="1">
      <alignment horizontal="center"/>
    </xf>
    <xf numFmtId="170" fontId="26" fillId="0" borderId="1" xfId="1" applyNumberFormat="1" applyFont="1" applyBorder="1" applyAlignment="1">
      <alignment horizontal="center"/>
    </xf>
    <xf numFmtId="0" fontId="26" fillId="0" borderId="0" xfId="0" applyFont="1" applyBorder="1" applyAlignment="1">
      <alignment horizontal="center"/>
    </xf>
    <xf numFmtId="0" fontId="2" fillId="0" borderId="0" xfId="0" applyFont="1" applyBorder="1" applyAlignment="1"/>
    <xf numFmtId="165" fontId="4" fillId="11" borderId="0" xfId="1" applyNumberFormat="1" applyFont="1" applyFill="1" applyBorder="1" applyAlignment="1">
      <alignment horizontal="center"/>
    </xf>
    <xf numFmtId="164" fontId="4" fillId="11" borderId="0" xfId="0" applyNumberFormat="1" applyFont="1" applyFill="1" applyBorder="1" applyAlignment="1">
      <alignment horizontal="center"/>
    </xf>
    <xf numFmtId="0" fontId="2" fillId="0" borderId="0" xfId="0" applyFont="1" applyAlignment="1">
      <alignment horizontal="center"/>
    </xf>
    <xf numFmtId="0" fontId="6" fillId="0" borderId="0" xfId="0" applyFont="1" applyAlignment="1">
      <alignment horizontal="center"/>
    </xf>
    <xf numFmtId="0" fontId="12" fillId="0" borderId="0" xfId="0" applyFont="1" applyAlignment="1">
      <alignment horizontal="center"/>
    </xf>
    <xf numFmtId="170" fontId="4" fillId="11" borderId="0" xfId="1" applyNumberFormat="1" applyFont="1" applyFill="1" applyBorder="1"/>
    <xf numFmtId="170" fontId="4" fillId="11" borderId="0" xfId="1" applyNumberFormat="1" applyFont="1" applyFill="1" applyBorder="1" applyAlignment="1">
      <alignment horizontal="right"/>
    </xf>
    <xf numFmtId="170" fontId="0" fillId="11" borderId="0" xfId="1" applyNumberFormat="1" applyFont="1" applyFill="1"/>
    <xf numFmtId="167" fontId="1" fillId="11" borderId="0" xfId="0" applyNumberFormat="1" applyFont="1" applyFill="1" applyAlignment="1">
      <alignment horizontal="center"/>
    </xf>
    <xf numFmtId="0" fontId="0" fillId="0" borderId="0" xfId="0" applyFill="1" applyProtection="1">
      <protection locked="0"/>
    </xf>
    <xf numFmtId="0" fontId="0" fillId="0" borderId="0" xfId="0" applyProtection="1">
      <protection locked="0"/>
    </xf>
    <xf numFmtId="0" fontId="2" fillId="0" borderId="0" xfId="0" applyNumberFormat="1" applyFont="1" applyFill="1" applyAlignment="1"/>
    <xf numFmtId="170" fontId="1" fillId="11" borderId="0" xfId="0" applyNumberFormat="1" applyFont="1" applyFill="1"/>
    <xf numFmtId="0" fontId="32" fillId="0" borderId="0" xfId="0" applyFont="1" applyBorder="1" applyAlignment="1">
      <alignment horizontal="center"/>
    </xf>
    <xf numFmtId="0" fontId="32" fillId="0" borderId="0" xfId="0" applyFont="1" applyBorder="1" applyAlignment="1">
      <alignment horizontal="left"/>
    </xf>
    <xf numFmtId="0" fontId="26" fillId="0" borderId="1" xfId="0" applyFont="1" applyFill="1" applyBorder="1" applyAlignment="1">
      <alignment horizontal="center"/>
    </xf>
    <xf numFmtId="0" fontId="26" fillId="0" borderId="8" xfId="0" applyFont="1" applyBorder="1" applyAlignment="1">
      <alignment horizontal="center"/>
    </xf>
    <xf numFmtId="0" fontId="26" fillId="0" borderId="8" xfId="0" applyFont="1" applyFill="1" applyBorder="1" applyAlignment="1">
      <alignment horizontal="center"/>
    </xf>
    <xf numFmtId="0" fontId="26" fillId="0" borderId="5" xfId="0" applyFont="1" applyBorder="1"/>
    <xf numFmtId="0" fontId="0" fillId="5" borderId="7" xfId="0" applyFill="1" applyBorder="1"/>
    <xf numFmtId="0" fontId="26" fillId="0" borderId="6" xfId="0" applyFont="1" applyBorder="1"/>
    <xf numFmtId="0" fontId="6" fillId="0" borderId="1" xfId="0" applyFont="1" applyBorder="1" applyAlignment="1">
      <alignment horizontal="center"/>
    </xf>
    <xf numFmtId="40" fontId="2" fillId="0" borderId="0" xfId="0" applyNumberFormat="1" applyFont="1" applyAlignment="1"/>
    <xf numFmtId="0" fontId="26" fillId="0" borderId="0" xfId="1" applyNumberFormat="1" applyFont="1" applyBorder="1" applyAlignment="1">
      <alignment horizontal="left"/>
    </xf>
    <xf numFmtId="165" fontId="1" fillId="0" borderId="0" xfId="0" applyNumberFormat="1" applyFont="1" applyBorder="1" applyAlignment="1">
      <alignment horizontal="center"/>
    </xf>
    <xf numFmtId="0" fontId="0" fillId="0" borderId="1" xfId="0" applyBorder="1"/>
    <xf numFmtId="1" fontId="0" fillId="0" borderId="0" xfId="0" applyNumberFormat="1" applyBorder="1"/>
    <xf numFmtId="176" fontId="1" fillId="11" borderId="0" xfId="0" applyNumberFormat="1" applyFont="1" applyFill="1" applyAlignment="1">
      <alignment horizontal="center"/>
    </xf>
    <xf numFmtId="166" fontId="4" fillId="11" borderId="0" xfId="0" applyNumberFormat="1" applyFont="1" applyFill="1" applyBorder="1" applyAlignment="1">
      <alignment horizontal="center"/>
    </xf>
    <xf numFmtId="165" fontId="1" fillId="0" borderId="0" xfId="0" applyNumberFormat="1" applyFont="1" applyFill="1" applyBorder="1" applyAlignment="1">
      <alignment horizontal="center"/>
    </xf>
    <xf numFmtId="0" fontId="33" fillId="0" borderId="0" xfId="0" applyFont="1"/>
    <xf numFmtId="175" fontId="4" fillId="0" borderId="0" xfId="0" applyNumberFormat="1" applyFont="1" applyFill="1" applyBorder="1" applyAlignment="1">
      <alignment horizontal="center"/>
    </xf>
    <xf numFmtId="0" fontId="12" fillId="0" borderId="0" xfId="0" applyFont="1"/>
    <xf numFmtId="0" fontId="30" fillId="0" borderId="0" xfId="0" applyFont="1"/>
    <xf numFmtId="165" fontId="1" fillId="0" borderId="0" xfId="0" applyNumberFormat="1" applyFont="1"/>
    <xf numFmtId="39" fontId="0" fillId="0" borderId="0" xfId="4" applyNumberFormat="1" applyFont="1"/>
    <xf numFmtId="0" fontId="35" fillId="0" borderId="0" xfId="0" applyFont="1" applyAlignment="1">
      <alignment horizontal="right"/>
    </xf>
    <xf numFmtId="0" fontId="2" fillId="0" borderId="0" xfId="0" applyFont="1" applyAlignment="1">
      <alignment horizontal="center"/>
    </xf>
    <xf numFmtId="0" fontId="6" fillId="0" borderId="0" xfId="0" applyFont="1" applyFill="1" applyBorder="1" applyAlignment="1">
      <alignment horizontal="center"/>
    </xf>
    <xf numFmtId="0" fontId="36" fillId="0" borderId="0" xfId="0" applyFont="1"/>
    <xf numFmtId="0" fontId="26" fillId="11" borderId="0" xfId="0" applyFont="1" applyFill="1" applyAlignment="1">
      <alignment horizontal="center"/>
    </xf>
    <xf numFmtId="0" fontId="26" fillId="12" borderId="0" xfId="0" applyFont="1" applyFill="1" applyAlignment="1">
      <alignment horizontal="center"/>
    </xf>
    <xf numFmtId="0" fontId="26" fillId="13" borderId="0" xfId="0" applyFont="1" applyFill="1" applyAlignment="1">
      <alignment horizontal="center"/>
    </xf>
    <xf numFmtId="0" fontId="28" fillId="0" borderId="0" xfId="0" applyFont="1" applyFill="1" applyBorder="1"/>
    <xf numFmtId="0" fontId="28" fillId="0" borderId="0" xfId="0" applyFont="1" applyFill="1" applyAlignment="1">
      <alignment horizontal="left"/>
    </xf>
    <xf numFmtId="170" fontId="1" fillId="11" borderId="0" xfId="1" applyNumberFormat="1" applyFont="1" applyFill="1" applyBorder="1" applyAlignment="1">
      <alignment horizontal="right"/>
    </xf>
    <xf numFmtId="166" fontId="28" fillId="0" borderId="0" xfId="0" applyNumberFormat="1" applyFont="1" applyFill="1" applyAlignment="1">
      <alignment horizontal="left"/>
    </xf>
    <xf numFmtId="1" fontId="0" fillId="11" borderId="0" xfId="0" applyNumberFormat="1" applyFill="1" applyAlignment="1">
      <alignment horizontal="center"/>
    </xf>
    <xf numFmtId="2" fontId="1" fillId="0" borderId="0" xfId="0" applyNumberFormat="1" applyFont="1" applyFill="1" applyAlignment="1">
      <alignment horizontal="right"/>
    </xf>
    <xf numFmtId="2" fontId="1" fillId="0" borderId="0" xfId="0" applyNumberFormat="1" applyFont="1" applyFill="1" applyAlignment="1"/>
    <xf numFmtId="165" fontId="1" fillId="0" borderId="0" xfId="0" quotePrefix="1" applyNumberFormat="1" applyFont="1" applyFill="1" applyAlignment="1">
      <alignment horizontal="center"/>
    </xf>
    <xf numFmtId="165" fontId="0" fillId="11" borderId="0" xfId="0" applyNumberFormat="1" applyFill="1" applyAlignment="1">
      <alignment horizontal="center"/>
    </xf>
    <xf numFmtId="175" fontId="1" fillId="0" borderId="0" xfId="0" applyNumberFormat="1" applyFont="1" applyBorder="1" applyAlignment="1">
      <alignment horizontal="center"/>
    </xf>
    <xf numFmtId="165" fontId="1" fillId="11" borderId="0" xfId="0" applyNumberFormat="1" applyFont="1" applyFill="1" applyBorder="1" applyAlignment="1">
      <alignment horizontal="center"/>
    </xf>
    <xf numFmtId="164" fontId="0" fillId="11" borderId="0" xfId="0" applyNumberFormat="1" applyFill="1" applyAlignment="1">
      <alignment horizontal="center"/>
    </xf>
    <xf numFmtId="169" fontId="1" fillId="11" borderId="0" xfId="1" applyNumberFormat="1" applyFont="1" applyFill="1" applyBorder="1" applyAlignment="1">
      <alignment horizontal="right"/>
    </xf>
    <xf numFmtId="170" fontId="0" fillId="11" borderId="0" xfId="1" applyNumberFormat="1" applyFont="1" applyFill="1" applyAlignment="1">
      <alignment horizontal="center"/>
    </xf>
    <xf numFmtId="2" fontId="4" fillId="0" borderId="0" xfId="0" applyNumberFormat="1" applyFont="1" applyAlignment="1">
      <alignment horizontal="center"/>
    </xf>
    <xf numFmtId="1" fontId="1" fillId="10" borderId="0" xfId="0" applyNumberFormat="1" applyFont="1" applyFill="1" applyAlignment="1">
      <alignment horizontal="center"/>
    </xf>
    <xf numFmtId="166" fontId="1" fillId="0" borderId="0" xfId="1" applyNumberFormat="1" applyFont="1" applyFill="1" applyBorder="1" applyAlignment="1">
      <alignment horizontal="right"/>
    </xf>
    <xf numFmtId="0" fontId="6" fillId="0" borderId="0" xfId="0" applyFont="1"/>
    <xf numFmtId="0" fontId="1" fillId="0" borderId="0" xfId="0" applyFont="1"/>
    <xf numFmtId="0" fontId="1" fillId="0" borderId="0" xfId="0" applyFont="1" applyAlignment="1">
      <alignment horizontal="left"/>
    </xf>
    <xf numFmtId="170" fontId="1" fillId="0" borderId="0" xfId="0" applyNumberFormat="1" applyFont="1"/>
    <xf numFmtId="170" fontId="6" fillId="0" borderId="0" xfId="0" applyNumberFormat="1" applyFont="1" applyAlignment="1">
      <alignment horizontal="center"/>
    </xf>
    <xf numFmtId="4" fontId="1" fillId="0" borderId="0" xfId="0" applyNumberFormat="1" applyFont="1" applyFill="1" applyAlignment="1">
      <alignment horizontal="center"/>
    </xf>
    <xf numFmtId="3" fontId="1" fillId="0" borderId="0" xfId="0" applyNumberFormat="1" applyFont="1" applyAlignment="1">
      <alignment horizontal="center"/>
    </xf>
    <xf numFmtId="0" fontId="0" fillId="0" borderId="0" xfId="0" applyFont="1" applyFill="1" applyBorder="1" applyAlignment="1">
      <alignment horizontal="center"/>
    </xf>
    <xf numFmtId="43" fontId="0" fillId="0" borderId="0" xfId="1" applyFont="1" applyFill="1" applyBorder="1" applyAlignment="1">
      <alignment horizontal="center"/>
    </xf>
    <xf numFmtId="43" fontId="0" fillId="0" borderId="0" xfId="0" applyNumberFormat="1" applyFont="1" applyFill="1" applyBorder="1"/>
    <xf numFmtId="43" fontId="0" fillId="0" borderId="0" xfId="1" applyFont="1" applyFill="1" applyBorder="1"/>
    <xf numFmtId="43" fontId="1" fillId="0" borderId="0" xfId="1" applyFont="1" applyFill="1" applyBorder="1" applyAlignment="1">
      <alignment horizontal="left"/>
    </xf>
    <xf numFmtId="43" fontId="1" fillId="0" borderId="0" xfId="0" applyNumberFormat="1" applyFont="1" applyFill="1" applyBorder="1" applyAlignment="1">
      <alignment horizontal="left"/>
    </xf>
    <xf numFmtId="172" fontId="1" fillId="0" borderId="0" xfId="0" applyNumberFormat="1" applyFont="1" applyFill="1" applyBorder="1" applyAlignment="1">
      <alignment horizontal="left"/>
    </xf>
    <xf numFmtId="173" fontId="1" fillId="0" borderId="0" xfId="0" applyNumberFormat="1" applyFont="1" applyFill="1" applyBorder="1" applyAlignment="1">
      <alignment horizontal="left"/>
    </xf>
    <xf numFmtId="169" fontId="1" fillId="0" borderId="0" xfId="0" applyNumberFormat="1" applyFont="1" applyFill="1" applyBorder="1" applyAlignment="1">
      <alignment horizontal="left"/>
    </xf>
    <xf numFmtId="166" fontId="0" fillId="0" borderId="0" xfId="0" applyNumberFormat="1" applyFont="1" applyFill="1" applyBorder="1" applyAlignment="1">
      <alignment horizontal="center"/>
    </xf>
    <xf numFmtId="166" fontId="1" fillId="0" borderId="0" xfId="0" applyNumberFormat="1" applyFont="1" applyFill="1" applyBorder="1" applyAlignment="1">
      <alignment horizontal="center"/>
    </xf>
    <xf numFmtId="2" fontId="0" fillId="0" borderId="0" xfId="0" applyNumberFormat="1" applyFont="1" applyFill="1" applyBorder="1" applyAlignment="1">
      <alignment horizontal="center"/>
    </xf>
    <xf numFmtId="165" fontId="0" fillId="0" borderId="0" xfId="0" applyNumberFormat="1" applyFont="1" applyFill="1" applyBorder="1" applyAlignment="1">
      <alignment horizontal="center"/>
    </xf>
    <xf numFmtId="0" fontId="0" fillId="0" borderId="0" xfId="0" applyFont="1" applyFill="1" applyBorder="1"/>
    <xf numFmtId="1" fontId="0" fillId="0" borderId="0" xfId="0" applyNumberFormat="1" applyFont="1" applyFill="1" applyBorder="1" applyAlignment="1">
      <alignment horizontal="center"/>
    </xf>
    <xf numFmtId="166" fontId="6" fillId="0" borderId="0" xfId="0" applyNumberFormat="1" applyFont="1" applyFill="1" applyBorder="1" applyAlignment="1">
      <alignment horizontal="center"/>
    </xf>
    <xf numFmtId="0" fontId="28" fillId="0" borderId="0" xfId="0" applyFont="1" applyFill="1" applyBorder="1" applyAlignment="1">
      <alignment horizontal="center"/>
    </xf>
    <xf numFmtId="176" fontId="1" fillId="0" borderId="0" xfId="0" applyNumberFormat="1" applyFont="1" applyFill="1" applyBorder="1" applyAlignment="1">
      <alignment horizontal="center"/>
    </xf>
    <xf numFmtId="166" fontId="1" fillId="0" borderId="0" xfId="1" applyNumberFormat="1" applyFont="1" applyFill="1" applyBorder="1" applyAlignment="1">
      <alignment horizontal="center"/>
    </xf>
    <xf numFmtId="175" fontId="1" fillId="0" borderId="0" xfId="0" applyNumberFormat="1" applyFont="1" applyFill="1" applyBorder="1" applyAlignment="1">
      <alignment horizontal="center"/>
    </xf>
    <xf numFmtId="1" fontId="0" fillId="0" borderId="0" xfId="1" applyNumberFormat="1" applyFont="1" applyFill="1" applyBorder="1" applyAlignment="1">
      <alignment horizontal="center"/>
    </xf>
    <xf numFmtId="1" fontId="6" fillId="0" borderId="0" xfId="0" applyNumberFormat="1" applyFont="1" applyFill="1" applyBorder="1" applyAlignment="1">
      <alignment horizontal="center"/>
    </xf>
    <xf numFmtId="3" fontId="0" fillId="0" borderId="0" xfId="0" applyNumberFormat="1" applyFont="1" applyFill="1" applyBorder="1" applyAlignment="1">
      <alignment horizontal="center"/>
    </xf>
    <xf numFmtId="177" fontId="0" fillId="0" borderId="0" xfId="0" applyNumberFormat="1" applyFont="1" applyFill="1" applyBorder="1" applyAlignment="1">
      <alignment horizontal="center"/>
    </xf>
    <xf numFmtId="178" fontId="0" fillId="0" borderId="0" xfId="0" applyNumberFormat="1" applyFont="1" applyFill="1" applyBorder="1" applyAlignment="1">
      <alignment horizontal="center"/>
    </xf>
    <xf numFmtId="4" fontId="1" fillId="0" borderId="0" xfId="0" applyNumberFormat="1" applyFont="1" applyFill="1" applyBorder="1" applyAlignment="1">
      <alignment horizontal="center"/>
    </xf>
    <xf numFmtId="3" fontId="1" fillId="0" borderId="0" xfId="0" applyNumberFormat="1" applyFont="1" applyFill="1" applyBorder="1" applyAlignment="1">
      <alignment horizontal="center"/>
    </xf>
    <xf numFmtId="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2" fontId="28" fillId="0" borderId="0" xfId="0" applyNumberFormat="1" applyFont="1" applyFill="1" applyBorder="1" applyAlignment="1">
      <alignment horizontal="center"/>
    </xf>
    <xf numFmtId="165" fontId="28"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167" fontId="1" fillId="0" borderId="0" xfId="0" applyNumberFormat="1" applyFont="1" applyFill="1" applyBorder="1" applyAlignment="1">
      <alignment horizontal="center"/>
    </xf>
    <xf numFmtId="170" fontId="1" fillId="0" borderId="0" xfId="1" applyNumberFormat="1" applyFont="1" applyFill="1" applyBorder="1" applyAlignment="1">
      <alignment horizontal="right"/>
    </xf>
    <xf numFmtId="169" fontId="1" fillId="0" borderId="0" xfId="1" applyNumberFormat="1" applyFont="1" applyFill="1" applyBorder="1" applyAlignment="1">
      <alignment horizontal="right"/>
    </xf>
    <xf numFmtId="170" fontId="0" fillId="0" borderId="0" xfId="1" applyNumberFormat="1" applyFont="1" applyFill="1" applyBorder="1" applyAlignment="1">
      <alignment horizontal="center"/>
    </xf>
    <xf numFmtId="170" fontId="6" fillId="0" borderId="0" xfId="1" applyNumberFormat="1" applyFont="1" applyFill="1" applyBorder="1" applyAlignment="1">
      <alignment horizontal="right"/>
    </xf>
    <xf numFmtId="164" fontId="0" fillId="0" borderId="0" xfId="0" applyNumberFormat="1" applyFont="1" applyFill="1" applyBorder="1" applyAlignment="1">
      <alignment horizontal="center"/>
    </xf>
    <xf numFmtId="165" fontId="37" fillId="0" borderId="0" xfId="0" applyNumberFormat="1" applyFont="1" applyFill="1" applyBorder="1" applyAlignment="1">
      <alignment horizontal="center"/>
    </xf>
    <xf numFmtId="0" fontId="0" fillId="0" borderId="0" xfId="0" applyFill="1" applyBorder="1" applyAlignment="1">
      <alignment horizontal="center"/>
    </xf>
    <xf numFmtId="165" fontId="30" fillId="0" borderId="0" xfId="0" applyNumberFormat="1" applyFont="1" applyFill="1" applyBorder="1" applyAlignment="1">
      <alignment horizontal="left"/>
    </xf>
    <xf numFmtId="170" fontId="30" fillId="0" borderId="0" xfId="1" applyNumberFormat="1" applyFont="1" applyFill="1" applyBorder="1" applyAlignment="1">
      <alignment horizontal="left"/>
    </xf>
    <xf numFmtId="1" fontId="28" fillId="0" borderId="0" xfId="0" applyNumberFormat="1" applyFont="1" applyFill="1" applyBorder="1" applyAlignment="1">
      <alignment horizontal="left"/>
    </xf>
    <xf numFmtId="165" fontId="16" fillId="0" borderId="0" xfId="0" applyNumberFormat="1" applyFont="1" applyFill="1" applyAlignment="1">
      <alignment horizontal="center"/>
    </xf>
    <xf numFmtId="2" fontId="1" fillId="0" borderId="0" xfId="0" quotePrefix="1" applyNumberFormat="1" applyFont="1" applyFill="1" applyAlignment="1">
      <alignment horizontal="center"/>
    </xf>
    <xf numFmtId="2" fontId="0" fillId="0" borderId="0" xfId="0" applyNumberFormat="1" applyAlignment="1">
      <alignment horizontal="center" vertical="center"/>
    </xf>
    <xf numFmtId="0" fontId="6" fillId="0" borderId="1" xfId="0" applyFont="1" applyBorder="1" applyAlignment="1">
      <alignment horizontal="center"/>
    </xf>
    <xf numFmtId="2" fontId="28" fillId="0" borderId="0" xfId="0" applyNumberFormat="1" applyFont="1" applyFill="1" applyBorder="1" applyAlignment="1">
      <alignment horizontal="left"/>
    </xf>
    <xf numFmtId="2" fontId="28" fillId="0" borderId="0" xfId="0" applyNumberFormat="1" applyFont="1" applyAlignment="1">
      <alignment horizontal="left"/>
    </xf>
    <xf numFmtId="1" fontId="30" fillId="0" borderId="0" xfId="0" applyNumberFormat="1" applyFont="1" applyFill="1" applyAlignment="1">
      <alignment horizontal="center"/>
    </xf>
    <xf numFmtId="1" fontId="30" fillId="0" borderId="0" xfId="0" applyNumberFormat="1" applyFont="1" applyFill="1" applyBorder="1" applyAlignment="1">
      <alignment horizontal="center"/>
    </xf>
    <xf numFmtId="166" fontId="1" fillId="0" borderId="0" xfId="3" applyNumberFormat="1" applyFont="1" applyFill="1" applyBorder="1" applyAlignment="1">
      <alignment horizontal="center"/>
    </xf>
    <xf numFmtId="165" fontId="1" fillId="0" borderId="0" xfId="3" applyNumberFormat="1" applyFont="1" applyFill="1" applyBorder="1" applyAlignment="1">
      <alignment horizontal="center"/>
    </xf>
    <xf numFmtId="167" fontId="38" fillId="0" borderId="0" xfId="0" applyNumberFormat="1" applyFont="1" applyFill="1" applyBorder="1" applyAlignment="1">
      <alignment horizontal="center"/>
    </xf>
    <xf numFmtId="166" fontId="38" fillId="0" borderId="0" xfId="0" applyNumberFormat="1" applyFont="1" applyFill="1" applyBorder="1" applyAlignment="1">
      <alignment horizontal="center"/>
    </xf>
    <xf numFmtId="166" fontId="28" fillId="0" borderId="0" xfId="0" applyNumberFormat="1" applyFont="1" applyAlignment="1">
      <alignment horizontal="center"/>
    </xf>
    <xf numFmtId="165" fontId="6" fillId="0" borderId="0" xfId="0" applyNumberFormat="1" applyFont="1" applyAlignment="1">
      <alignment horizontal="center"/>
    </xf>
    <xf numFmtId="37" fontId="6" fillId="0" borderId="0" xfId="1" applyNumberFormat="1" applyFont="1" applyAlignment="1">
      <alignment horizontal="center"/>
    </xf>
    <xf numFmtId="170" fontId="0" fillId="10" borderId="0" xfId="1" applyNumberFormat="1" applyFont="1" applyFill="1"/>
    <xf numFmtId="0" fontId="1" fillId="0" borderId="0" xfId="0" applyFont="1" applyBorder="1" applyAlignment="1">
      <alignment horizontal="center"/>
    </xf>
    <xf numFmtId="165" fontId="0" fillId="0" borderId="0" xfId="0" applyNumberFormat="1" applyBorder="1" applyAlignment="1">
      <alignment horizontal="center"/>
    </xf>
    <xf numFmtId="1" fontId="0" fillId="0" borderId="0" xfId="0" applyNumberFormat="1" applyBorder="1" applyAlignment="1">
      <alignment horizontal="center"/>
    </xf>
    <xf numFmtId="0" fontId="6" fillId="0" borderId="0" xfId="0" applyFont="1" applyFill="1" applyBorder="1" applyAlignment="1">
      <alignment horizontal="center"/>
    </xf>
    <xf numFmtId="0" fontId="6" fillId="0" borderId="0" xfId="0" applyFont="1" applyFill="1" applyBorder="1" applyAlignment="1">
      <alignment horizontal="right"/>
    </xf>
    <xf numFmtId="165" fontId="0" fillId="0" borderId="0" xfId="0" applyNumberFormat="1" applyFill="1" applyBorder="1" applyAlignment="1">
      <alignment horizontal="center"/>
    </xf>
    <xf numFmtId="3" fontId="0" fillId="0" borderId="0" xfId="0" applyNumberFormat="1" applyFill="1" applyBorder="1" applyAlignment="1">
      <alignment horizontal="center"/>
    </xf>
    <xf numFmtId="170" fontId="0" fillId="0" borderId="0" xfId="1" applyNumberFormat="1" applyFont="1" applyFill="1"/>
    <xf numFmtId="1" fontId="1" fillId="0" borderId="0" xfId="0" applyNumberFormat="1" applyFont="1" applyFill="1" applyAlignment="1">
      <alignment horizontal="center"/>
    </xf>
    <xf numFmtId="0" fontId="6" fillId="0" borderId="0" xfId="0" applyFont="1" applyFill="1" applyBorder="1" applyAlignment="1">
      <alignment horizontal="center"/>
    </xf>
    <xf numFmtId="0" fontId="12" fillId="0" borderId="0" xfId="0" applyFont="1" applyFill="1" applyBorder="1" applyAlignment="1"/>
    <xf numFmtId="166" fontId="28" fillId="0" borderId="0" xfId="0" applyNumberFormat="1" applyFont="1" applyFill="1" applyBorder="1" applyAlignment="1">
      <alignment horizontal="center"/>
    </xf>
    <xf numFmtId="165" fontId="6" fillId="0" borderId="0" xfId="0" applyNumberFormat="1" applyFont="1" applyFill="1" applyBorder="1" applyAlignment="1">
      <alignment horizontal="center"/>
    </xf>
    <xf numFmtId="37" fontId="6" fillId="0" borderId="0" xfId="1" applyNumberFormat="1" applyFont="1" applyFill="1" applyBorder="1" applyAlignment="1">
      <alignment horizontal="center"/>
    </xf>
    <xf numFmtId="0" fontId="26" fillId="0" borderId="0" xfId="0" applyFont="1" applyFill="1" applyBorder="1" applyAlignment="1"/>
    <xf numFmtId="0" fontId="2" fillId="0" borderId="0" xfId="0" applyFont="1" applyBorder="1" applyAlignment="1">
      <alignment horizontal="left"/>
    </xf>
    <xf numFmtId="0" fontId="2" fillId="0" borderId="0" xfId="0" applyFont="1" applyBorder="1" applyAlignment="1">
      <alignment horizontal="center"/>
    </xf>
    <xf numFmtId="1" fontId="4" fillId="0" borderId="0" xfId="2" applyNumberFormat="1" applyFont="1" applyFill="1" applyBorder="1" applyAlignment="1">
      <alignment horizontal="center"/>
    </xf>
    <xf numFmtId="170" fontId="1" fillId="11" borderId="0" xfId="0" applyNumberFormat="1" applyFont="1" applyFill="1" applyBorder="1" applyAlignment="1">
      <alignment horizontal="left"/>
    </xf>
    <xf numFmtId="0" fontId="6" fillId="0" borderId="9" xfId="0" applyFont="1" applyBorder="1"/>
    <xf numFmtId="0" fontId="0" fillId="11" borderId="10" xfId="0" applyFill="1" applyBorder="1"/>
    <xf numFmtId="170" fontId="1" fillId="0" borderId="0" xfId="1" applyNumberFormat="1" applyFont="1" applyBorder="1" applyAlignment="1">
      <alignment horizontal="center"/>
    </xf>
    <xf numFmtId="43" fontId="1" fillId="0" borderId="0" xfId="1" applyFont="1" applyBorder="1" applyAlignment="1">
      <alignment horizontal="center"/>
    </xf>
    <xf numFmtId="37" fontId="1" fillId="11" borderId="0" xfId="0" applyNumberFormat="1" applyFont="1" applyFill="1" applyAlignment="1">
      <alignment horizontal="right"/>
    </xf>
    <xf numFmtId="37" fontId="1" fillId="0" borderId="0" xfId="0" applyNumberFormat="1" applyFont="1" applyFill="1" applyAlignment="1">
      <alignment horizontal="right"/>
    </xf>
    <xf numFmtId="0" fontId="1" fillId="0" borderId="0" xfId="0" applyFont="1" applyBorder="1" applyAlignment="1">
      <alignment horizontal="center"/>
    </xf>
    <xf numFmtId="0" fontId="6" fillId="0" borderId="0" xfId="0" applyFont="1" applyAlignment="1">
      <alignment horizontal="center"/>
    </xf>
    <xf numFmtId="0" fontId="6" fillId="0" borderId="1" xfId="0" applyFont="1" applyBorder="1" applyAlignment="1">
      <alignment horizontal="center"/>
    </xf>
    <xf numFmtId="0" fontId="6" fillId="0" borderId="0" xfId="0" applyFont="1" applyFill="1" applyBorder="1" applyAlignment="1">
      <alignment horizontal="center"/>
    </xf>
    <xf numFmtId="43" fontId="0" fillId="11" borderId="0" xfId="1" applyFont="1" applyFill="1" applyAlignment="1">
      <alignment horizontal="center"/>
    </xf>
    <xf numFmtId="43" fontId="1" fillId="11" borderId="0" xfId="1" applyFont="1" applyFill="1" applyBorder="1" applyAlignment="1">
      <alignment horizontal="left"/>
    </xf>
    <xf numFmtId="166" fontId="0" fillId="11" borderId="0" xfId="0" applyNumberFormat="1" applyFill="1" applyAlignment="1">
      <alignment horizontal="center"/>
    </xf>
    <xf numFmtId="2" fontId="0" fillId="11" borderId="0" xfId="0" applyNumberFormat="1" applyFill="1" applyAlignment="1">
      <alignment horizontal="center"/>
    </xf>
    <xf numFmtId="38" fontId="1" fillId="0" borderId="0" xfId="1" applyNumberFormat="1" applyFont="1" applyBorder="1" applyAlignment="1">
      <alignment horizontal="right"/>
    </xf>
    <xf numFmtId="174" fontId="1" fillId="0" borderId="0" xfId="1" applyNumberFormat="1" applyFont="1"/>
    <xf numFmtId="171" fontId="1" fillId="0" borderId="0" xfId="1" applyNumberFormat="1" applyFont="1"/>
    <xf numFmtId="38" fontId="1" fillId="0" borderId="0" xfId="1" applyNumberFormat="1" applyFont="1" applyAlignment="1">
      <alignment horizontal="right"/>
    </xf>
    <xf numFmtId="38" fontId="1" fillId="0" borderId="0" xfId="1" applyNumberFormat="1" applyFont="1" applyAlignment="1">
      <alignment horizontal="center"/>
    </xf>
    <xf numFmtId="2" fontId="1" fillId="0" borderId="0" xfId="0" applyNumberFormat="1" applyFont="1" applyAlignment="1"/>
    <xf numFmtId="40" fontId="1" fillId="0" borderId="0" xfId="1" applyNumberFormat="1" applyFont="1" applyAlignment="1">
      <alignment horizontal="right"/>
    </xf>
    <xf numFmtId="40" fontId="1" fillId="0" borderId="0" xfId="1" applyNumberFormat="1" applyFont="1" applyAlignment="1">
      <alignment horizontal="center"/>
    </xf>
    <xf numFmtId="43" fontId="1" fillId="0" borderId="0" xfId="1" applyFont="1" applyAlignment="1">
      <alignment horizontal="center"/>
    </xf>
    <xf numFmtId="43" fontId="1" fillId="0" borderId="1" xfId="1" applyFont="1" applyBorder="1" applyAlignment="1">
      <alignment horizontal="center"/>
    </xf>
    <xf numFmtId="172" fontId="1" fillId="0" borderId="0" xfId="1" applyNumberFormat="1" applyFont="1" applyAlignment="1">
      <alignment horizontal="right"/>
    </xf>
    <xf numFmtId="174" fontId="1" fillId="0" borderId="0" xfId="1" applyNumberFormat="1" applyFont="1" applyAlignment="1">
      <alignment horizontal="right"/>
    </xf>
    <xf numFmtId="169" fontId="1" fillId="0" borderId="0" xfId="1" applyNumberFormat="1" applyFont="1" applyBorder="1" applyAlignment="1">
      <alignment horizontal="center"/>
    </xf>
    <xf numFmtId="172" fontId="1" fillId="0" borderId="0" xfId="1" applyNumberFormat="1" applyFont="1" applyBorder="1" applyAlignment="1">
      <alignment horizontal="center"/>
    </xf>
    <xf numFmtId="180" fontId="1" fillId="0" borderId="0" xfId="1" applyNumberFormat="1" applyFont="1" applyAlignment="1">
      <alignment horizontal="right"/>
    </xf>
    <xf numFmtId="173" fontId="1" fillId="0" borderId="0" xfId="1" applyNumberFormat="1" applyFont="1" applyBorder="1" applyAlignment="1">
      <alignment horizontal="center"/>
    </xf>
    <xf numFmtId="172" fontId="1" fillId="0" borderId="0" xfId="0" applyNumberFormat="1" applyFont="1"/>
    <xf numFmtId="170" fontId="1" fillId="0" borderId="0" xfId="1" applyNumberFormat="1" applyFont="1" applyAlignment="1">
      <alignment horizontal="center"/>
    </xf>
    <xf numFmtId="172" fontId="1" fillId="0" borderId="0" xfId="1" applyNumberFormat="1" applyFont="1" applyAlignment="1">
      <alignment horizontal="center"/>
    </xf>
    <xf numFmtId="43" fontId="1" fillId="0" borderId="0" xfId="1" applyNumberFormat="1" applyFont="1" applyBorder="1" applyAlignment="1">
      <alignment horizontal="center"/>
    </xf>
    <xf numFmtId="0" fontId="2" fillId="0" borderId="0" xfId="0" applyFont="1" applyFill="1" applyBorder="1" applyAlignment="1">
      <alignment horizontal="center"/>
    </xf>
    <xf numFmtId="0" fontId="20" fillId="0" borderId="0" xfId="0" applyFont="1" applyFill="1" applyBorder="1" applyAlignment="1">
      <alignment horizontal="center"/>
    </xf>
    <xf numFmtId="0" fontId="19" fillId="0" borderId="0" xfId="0" applyFont="1" applyFill="1" applyBorder="1" applyAlignment="1">
      <alignment horizontal="center"/>
    </xf>
    <xf numFmtId="0" fontId="10" fillId="0" borderId="0" xfId="0" applyFont="1" applyFill="1" applyBorder="1" applyAlignment="1">
      <alignment horizontal="right"/>
    </xf>
    <xf numFmtId="1" fontId="19" fillId="0" borderId="0" xfId="2" applyNumberFormat="1" applyFont="1" applyFill="1" applyBorder="1" applyAlignment="1">
      <alignment horizontal="center"/>
    </xf>
    <xf numFmtId="0" fontId="19" fillId="0" borderId="0" xfId="2" applyNumberFormat="1" applyFont="1" applyFill="1" applyBorder="1" applyAlignment="1">
      <alignment horizontal="center"/>
    </xf>
    <xf numFmtId="1" fontId="19" fillId="0" borderId="0" xfId="0" applyNumberFormat="1" applyFont="1" applyFill="1" applyBorder="1" applyAlignment="1">
      <alignment horizontal="center"/>
    </xf>
    <xf numFmtId="2" fontId="19" fillId="0" borderId="0" xfId="2" applyNumberFormat="1" applyFont="1" applyFill="1" applyBorder="1" applyAlignment="1">
      <alignment horizontal="center"/>
    </xf>
    <xf numFmtId="0" fontId="1" fillId="0" borderId="0" xfId="0" applyFont="1" applyBorder="1" applyAlignment="1">
      <alignment horizontal="center"/>
    </xf>
    <xf numFmtId="0" fontId="6" fillId="0" borderId="0" xfId="0" applyFont="1" applyAlignment="1">
      <alignment horizontal="center"/>
    </xf>
    <xf numFmtId="0" fontId="1" fillId="0" borderId="0" xfId="0" applyFont="1" applyAlignment="1">
      <alignment horizontal="center"/>
    </xf>
    <xf numFmtId="0" fontId="6" fillId="0" borderId="0" xfId="0" applyFont="1" applyAlignment="1"/>
    <xf numFmtId="0" fontId="1" fillId="0" borderId="0" xfId="0" applyFont="1" applyAlignment="1">
      <alignment horizontal="center"/>
    </xf>
    <xf numFmtId="2" fontId="30" fillId="0" borderId="0" xfId="0" applyNumberFormat="1" applyFont="1" applyFill="1" applyAlignment="1">
      <alignment horizontal="center"/>
    </xf>
    <xf numFmtId="0" fontId="30" fillId="0" borderId="0" xfId="0" applyFont="1" applyAlignment="1">
      <alignment horizontal="center"/>
    </xf>
    <xf numFmtId="170" fontId="30" fillId="0" borderId="0" xfId="0" applyNumberFormat="1" applyFont="1"/>
    <xf numFmtId="165" fontId="30" fillId="0" borderId="0" xfId="0" applyNumberFormat="1" applyFont="1"/>
    <xf numFmtId="165" fontId="30" fillId="0" borderId="0" xfId="0" applyNumberFormat="1" applyFont="1" applyFill="1" applyAlignment="1">
      <alignment horizontal="center"/>
    </xf>
    <xf numFmtId="2" fontId="28" fillId="0" borderId="0" xfId="0" applyNumberFormat="1" applyFont="1"/>
    <xf numFmtId="1" fontId="28" fillId="0" borderId="0" xfId="0" applyNumberFormat="1" applyFont="1" applyAlignment="1">
      <alignment horizontal="left"/>
    </xf>
    <xf numFmtId="170" fontId="1" fillId="0" borderId="0" xfId="1" applyNumberFormat="1" applyFont="1" applyFill="1" applyBorder="1" applyAlignment="1">
      <alignment horizontal="center"/>
    </xf>
    <xf numFmtId="169" fontId="1" fillId="0" borderId="0" xfId="1" applyNumberFormat="1" applyFont="1" applyFill="1" applyBorder="1" applyAlignment="1">
      <alignment horizontal="center"/>
    </xf>
    <xf numFmtId="181" fontId="0" fillId="0" borderId="0" xfId="0" applyNumberFormat="1"/>
    <xf numFmtId="2" fontId="30" fillId="0" borderId="0" xfId="0" applyNumberFormat="1" applyFont="1" applyFill="1" applyAlignment="1"/>
    <xf numFmtId="0" fontId="35" fillId="0" borderId="0" xfId="0" applyFont="1" applyAlignment="1">
      <alignment horizontal="center"/>
    </xf>
    <xf numFmtId="166" fontId="30" fillId="0" borderId="0" xfId="0" applyNumberFormat="1" applyFont="1" applyFill="1" applyAlignment="1">
      <alignment horizontal="center"/>
    </xf>
    <xf numFmtId="0" fontId="2" fillId="0" borderId="3" xfId="0" applyFont="1" applyBorder="1" applyAlignment="1">
      <alignment horizontal="center" vertical="center"/>
    </xf>
    <xf numFmtId="0" fontId="20" fillId="0" borderId="3" xfId="0" applyFont="1" applyBorder="1" applyAlignment="1">
      <alignment horizontal="center" vertical="center"/>
    </xf>
    <xf numFmtId="165" fontId="30" fillId="0" borderId="0" xfId="0" applyNumberFormat="1" applyFont="1" applyAlignment="1">
      <alignment horizontal="center"/>
    </xf>
    <xf numFmtId="0" fontId="0" fillId="0" borderId="0" xfId="0" applyAlignment="1">
      <alignment horizontal="left"/>
    </xf>
    <xf numFmtId="0" fontId="6" fillId="0" borderId="0" xfId="0" applyFont="1" applyAlignment="1">
      <alignment horizontal="right"/>
    </xf>
    <xf numFmtId="0" fontId="39" fillId="0" borderId="0" xfId="0" applyFont="1" applyBorder="1" applyAlignment="1">
      <alignment horizontal="center"/>
    </xf>
    <xf numFmtId="0" fontId="39" fillId="0" borderId="0" xfId="0" applyFont="1" applyBorder="1" applyAlignment="1"/>
    <xf numFmtId="165" fontId="38" fillId="0" borderId="0" xfId="0" applyNumberFormat="1" applyFont="1" applyBorder="1" applyAlignment="1">
      <alignment horizontal="center"/>
    </xf>
    <xf numFmtId="2" fontId="38" fillId="0" borderId="0" xfId="0" applyNumberFormat="1" applyFont="1" applyBorder="1" applyAlignment="1">
      <alignment horizontal="center"/>
    </xf>
    <xf numFmtId="166" fontId="38" fillId="0" borderId="0" xfId="0" applyNumberFormat="1" applyFont="1" applyBorder="1" applyAlignment="1">
      <alignment horizontal="center"/>
    </xf>
    <xf numFmtId="166" fontId="1" fillId="0" borderId="0" xfId="0" applyNumberFormat="1" applyFont="1" applyFill="1" applyAlignment="1">
      <alignment horizontal="center"/>
    </xf>
    <xf numFmtId="2" fontId="30" fillId="0" borderId="0" xfId="0" applyNumberFormat="1" applyFont="1"/>
    <xf numFmtId="166" fontId="28" fillId="0" borderId="0" xfId="0" applyNumberFormat="1" applyFont="1"/>
    <xf numFmtId="0" fontId="12" fillId="0" borderId="0" xfId="0" applyFont="1" applyAlignment="1"/>
    <xf numFmtId="0" fontId="6" fillId="0" borderId="6" xfId="0" applyFont="1" applyBorder="1"/>
    <xf numFmtId="0" fontId="1" fillId="0" borderId="0" xfId="0" applyFont="1" applyBorder="1" applyAlignment="1">
      <alignment horizontal="center"/>
    </xf>
    <xf numFmtId="0" fontId="6" fillId="0" borderId="0" xfId="0" applyFont="1" applyAlignment="1">
      <alignment horizontal="center"/>
    </xf>
    <xf numFmtId="0" fontId="1" fillId="0" borderId="0" xfId="0" applyFont="1" applyAlignment="1">
      <alignment horizontal="center"/>
    </xf>
    <xf numFmtId="2" fontId="2" fillId="0" borderId="0" xfId="0" applyNumberFormat="1" applyFont="1" applyFill="1" applyBorder="1" applyAlignment="1">
      <alignment horizontal="center"/>
    </xf>
    <xf numFmtId="0" fontId="6" fillId="0" borderId="1" xfId="0" applyFont="1" applyBorder="1" applyAlignment="1">
      <alignment horizontal="center"/>
    </xf>
    <xf numFmtId="0" fontId="6" fillId="0" borderId="0" xfId="0" applyFont="1" applyAlignment="1">
      <alignment horizontal="center"/>
    </xf>
    <xf numFmtId="0" fontId="2" fillId="0" borderId="11" xfId="0" applyFont="1" applyBorder="1" applyAlignment="1">
      <alignment horizontal="left"/>
    </xf>
    <xf numFmtId="9" fontId="2" fillId="0" borderId="3" xfId="0" applyNumberFormat="1" applyFont="1" applyBorder="1" applyAlignment="1">
      <alignment horizontal="center" vertical="center"/>
    </xf>
    <xf numFmtId="0" fontId="1" fillId="3" borderId="0" xfId="0" applyFont="1" applyFill="1" applyAlignment="1">
      <alignment horizontal="center"/>
    </xf>
    <xf numFmtId="1" fontId="1" fillId="0" borderId="0" xfId="2" applyNumberFormat="1" applyFont="1" applyFill="1" applyAlignment="1">
      <alignment horizontal="center"/>
    </xf>
    <xf numFmtId="1" fontId="1" fillId="0" borderId="0" xfId="2" applyNumberFormat="1" applyFont="1" applyAlignment="1">
      <alignment horizontal="center"/>
    </xf>
    <xf numFmtId="0" fontId="1" fillId="0" borderId="0" xfId="2" applyNumberFormat="1" applyFont="1" applyAlignment="1">
      <alignment horizontal="center"/>
    </xf>
    <xf numFmtId="0" fontId="1" fillId="0" borderId="0" xfId="2" applyNumberFormat="1" applyFont="1" applyBorder="1" applyAlignment="1">
      <alignment horizontal="center"/>
    </xf>
    <xf numFmtId="2" fontId="1" fillId="0" borderId="0" xfId="2" applyNumberFormat="1" applyFont="1" applyBorder="1" applyAlignment="1">
      <alignment horizontal="center"/>
    </xf>
    <xf numFmtId="2" fontId="1" fillId="0" borderId="0" xfId="0" applyNumberFormat="1" applyFont="1" applyFill="1" applyAlignment="1">
      <alignment horizontal="center"/>
    </xf>
    <xf numFmtId="166" fontId="1" fillId="3" borderId="0" xfId="0" applyNumberFormat="1" applyFont="1" applyFill="1" applyAlignment="1">
      <alignment horizontal="center"/>
    </xf>
    <xf numFmtId="3" fontId="1" fillId="0" borderId="0" xfId="0" applyNumberFormat="1" applyFont="1" applyFill="1" applyAlignment="1">
      <alignment horizontal="center"/>
    </xf>
    <xf numFmtId="165" fontId="1" fillId="3" borderId="0" xfId="0" applyNumberFormat="1" applyFont="1" applyFill="1" applyAlignment="1">
      <alignment horizontal="center"/>
    </xf>
    <xf numFmtId="167" fontId="1" fillId="3" borderId="0" xfId="0" applyNumberFormat="1" applyFont="1" applyFill="1" applyAlignment="1">
      <alignment horizontal="center"/>
    </xf>
    <xf numFmtId="167" fontId="1" fillId="0" borderId="0" xfId="0" applyNumberFormat="1" applyFont="1" applyFill="1" applyAlignment="1">
      <alignment horizontal="center"/>
    </xf>
    <xf numFmtId="168" fontId="1" fillId="0" borderId="0" xfId="0" applyNumberFormat="1" applyFont="1" applyFill="1" applyAlignment="1">
      <alignment horizontal="center"/>
    </xf>
    <xf numFmtId="2" fontId="1" fillId="4" borderId="0" xfId="0" applyNumberFormat="1" applyFont="1" applyFill="1" applyAlignment="1">
      <alignment horizontal="center"/>
    </xf>
    <xf numFmtId="2" fontId="1" fillId="0" borderId="0" xfId="1" applyNumberFormat="1" applyFont="1" applyFill="1" applyAlignment="1"/>
    <xf numFmtId="0" fontId="2" fillId="0" borderId="2" xfId="0" applyFont="1" applyBorder="1" applyAlignment="1">
      <alignment horizontal="center"/>
    </xf>
    <xf numFmtId="43" fontId="0" fillId="0" borderId="0" xfId="1" applyFont="1" applyFill="1" applyAlignment="1">
      <alignment horizontal="center"/>
    </xf>
    <xf numFmtId="43" fontId="0" fillId="0" borderId="0" xfId="0" applyNumberFormat="1" applyFill="1"/>
    <xf numFmtId="43" fontId="0" fillId="0" borderId="0" xfId="0" applyNumberFormat="1" applyFill="1" applyBorder="1"/>
    <xf numFmtId="43" fontId="0" fillId="0" borderId="0" xfId="1" applyFont="1" applyFill="1"/>
    <xf numFmtId="170" fontId="0" fillId="0" borderId="0" xfId="1" applyNumberFormat="1" applyFont="1" applyFill="1" applyAlignment="1">
      <alignment horizontal="center"/>
    </xf>
    <xf numFmtId="166" fontId="0" fillId="0" borderId="0" xfId="0" applyNumberFormat="1" applyFill="1" applyBorder="1" applyAlignment="1">
      <alignment horizontal="center"/>
    </xf>
    <xf numFmtId="166" fontId="6" fillId="0" borderId="0" xfId="0" applyNumberFormat="1" applyFont="1" applyFill="1" applyAlignment="1">
      <alignment horizontal="center"/>
    </xf>
    <xf numFmtId="0" fontId="28" fillId="0" borderId="0" xfId="0" applyFont="1" applyFill="1" applyAlignment="1">
      <alignment horizontal="center"/>
    </xf>
    <xf numFmtId="176" fontId="4" fillId="0" borderId="0" xfId="0" applyNumberFormat="1" applyFont="1" applyFill="1" applyAlignment="1">
      <alignment horizontal="center"/>
    </xf>
    <xf numFmtId="166" fontId="4" fillId="0" borderId="0" xfId="1" applyNumberFormat="1" applyFont="1" applyFill="1" applyAlignment="1">
      <alignment horizontal="center"/>
    </xf>
    <xf numFmtId="166" fontId="4" fillId="0" borderId="0" xfId="0" applyNumberFormat="1" applyFont="1" applyFill="1" applyAlignment="1">
      <alignment horizontal="center"/>
    </xf>
    <xf numFmtId="175" fontId="4" fillId="0" borderId="0" xfId="0" applyNumberFormat="1" applyFont="1" applyFill="1" applyAlignment="1">
      <alignment horizontal="center"/>
    </xf>
    <xf numFmtId="1" fontId="4" fillId="0" borderId="0" xfId="0" applyNumberFormat="1" applyFont="1" applyFill="1" applyAlignment="1">
      <alignment horizontal="center"/>
    </xf>
    <xf numFmtId="1" fontId="0" fillId="0" borderId="0" xfId="1" applyNumberFormat="1" applyFont="1" applyFill="1" applyAlignment="1">
      <alignment horizontal="right"/>
    </xf>
    <xf numFmtId="1" fontId="0" fillId="0" borderId="0" xfId="1" applyNumberFormat="1" applyFont="1" applyFill="1" applyAlignment="1">
      <alignment horizontal="center"/>
    </xf>
    <xf numFmtId="1" fontId="6" fillId="0" borderId="0" xfId="0" applyNumberFormat="1" applyFont="1" applyFill="1" applyAlignment="1">
      <alignment horizontal="center"/>
    </xf>
    <xf numFmtId="177" fontId="0" fillId="0" borderId="0" xfId="0" applyNumberFormat="1" applyFill="1" applyAlignment="1">
      <alignment horizontal="center"/>
    </xf>
    <xf numFmtId="178" fontId="0" fillId="0" borderId="0" xfId="0" applyNumberFormat="1" applyFill="1" applyAlignment="1">
      <alignment horizontal="center"/>
    </xf>
    <xf numFmtId="175" fontId="0" fillId="0" borderId="0" xfId="0" applyNumberFormat="1" applyFill="1" applyAlignment="1">
      <alignment horizontal="center"/>
    </xf>
    <xf numFmtId="2" fontId="14" fillId="0" borderId="0" xfId="0" applyNumberFormat="1" applyFont="1" applyFill="1" applyAlignment="1">
      <alignment horizontal="center"/>
    </xf>
    <xf numFmtId="1" fontId="16" fillId="5" borderId="0" xfId="0" applyNumberFormat="1" applyFont="1" applyFill="1" applyAlignment="1">
      <alignment horizontal="center"/>
    </xf>
    <xf numFmtId="0" fontId="26" fillId="0" borderId="0" xfId="0" applyFont="1" applyFill="1" applyAlignment="1">
      <alignment horizontal="center"/>
    </xf>
    <xf numFmtId="170" fontId="1" fillId="2" borderId="0" xfId="1" applyNumberFormat="1" applyFont="1" applyFill="1" applyBorder="1" applyAlignment="1">
      <alignment horizontal="center"/>
    </xf>
    <xf numFmtId="169" fontId="1" fillId="2" borderId="0" xfId="1" applyNumberFormat="1" applyFont="1" applyFill="1" applyBorder="1" applyAlignment="1">
      <alignment horizontal="center"/>
    </xf>
    <xf numFmtId="43" fontId="1" fillId="0" borderId="0" xfId="0" applyNumberFormat="1" applyFont="1"/>
    <xf numFmtId="169" fontId="1" fillId="0" borderId="0" xfId="1" applyNumberFormat="1" applyFont="1" applyAlignment="1">
      <alignment horizontal="right"/>
    </xf>
    <xf numFmtId="170" fontId="1" fillId="0" borderId="0" xfId="1" applyNumberFormat="1" applyFont="1" applyBorder="1" applyAlignment="1">
      <alignment horizontal="left"/>
    </xf>
    <xf numFmtId="0" fontId="1" fillId="0" borderId="0" xfId="1" applyNumberFormat="1" applyFont="1" applyBorder="1" applyAlignment="1">
      <alignment horizontal="center"/>
    </xf>
    <xf numFmtId="38" fontId="1" fillId="0" borderId="0" xfId="1" applyNumberFormat="1" applyFont="1"/>
    <xf numFmtId="38" fontId="1" fillId="0" borderId="0" xfId="0" applyNumberFormat="1" applyFont="1"/>
    <xf numFmtId="38" fontId="1" fillId="0" borderId="0" xfId="1" applyNumberFormat="1" applyFont="1" applyBorder="1" applyAlignment="1">
      <alignment horizontal="center"/>
    </xf>
    <xf numFmtId="170" fontId="1" fillId="0" borderId="0" xfId="0" applyNumberFormat="1" applyFont="1" applyBorder="1"/>
    <xf numFmtId="170" fontId="1" fillId="0" borderId="1" xfId="0" applyNumberFormat="1" applyFont="1" applyBorder="1"/>
    <xf numFmtId="2" fontId="6" fillId="0" borderId="0" xfId="0" applyNumberFormat="1" applyFont="1" applyFill="1" applyAlignment="1">
      <alignment horizontal="center"/>
    </xf>
    <xf numFmtId="2" fontId="28" fillId="0" borderId="0" xfId="0" applyNumberFormat="1" applyFont="1" applyAlignment="1">
      <alignment horizontal="center"/>
    </xf>
    <xf numFmtId="0" fontId="1" fillId="0" borderId="0" xfId="0" applyFont="1" applyAlignment="1">
      <alignment horizontal="left" vertical="top" wrapText="1"/>
    </xf>
    <xf numFmtId="0" fontId="0" fillId="0" borderId="0" xfId="0" applyAlignment="1">
      <alignment horizontal="left" vertical="top"/>
    </xf>
    <xf numFmtId="0" fontId="12" fillId="0" borderId="0" xfId="0" applyFont="1" applyAlignment="1">
      <alignment horizontal="center"/>
    </xf>
    <xf numFmtId="0" fontId="0" fillId="0" borderId="0" xfId="0" applyFont="1" applyFill="1" applyBorder="1" applyAlignment="1">
      <alignment horizontal="center"/>
    </xf>
    <xf numFmtId="0" fontId="26" fillId="0" borderId="3" xfId="0" applyFont="1" applyBorder="1" applyAlignment="1">
      <alignment horizontal="center"/>
    </xf>
    <xf numFmtId="0" fontId="2" fillId="0" borderId="3" xfId="0" applyFont="1" applyBorder="1" applyAlignment="1">
      <alignment horizontal="center"/>
    </xf>
    <xf numFmtId="0" fontId="1" fillId="0" borderId="0" xfId="0" applyFont="1" applyBorder="1" applyAlignment="1">
      <alignment horizontal="center"/>
    </xf>
    <xf numFmtId="0" fontId="6" fillId="0" borderId="0" xfId="0" applyFont="1" applyAlignment="1">
      <alignment horizontal="center"/>
    </xf>
    <xf numFmtId="0" fontId="2" fillId="0" borderId="0" xfId="0" applyFont="1" applyAlignment="1">
      <alignment horizontal="center"/>
    </xf>
    <xf numFmtId="2" fontId="2" fillId="0" borderId="0" xfId="0" applyNumberFormat="1" applyFont="1" applyFill="1" applyBorder="1" applyAlignment="1">
      <alignment horizontal="center"/>
    </xf>
    <xf numFmtId="2" fontId="2" fillId="0" borderId="0" xfId="0" applyNumberFormat="1" applyFont="1" applyAlignment="1">
      <alignment horizontal="center"/>
    </xf>
    <xf numFmtId="1" fontId="6" fillId="0" borderId="0" xfId="0" applyNumberFormat="1" applyFont="1" applyBorder="1" applyAlignment="1">
      <alignment horizontal="center"/>
    </xf>
    <xf numFmtId="0" fontId="6" fillId="0" borderId="1" xfId="0" applyFont="1" applyBorder="1" applyAlignment="1">
      <alignment horizontal="center"/>
    </xf>
    <xf numFmtId="0" fontId="6" fillId="0" borderId="0" xfId="0" applyFont="1" applyFill="1" applyBorder="1" applyAlignment="1">
      <alignment horizontal="center"/>
    </xf>
    <xf numFmtId="170" fontId="6" fillId="0" borderId="0" xfId="0" applyNumberFormat="1" applyFont="1" applyAlignment="1">
      <alignment horizontal="center"/>
    </xf>
    <xf numFmtId="0" fontId="22" fillId="0" borderId="0" xfId="0" applyFont="1" applyAlignment="1">
      <alignment horizontal="center"/>
    </xf>
  </cellXfs>
  <cellStyles count="6">
    <cellStyle name="Comma" xfId="1" builtinId="3"/>
    <cellStyle name="Currency" xfId="4" builtinId="4"/>
    <cellStyle name="Currency 2" xfId="5"/>
    <cellStyle name="Normal" xfId="0" builtinId="0"/>
    <cellStyle name="Normal 2" xfId="3"/>
    <cellStyle name="Percent" xfId="2"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FF99"/>
      <color rgb="FF66FFFF"/>
      <color rgb="FFFF7C80"/>
      <color rgb="FFFF8080"/>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0"/>
            <c:dispEq val="1"/>
            <c:trendlineLbl>
              <c:numFmt formatCode="0.0000" sourceLinked="0"/>
              <c:spPr>
                <a:noFill/>
                <a:ln w="25400">
                  <a:noFill/>
                </a:ln>
              </c:spPr>
              <c:txPr>
                <a:bodyPr/>
                <a:lstStyle/>
                <a:p>
                  <a:pPr>
                    <a:defRPr sz="100" b="0" i="0" u="none" strike="noStrike" baseline="0">
                      <a:solidFill>
                        <a:srgbClr val="000000"/>
                      </a:solidFill>
                      <a:latin typeface="Arial"/>
                      <a:ea typeface="Arial"/>
                      <a:cs typeface="Arial"/>
                    </a:defRPr>
                  </a:pPr>
                  <a:endParaRPr lang="en-US"/>
                </a:p>
              </c:txPr>
            </c:trendlineLbl>
          </c:trendline>
          <c:smooth val="0"/>
          <c:extLst>
            <c:ext xmlns:c16="http://schemas.microsoft.com/office/drawing/2014/chart" uri="{C3380CC4-5D6E-409C-BE32-E72D297353CC}">
              <c16:uniqueId val="{00000000-BC40-4E94-8943-5119DE1E844D}"/>
            </c:ext>
          </c:extLst>
        </c:ser>
        <c:ser>
          <c:idx val="1"/>
          <c:order val="1"/>
          <c:spPr>
            <a:ln w="28575">
              <a:noFill/>
            </a:ln>
          </c:spPr>
          <c:marker>
            <c:symbol val="square"/>
            <c:size val="5"/>
            <c:spPr>
              <a:solidFill>
                <a:srgbClr val="FF00FF"/>
              </a:solidFill>
              <a:ln>
                <a:solidFill>
                  <a:srgbClr val="FF00FF"/>
                </a:solidFill>
                <a:prstDash val="solid"/>
              </a:ln>
            </c:spPr>
          </c:marker>
          <c:trendline>
            <c:spPr>
              <a:ln w="25400">
                <a:solidFill>
                  <a:srgbClr val="000000"/>
                </a:solidFill>
                <a:prstDash val="solid"/>
              </a:ln>
            </c:spPr>
            <c:trendlineType val="linear"/>
            <c:dispRSqr val="0"/>
            <c:dispEq val="1"/>
            <c:trendlineLbl>
              <c:numFmt formatCode="General" sourceLinked="0"/>
              <c:spPr>
                <a:noFill/>
                <a:ln w="25400">
                  <a:noFill/>
                </a:ln>
              </c:spPr>
              <c:txPr>
                <a:bodyPr/>
                <a:lstStyle/>
                <a:p>
                  <a:pPr>
                    <a:defRPr sz="100" b="0" i="0" u="none" strike="noStrike" baseline="0">
                      <a:solidFill>
                        <a:srgbClr val="000000"/>
                      </a:solidFill>
                      <a:latin typeface="Arial"/>
                      <a:ea typeface="Arial"/>
                      <a:cs typeface="Arial"/>
                    </a:defRPr>
                  </a:pPr>
                  <a:endParaRPr lang="en-US"/>
                </a:p>
              </c:txPr>
            </c:trendlineLbl>
          </c:trendline>
          <c:smooth val="0"/>
          <c:extLst>
            <c:ext xmlns:c16="http://schemas.microsoft.com/office/drawing/2014/chart" uri="{C3380CC4-5D6E-409C-BE32-E72D297353CC}">
              <c16:uniqueId val="{00000001-BC40-4E94-8943-5119DE1E844D}"/>
            </c:ext>
          </c:extLst>
        </c:ser>
        <c:dLbls>
          <c:showLegendKey val="0"/>
          <c:showVal val="0"/>
          <c:showCatName val="0"/>
          <c:showSerName val="0"/>
          <c:showPercent val="0"/>
          <c:showBubbleSize val="0"/>
        </c:dLbls>
        <c:axId val="186190464"/>
        <c:axId val="186196352"/>
      </c:scatterChart>
      <c:valAx>
        <c:axId val="1861904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186196352"/>
        <c:crosses val="autoZero"/>
        <c:crossBetween val="midCat"/>
      </c:valAx>
      <c:valAx>
        <c:axId val="1861963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186190464"/>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000000000000011" r="0.75000000000000011"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Overall Cost Breakdown</a:t>
            </a:r>
          </a:p>
          <a:p>
            <a:pPr>
              <a:defRPr/>
            </a:pPr>
            <a:r>
              <a:rPr lang="en-US"/>
              <a:t>Battery 1</a:t>
            </a:r>
          </a:p>
        </c:rich>
      </c:tx>
      <c:overlay val="0"/>
    </c:title>
    <c:autoTitleDeleted val="0"/>
    <c:plotArea>
      <c:layout>
        <c:manualLayout>
          <c:layoutTarget val="inner"/>
          <c:xMode val="edge"/>
          <c:yMode val="edge"/>
          <c:x val="2.8430014867022742E-2"/>
          <c:y val="0.14421558564827464"/>
          <c:w val="0.41548951048951049"/>
          <c:h val="0.68146221173206634"/>
        </c:manualLayout>
      </c:layout>
      <c:pieChart>
        <c:varyColors val="1"/>
        <c:ser>
          <c:idx val="0"/>
          <c:order val="0"/>
          <c:dPt>
            <c:idx val="1"/>
            <c:bubble3D val="0"/>
            <c:extLst>
              <c:ext xmlns:c16="http://schemas.microsoft.com/office/drawing/2014/chart" uri="{C3380CC4-5D6E-409C-BE32-E72D297353CC}">
                <c16:uniqueId val="{00000000-C27A-42FE-A726-BF1C9C920EB2}"/>
              </c:ext>
            </c:extLst>
          </c:dPt>
          <c:dPt>
            <c:idx val="2"/>
            <c:bubble3D val="0"/>
            <c:extLst>
              <c:ext xmlns:c16="http://schemas.microsoft.com/office/drawing/2014/chart" uri="{C3380CC4-5D6E-409C-BE32-E72D297353CC}">
                <c16:uniqueId val="{00000001-C27A-42FE-A726-BF1C9C920EB2}"/>
              </c:ext>
            </c:extLst>
          </c:dPt>
          <c:dPt>
            <c:idx val="3"/>
            <c:bubble3D val="0"/>
            <c:extLst>
              <c:ext xmlns:c16="http://schemas.microsoft.com/office/drawing/2014/chart" uri="{C3380CC4-5D6E-409C-BE32-E72D297353CC}">
                <c16:uniqueId val="{00000002-C27A-42FE-A726-BF1C9C920EB2}"/>
              </c:ext>
            </c:extLst>
          </c:dPt>
          <c:dPt>
            <c:idx val="4"/>
            <c:bubble3D val="0"/>
            <c:extLst>
              <c:ext xmlns:c16="http://schemas.microsoft.com/office/drawing/2014/chart" uri="{C3380CC4-5D6E-409C-BE32-E72D297353CC}">
                <c16:uniqueId val="{00000003-C27A-42FE-A726-BF1C9C920EB2}"/>
              </c:ext>
            </c:extLst>
          </c:dPt>
          <c:dPt>
            <c:idx val="5"/>
            <c:bubble3D val="0"/>
            <c:extLst>
              <c:ext xmlns:c16="http://schemas.microsoft.com/office/drawing/2014/chart" uri="{C3380CC4-5D6E-409C-BE32-E72D297353CC}">
                <c16:uniqueId val="{00000004-C27A-42FE-A726-BF1C9C920EB2}"/>
              </c:ext>
            </c:extLst>
          </c:dPt>
          <c:dPt>
            <c:idx val="6"/>
            <c:bubble3D val="0"/>
            <c:extLst>
              <c:ext xmlns:c16="http://schemas.microsoft.com/office/drawing/2014/chart" uri="{C3380CC4-5D6E-409C-BE32-E72D297353CC}">
                <c16:uniqueId val="{00000005-C27A-42FE-A726-BF1C9C920EB2}"/>
              </c:ext>
            </c:extLst>
          </c:dPt>
          <c:dPt>
            <c:idx val="7"/>
            <c:bubble3D val="0"/>
            <c:extLst>
              <c:ext xmlns:c16="http://schemas.microsoft.com/office/drawing/2014/chart" uri="{C3380CC4-5D6E-409C-BE32-E72D297353CC}">
                <c16:uniqueId val="{00000006-C27A-42FE-A726-BF1C9C920EB2}"/>
              </c:ext>
            </c:extLst>
          </c:dPt>
          <c:dPt>
            <c:idx val="8"/>
            <c:bubble3D val="0"/>
            <c:extLst>
              <c:ext xmlns:c16="http://schemas.microsoft.com/office/drawing/2014/chart" uri="{C3380CC4-5D6E-409C-BE32-E72D297353CC}">
                <c16:uniqueId val="{00000007-C27A-42FE-A726-BF1C9C920EB2}"/>
              </c:ext>
            </c:extLst>
          </c:dPt>
          <c:dLbls>
            <c:numFmt formatCode="0%" sourceLinked="0"/>
            <c:spPr>
              <a:noFill/>
              <a:ln w="25400">
                <a:noFill/>
              </a:ln>
            </c:spPr>
            <c:showLegendKey val="0"/>
            <c:showVal val="0"/>
            <c:showCatName val="0"/>
            <c:showSerName val="0"/>
            <c:showPercent val="1"/>
            <c:showBubbleSize val="0"/>
            <c:showLeaderLines val="0"/>
            <c:extLst>
              <c:ext xmlns:c15="http://schemas.microsoft.com/office/drawing/2012/chart" uri="{CE6537A1-D6FC-4f65-9D91-7224C49458BB}"/>
            </c:extLst>
          </c:dLbls>
          <c:cat>
            <c:strRef>
              <c:f>'Summary of Results'!$A$61:$A$69</c:f>
              <c:strCache>
                <c:ptCount val="9"/>
                <c:pt idx="0">
                  <c:v>Materials</c:v>
                </c:pt>
                <c:pt idx="1">
                  <c:v>Purchased Items </c:v>
                </c:pt>
                <c:pt idx="2">
                  <c:v>Direct Labor                     </c:v>
                </c:pt>
                <c:pt idx="3">
                  <c:v>Variable Overhead  </c:v>
                </c:pt>
                <c:pt idx="4">
                  <c:v>General, Sales, Administration</c:v>
                </c:pt>
                <c:pt idx="5">
                  <c:v>Research and Development</c:v>
                </c:pt>
                <c:pt idx="6">
                  <c:v>Depreciation</c:v>
                </c:pt>
                <c:pt idx="7">
                  <c:v>Profit     </c:v>
                </c:pt>
                <c:pt idx="8">
                  <c:v>Warranty (includes battery pack(s) only)</c:v>
                </c:pt>
              </c:strCache>
            </c:strRef>
          </c:cat>
          <c:val>
            <c:numRef>
              <c:f>'Summary of Results'!$F$61:$F$69</c:f>
              <c:numCache>
                <c:formatCode>_(* #,##0_);_(* \(#,##0\);_(* "-"??_);_(@_)</c:formatCode>
                <c:ptCount val="9"/>
                <c:pt idx="0">
                  <c:v>416.0589158546926</c:v>
                </c:pt>
                <c:pt idx="1">
                  <c:v>612.09731447390061</c:v>
                </c:pt>
                <c:pt idx="2">
                  <c:v>122.33583345483609</c:v>
                </c:pt>
                <c:pt idx="3">
                  <c:v>92.964310453737426</c:v>
                </c:pt>
                <c:pt idx="4">
                  <c:v>108.86250731689711</c:v>
                </c:pt>
                <c:pt idx="5">
                  <c:v>88.059954143605978</c:v>
                </c:pt>
                <c:pt idx="6">
                  <c:v>220.14988535901495</c:v>
                </c:pt>
                <c:pt idx="7">
                  <c:v>95.72835165774967</c:v>
                </c:pt>
                <c:pt idx="8">
                  <c:v>98.350396072008309</c:v>
                </c:pt>
              </c:numCache>
            </c:numRef>
          </c:val>
          <c:extLst>
            <c:ext xmlns:c16="http://schemas.microsoft.com/office/drawing/2014/chart" uri="{C3380CC4-5D6E-409C-BE32-E72D297353CC}">
              <c16:uniqueId val="{00000008-C27A-42FE-A726-BF1C9C920EB2}"/>
            </c:ext>
          </c:extLst>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7084085419555116"/>
          <c:y val="0.14770386656829301"/>
          <c:w val="0.51811668890225926"/>
          <c:h val="0.84240921400371949"/>
        </c:manualLayout>
      </c:layout>
      <c:overlay val="0"/>
      <c:spPr>
        <a:solidFill>
          <a:srgbClr val="FFFFFF"/>
        </a:solidFill>
        <a:ln w="0">
          <a:noFill/>
          <a:prstDash val="solid"/>
        </a:ln>
      </c:spPr>
    </c:legend>
    <c:plotVisOnly val="1"/>
    <c:dispBlanksAs val="zero"/>
    <c:showDLblsOverMax val="0"/>
  </c:chart>
  <c:spPr>
    <a:solidFill>
      <a:srgbClr val="FFFFFF"/>
    </a:solidFill>
    <a:ln w="3175">
      <a:solidFill>
        <a:srgbClr val="000000"/>
      </a:solidFill>
      <a:prstDash val="solid"/>
    </a:ln>
  </c:spPr>
  <c:txPr>
    <a:bodyPr/>
    <a:lstStyle/>
    <a:p>
      <a:pPr>
        <a:defRPr sz="1400" b="1" i="0" u="none" strike="noStrike" baseline="0">
          <a:solidFill>
            <a:srgbClr val="000000"/>
          </a:solidFill>
          <a:latin typeface="Arial"/>
          <a:ea typeface="Arial"/>
          <a:cs typeface="Arial"/>
        </a:defRPr>
      </a:pPr>
      <a:endParaRPr lang="en-US"/>
    </a:p>
  </c:txPr>
  <c:printSettings>
    <c:headerFooter alignWithMargins="0"/>
    <c:pageMargins b="1" l="0.75000000000000011" r="0.75000000000000011" t="1" header="0.5" footer="0.5"/>
    <c:pageSetup orientation="landscape" verticalDpi="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Materials and Purchased Items Cost Breakdown</a:t>
            </a:r>
          </a:p>
          <a:p>
            <a:pPr>
              <a:defRPr/>
            </a:pPr>
            <a:r>
              <a:rPr lang="en-US"/>
              <a:t>Battery 1</a:t>
            </a:r>
          </a:p>
        </c:rich>
      </c:tx>
      <c:overlay val="0"/>
    </c:title>
    <c:autoTitleDeleted val="0"/>
    <c:plotArea>
      <c:layout>
        <c:manualLayout>
          <c:layoutTarget val="inner"/>
          <c:xMode val="edge"/>
          <c:yMode val="edge"/>
          <c:x val="0.13129780780192024"/>
          <c:y val="0.22405686179897297"/>
          <c:w val="0.35725217471685261"/>
          <c:h val="0.55188742801010193"/>
        </c:manualLayout>
      </c:layout>
      <c:pieChart>
        <c:varyColors val="1"/>
        <c:ser>
          <c:idx val="0"/>
          <c:order val="0"/>
          <c:dPt>
            <c:idx val="1"/>
            <c:bubble3D val="0"/>
            <c:extLst>
              <c:ext xmlns:c16="http://schemas.microsoft.com/office/drawing/2014/chart" uri="{C3380CC4-5D6E-409C-BE32-E72D297353CC}">
                <c16:uniqueId val="{00000000-0AF2-4D07-8A69-4296002B34DB}"/>
              </c:ext>
            </c:extLst>
          </c:dPt>
          <c:dPt>
            <c:idx val="2"/>
            <c:bubble3D val="0"/>
            <c:extLst>
              <c:ext xmlns:c16="http://schemas.microsoft.com/office/drawing/2014/chart" uri="{C3380CC4-5D6E-409C-BE32-E72D297353CC}">
                <c16:uniqueId val="{00000001-0AF2-4D07-8A69-4296002B34DB}"/>
              </c:ext>
            </c:extLst>
          </c:dPt>
          <c:dPt>
            <c:idx val="3"/>
            <c:bubble3D val="0"/>
            <c:extLst>
              <c:ext xmlns:c16="http://schemas.microsoft.com/office/drawing/2014/chart" uri="{C3380CC4-5D6E-409C-BE32-E72D297353CC}">
                <c16:uniqueId val="{00000002-0AF2-4D07-8A69-4296002B34DB}"/>
              </c:ext>
            </c:extLst>
          </c:dPt>
          <c:dPt>
            <c:idx val="4"/>
            <c:bubble3D val="0"/>
            <c:extLst>
              <c:ext xmlns:c16="http://schemas.microsoft.com/office/drawing/2014/chart" uri="{C3380CC4-5D6E-409C-BE32-E72D297353CC}">
                <c16:uniqueId val="{00000003-0AF2-4D07-8A69-4296002B34DB}"/>
              </c:ext>
            </c:extLst>
          </c:dPt>
          <c:dPt>
            <c:idx val="5"/>
            <c:bubble3D val="0"/>
            <c:extLst>
              <c:ext xmlns:c16="http://schemas.microsoft.com/office/drawing/2014/chart" uri="{C3380CC4-5D6E-409C-BE32-E72D297353CC}">
                <c16:uniqueId val="{00000004-0AF2-4D07-8A69-4296002B34DB}"/>
              </c:ext>
            </c:extLst>
          </c:dPt>
          <c:dPt>
            <c:idx val="6"/>
            <c:bubble3D val="0"/>
            <c:extLst>
              <c:ext xmlns:c16="http://schemas.microsoft.com/office/drawing/2014/chart" uri="{C3380CC4-5D6E-409C-BE32-E72D297353CC}">
                <c16:uniqueId val="{00000005-0AF2-4D07-8A69-4296002B34DB}"/>
              </c:ext>
            </c:extLst>
          </c:dPt>
          <c:dPt>
            <c:idx val="7"/>
            <c:bubble3D val="0"/>
            <c:extLst>
              <c:ext xmlns:c16="http://schemas.microsoft.com/office/drawing/2014/chart" uri="{C3380CC4-5D6E-409C-BE32-E72D297353CC}">
                <c16:uniqueId val="{00000006-0AF2-4D07-8A69-4296002B34DB}"/>
              </c:ext>
            </c:extLst>
          </c:dPt>
          <c:dPt>
            <c:idx val="8"/>
            <c:bubble3D val="0"/>
            <c:extLst>
              <c:ext xmlns:c16="http://schemas.microsoft.com/office/drawing/2014/chart" uri="{C3380CC4-5D6E-409C-BE32-E72D297353CC}">
                <c16:uniqueId val="{00000007-0AF2-4D07-8A69-4296002B34DB}"/>
              </c:ext>
            </c:extLst>
          </c:dPt>
          <c:dPt>
            <c:idx val="9"/>
            <c:bubble3D val="0"/>
            <c:extLst>
              <c:ext xmlns:c16="http://schemas.microsoft.com/office/drawing/2014/chart" uri="{C3380CC4-5D6E-409C-BE32-E72D297353CC}">
                <c16:uniqueId val="{00000008-0AF2-4D07-8A69-4296002B34DB}"/>
              </c:ext>
            </c:extLst>
          </c:dPt>
          <c:dLbls>
            <c:numFmt formatCode="0%" sourceLinked="0"/>
            <c:spPr>
              <a:noFill/>
              <a:ln w="25400">
                <a:noFill/>
              </a:ln>
            </c:spPr>
            <c:showLegendKey val="0"/>
            <c:showVal val="0"/>
            <c:showCatName val="0"/>
            <c:showSerName val="0"/>
            <c:showPercent val="1"/>
            <c:showBubbleSize val="0"/>
            <c:showLeaderLines val="1"/>
            <c:extLst>
              <c:ext xmlns:c15="http://schemas.microsoft.com/office/drawing/2012/chart" uri="{CE6537A1-D6FC-4f65-9D91-7224C49458BB}"/>
            </c:extLst>
          </c:dLbls>
          <c:cat>
            <c:strRef>
              <c:f>'Cost Breakdown'!$A$21:$A$30</c:f>
              <c:strCache>
                <c:ptCount val="10"/>
                <c:pt idx="0">
                  <c:v>Positive Active  Material</c:v>
                </c:pt>
                <c:pt idx="1">
                  <c:v>Negative Active  Material</c:v>
                </c:pt>
                <c:pt idx="2">
                  <c:v>Carbon and Binders</c:v>
                </c:pt>
                <c:pt idx="3">
                  <c:v>Positive Current Collector</c:v>
                </c:pt>
                <c:pt idx="4">
                  <c:v>Negative Current Collector</c:v>
                </c:pt>
                <c:pt idx="5">
                  <c:v>Separators</c:v>
                </c:pt>
                <c:pt idx="6">
                  <c:v>Electrolyte</c:v>
                </c:pt>
                <c:pt idx="7">
                  <c:v>Cell Hardware</c:v>
                </c:pt>
                <c:pt idx="8">
                  <c:v>Module Hardware</c:v>
                </c:pt>
                <c:pt idx="9">
                  <c:v>Battery Jacket</c:v>
                </c:pt>
              </c:strCache>
            </c:strRef>
          </c:cat>
          <c:val>
            <c:numRef>
              <c:f>'Cost Breakdown'!$F$21:$F$30</c:f>
              <c:numCache>
                <c:formatCode>_(* #,##0.00_);_(* \(#,##0.00\);_(* "-"??_);_(@_)</c:formatCode>
                <c:ptCount val="10"/>
                <c:pt idx="0">
                  <c:v>120.80529904858815</c:v>
                </c:pt>
                <c:pt idx="1">
                  <c:v>67.542513259068585</c:v>
                </c:pt>
                <c:pt idx="2">
                  <c:v>14.231035022447761</c:v>
                </c:pt>
                <c:pt idx="3">
                  <c:v>12.134506989409619</c:v>
                </c:pt>
                <c:pt idx="4">
                  <c:v>52.403127122419768</c:v>
                </c:pt>
                <c:pt idx="5">
                  <c:v>90.356699902997377</c:v>
                </c:pt>
                <c:pt idx="6">
                  <c:v>58.585734509761338</c:v>
                </c:pt>
                <c:pt idx="7">
                  <c:v>72.694346666458273</c:v>
                </c:pt>
                <c:pt idx="8">
                  <c:v>281.23498699781061</c:v>
                </c:pt>
                <c:pt idx="9">
                  <c:v>258.16798080938565</c:v>
                </c:pt>
              </c:numCache>
            </c:numRef>
          </c:val>
          <c:extLst>
            <c:ext xmlns:c16="http://schemas.microsoft.com/office/drawing/2014/chart" uri="{C3380CC4-5D6E-409C-BE32-E72D297353CC}">
              <c16:uniqueId val="{00000009-0AF2-4D07-8A69-4296002B34DB}"/>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58427633772055865"/>
          <c:y val="0.20125786163522014"/>
          <c:w val="0.3862598625553485"/>
          <c:h val="0.74528425692071509"/>
        </c:manualLayout>
      </c:layout>
      <c:overlay val="0"/>
      <c:spPr>
        <a:solidFill>
          <a:srgbClr val="FFFFFF"/>
        </a:solidFill>
        <a:ln w="3175">
          <a:noFill/>
          <a:prstDash val="solid"/>
        </a:ln>
      </c:spPr>
    </c:legend>
    <c:plotVisOnly val="1"/>
    <c:dispBlanksAs val="zero"/>
    <c:showDLblsOverMax val="0"/>
  </c:chart>
  <c:spPr>
    <a:solidFill>
      <a:srgbClr val="FFFFFF"/>
    </a:solidFill>
    <a:ln w="3175">
      <a:solidFill>
        <a:srgbClr val="000000"/>
      </a:solidFill>
      <a:prstDash val="solid"/>
    </a:ln>
  </c:spPr>
  <c:txPr>
    <a:bodyPr/>
    <a:lstStyle/>
    <a:p>
      <a:pPr>
        <a:defRPr sz="1400" b="1" i="0" u="none" strike="noStrike" baseline="0">
          <a:solidFill>
            <a:srgbClr val="000000"/>
          </a:solidFill>
          <a:latin typeface="Arial"/>
          <a:ea typeface="Arial"/>
          <a:cs typeface="Arial"/>
        </a:defRPr>
      </a:pPr>
      <a:endParaRPr lang="en-US"/>
    </a:p>
  </c:txPr>
  <c:printSettings>
    <c:headerFooter alignWithMargins="0"/>
    <c:pageMargins b="1" l="0.75000000000000011" r="0.75000000000000011" t="1" header="0.5" footer="0.5"/>
    <c:pageSetup orientation="landscape" horizontalDpi="300" verticalDpi="30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Breakdown of Costs to Basic Cost Factors</a:t>
            </a:r>
          </a:p>
          <a:p>
            <a:pPr>
              <a:defRPr/>
            </a:pPr>
            <a:r>
              <a:rPr lang="en-US"/>
              <a:t>Battery 1</a:t>
            </a:r>
          </a:p>
        </c:rich>
      </c:tx>
      <c:overlay val="0"/>
    </c:title>
    <c:autoTitleDeleted val="0"/>
    <c:plotArea>
      <c:layout>
        <c:manualLayout>
          <c:layoutTarget val="inner"/>
          <c:xMode val="edge"/>
          <c:yMode val="edge"/>
          <c:x val="0.20716870122778278"/>
          <c:y val="0.18361229684302421"/>
          <c:w val="0.60132272895418282"/>
          <c:h val="0.77405690379415326"/>
        </c:manualLayout>
      </c:layout>
      <c:pieChart>
        <c:varyColors val="1"/>
        <c:ser>
          <c:idx val="0"/>
          <c:order val="0"/>
          <c:dLbls>
            <c:dLbl>
              <c:idx val="0"/>
              <c:layout>
                <c:manualLayout>
                  <c:x val="-0.19659930428452221"/>
                  <c:y val="6.2888127398267837E-2"/>
                </c:manualLayout>
              </c:layout>
              <c:tx>
                <c:rich>
                  <a:bodyPr/>
                  <a:lstStyle/>
                  <a:p>
                    <a:r>
                      <a:rPr lang="en-US"/>
                      <a:t>Materials
36%</a:t>
                    </a:r>
                  </a:p>
                </c:rich>
              </c:tx>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23E3-479E-8C4A-991232CEB6D8}"/>
                </c:ext>
              </c:extLst>
            </c:dLbl>
            <c:dLbl>
              <c:idx val="1"/>
              <c:layout>
                <c:manualLayout>
                  <c:x val="-6.1380511038387972E-2"/>
                  <c:y val="-0.13199131064446054"/>
                </c:manualLayout>
              </c:layout>
              <c:tx>
                <c:rich>
                  <a:bodyPr/>
                  <a:lstStyle/>
                  <a:p>
                    <a:r>
                      <a:rPr lang="en-US"/>
                      <a:t>Purchased items</a:t>
                    </a:r>
                    <a:r>
                      <a:rPr lang="en-US" baseline="0"/>
                      <a:t> </a:t>
                    </a:r>
                    <a:r>
                      <a:rPr lang="en-US"/>
                      <a:t>
23%</a:t>
                    </a:r>
                  </a:p>
                </c:rich>
              </c:tx>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3E3-479E-8C4A-991232CEB6D8}"/>
                </c:ext>
              </c:extLst>
            </c:dLbl>
            <c:dLbl>
              <c:idx val="2"/>
              <c:layout>
                <c:manualLayout>
                  <c:x val="0.11097719880941295"/>
                  <c:y val="-0.11916814653487463"/>
                </c:manualLayout>
              </c:layout>
              <c:tx>
                <c:rich>
                  <a:bodyPr/>
                  <a:lstStyle/>
                  <a:p>
                    <a:r>
                      <a:rPr lang="en-US"/>
                      <a:t>Labor
12%</a:t>
                    </a:r>
                  </a:p>
                </c:rich>
              </c:tx>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23E3-479E-8C4A-991232CEB6D8}"/>
                </c:ext>
              </c:extLst>
            </c:dLbl>
            <c:dLbl>
              <c:idx val="3"/>
              <c:layout>
                <c:manualLayout>
                  <c:x val="0.18312084182644056"/>
                  <c:y val="0.21160592757763685"/>
                </c:manualLayout>
              </c:layout>
              <c:tx>
                <c:rich>
                  <a:bodyPr/>
                  <a:lstStyle/>
                  <a:p>
                    <a:r>
                      <a:rPr lang="en-US"/>
                      <a:t>Capital Equipment and Building
29%</a:t>
                    </a:r>
                  </a:p>
                </c:rich>
              </c:tx>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3E3-479E-8C4A-991232CEB6D8}"/>
                </c:ext>
              </c:extLst>
            </c:dLbl>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f>'Cost Breakdown'!$A$92:$A$95</c:f>
              <c:strCache>
                <c:ptCount val="4"/>
                <c:pt idx="0">
                  <c:v>Materials, $</c:v>
                </c:pt>
                <c:pt idx="1">
                  <c:v>Purchased items, $</c:v>
                </c:pt>
                <c:pt idx="2">
                  <c:v>Labor, $</c:v>
                </c:pt>
                <c:pt idx="3">
                  <c:v>Capital Equipment and Building, $</c:v>
                </c:pt>
              </c:strCache>
            </c:strRef>
          </c:cat>
          <c:val>
            <c:numRef>
              <c:f>'Cost Breakdown'!$F$92:$F$95</c:f>
              <c:numCache>
                <c:formatCode>_(* #,##0_);_(* \(#,##0\);_(* "-"??_);_(@_)</c:formatCode>
                <c:ptCount val="4"/>
                <c:pt idx="0">
                  <c:v>443.75179729398076</c:v>
                </c:pt>
                <c:pt idx="1">
                  <c:v>652.83851172544291</c:v>
                </c:pt>
                <c:pt idx="2">
                  <c:v>228.33738642678202</c:v>
                </c:pt>
                <c:pt idx="3">
                  <c:v>529.67977334039756</c:v>
                </c:pt>
              </c:numCache>
            </c:numRef>
          </c:val>
          <c:extLst>
            <c:ext xmlns:c16="http://schemas.microsoft.com/office/drawing/2014/chart" uri="{C3380CC4-5D6E-409C-BE32-E72D297353CC}">
              <c16:uniqueId val="{00000004-23E3-479E-8C4A-991232CEB6D8}"/>
            </c:ext>
          </c:extLst>
        </c:ser>
        <c:ser>
          <c:idx val="1"/>
          <c:order val="1"/>
          <c:dLbls>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multiLvlStrRef>
              <c:f>'Cost Breakdown'!#REF!</c:f>
            </c:multiLvlStrRef>
          </c:cat>
          <c:val>
            <c:numRef>
              <c:f>'Cost Breakdown'!#REF!</c:f>
              <c:numCache>
                <c:formatCode>General</c:formatCode>
                <c:ptCount val="1"/>
                <c:pt idx="0">
                  <c:v>1</c:v>
                </c:pt>
              </c:numCache>
            </c:numRef>
          </c:val>
          <c:extLst>
            <c:ext xmlns:c16="http://schemas.microsoft.com/office/drawing/2014/chart" uri="{C3380CC4-5D6E-409C-BE32-E72D297353CC}">
              <c16:uniqueId val="{00000005-23E3-479E-8C4A-991232CEB6D8}"/>
            </c:ext>
          </c:extLst>
        </c:ser>
        <c:ser>
          <c:idx val="2"/>
          <c:order val="2"/>
          <c:dLbls>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multiLvlStrRef>
              <c:f>'Cost Breakdown'!#REF!</c:f>
            </c:multiLvlStrRef>
          </c:cat>
          <c:val>
            <c:numRef>
              <c:f>'Cost Breakdown'!#REF!</c:f>
              <c:numCache>
                <c:formatCode>General</c:formatCode>
                <c:ptCount val="1"/>
                <c:pt idx="0">
                  <c:v>1</c:v>
                </c:pt>
              </c:numCache>
            </c:numRef>
          </c:val>
          <c:extLst>
            <c:ext xmlns:c16="http://schemas.microsoft.com/office/drawing/2014/chart" uri="{C3380CC4-5D6E-409C-BE32-E72D297353CC}">
              <c16:uniqueId val="{00000006-23E3-479E-8C4A-991232CEB6D8}"/>
            </c:ext>
          </c:extLst>
        </c:ser>
        <c:ser>
          <c:idx val="3"/>
          <c:order val="3"/>
          <c:dLbls>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multiLvlStrRef>
              <c:f>'Cost Breakdown'!#REF!</c:f>
            </c:multiLvlStrRef>
          </c:cat>
          <c:val>
            <c:numRef>
              <c:f>'Cost Breakdown'!#REF!</c:f>
              <c:numCache>
                <c:formatCode>General</c:formatCode>
                <c:ptCount val="1"/>
                <c:pt idx="0">
                  <c:v>1</c:v>
                </c:pt>
              </c:numCache>
            </c:numRef>
          </c:val>
          <c:extLst>
            <c:ext xmlns:c16="http://schemas.microsoft.com/office/drawing/2014/chart" uri="{C3380CC4-5D6E-409C-BE32-E72D297353CC}">
              <c16:uniqueId val="{00000007-23E3-479E-8C4A-991232CEB6D8}"/>
            </c:ext>
          </c:extLst>
        </c:ser>
        <c:ser>
          <c:idx val="4"/>
          <c:order val="4"/>
          <c:dLbls>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multiLvlStrRef>
              <c:f>'Cost Breakdown'!#REF!</c:f>
            </c:multiLvlStrRef>
          </c:cat>
          <c:val>
            <c:numRef>
              <c:f>'Cost Breakdown'!#REF!</c:f>
              <c:numCache>
                <c:formatCode>General</c:formatCode>
                <c:ptCount val="1"/>
                <c:pt idx="0">
                  <c:v>1</c:v>
                </c:pt>
              </c:numCache>
            </c:numRef>
          </c:val>
          <c:extLst>
            <c:ext xmlns:c16="http://schemas.microsoft.com/office/drawing/2014/chart" uri="{C3380CC4-5D6E-409C-BE32-E72D297353CC}">
              <c16:uniqueId val="{00000008-23E3-479E-8C4A-991232CEB6D8}"/>
            </c:ext>
          </c:extLst>
        </c:ser>
        <c:ser>
          <c:idx val="5"/>
          <c:order val="5"/>
          <c:dLbls>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multiLvlStrRef>
              <c:f>'Cost Breakdown'!#REF!</c:f>
            </c:multiLvlStrRef>
          </c:cat>
          <c:val>
            <c:numRef>
              <c:f>'Cost Breakdown'!#REF!</c:f>
              <c:numCache>
                <c:formatCode>General</c:formatCode>
                <c:ptCount val="1"/>
                <c:pt idx="0">
                  <c:v>1</c:v>
                </c:pt>
              </c:numCache>
            </c:numRef>
          </c:val>
          <c:extLst>
            <c:ext xmlns:c16="http://schemas.microsoft.com/office/drawing/2014/chart" uri="{C3380CC4-5D6E-409C-BE32-E72D297353CC}">
              <c16:uniqueId val="{00000009-23E3-479E-8C4A-991232CEB6D8}"/>
            </c:ext>
          </c:extLst>
        </c:ser>
        <c:ser>
          <c:idx val="6"/>
          <c:order val="6"/>
          <c:dLbls>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multiLvlStrRef>
              <c:f>'Cost Breakdown'!#REF!</c:f>
            </c:multiLvlStrRef>
          </c:cat>
          <c:val>
            <c:numRef>
              <c:f>'Cost Breakdown'!#REF!</c:f>
              <c:numCache>
                <c:formatCode>General</c:formatCode>
                <c:ptCount val="1"/>
                <c:pt idx="0">
                  <c:v>1</c:v>
                </c:pt>
              </c:numCache>
            </c:numRef>
          </c:val>
          <c:extLst>
            <c:ext xmlns:c16="http://schemas.microsoft.com/office/drawing/2014/chart" uri="{C3380CC4-5D6E-409C-BE32-E72D297353CC}">
              <c16:uniqueId val="{0000000A-23E3-479E-8C4A-991232CEB6D8}"/>
            </c:ext>
          </c:extLst>
        </c:ser>
        <c:ser>
          <c:idx val="7"/>
          <c:order val="7"/>
          <c:dLbls>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multiLvlStrRef>
              <c:f>'Cost Breakdown'!#REF!</c:f>
            </c:multiLvlStrRef>
          </c:cat>
          <c:val>
            <c:numRef>
              <c:f>'Cost Breakdown'!#REF!</c:f>
              <c:numCache>
                <c:formatCode>General</c:formatCode>
                <c:ptCount val="1"/>
                <c:pt idx="0">
                  <c:v>1</c:v>
                </c:pt>
              </c:numCache>
            </c:numRef>
          </c:val>
          <c:extLst>
            <c:ext xmlns:c16="http://schemas.microsoft.com/office/drawing/2014/chart" uri="{C3380CC4-5D6E-409C-BE32-E72D297353CC}">
              <c16:uniqueId val="{0000000B-23E3-479E-8C4A-991232CEB6D8}"/>
            </c:ext>
          </c:extLst>
        </c:ser>
        <c:ser>
          <c:idx val="8"/>
          <c:order val="8"/>
          <c:dLbls>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multiLvlStrRef>
              <c:f>'Cost Breakdown'!#REF!</c:f>
            </c:multiLvlStrRef>
          </c:cat>
          <c:val>
            <c:numRef>
              <c:f>'Cost Breakdown'!#REF!</c:f>
              <c:numCache>
                <c:formatCode>General</c:formatCode>
                <c:ptCount val="1"/>
                <c:pt idx="0">
                  <c:v>1</c:v>
                </c:pt>
              </c:numCache>
            </c:numRef>
          </c:val>
          <c:extLst>
            <c:ext xmlns:c16="http://schemas.microsoft.com/office/drawing/2014/chart" uri="{C3380CC4-5D6E-409C-BE32-E72D297353CC}">
              <c16:uniqueId val="{0000000C-23E3-479E-8C4A-991232CEB6D8}"/>
            </c:ext>
          </c:extLst>
        </c:ser>
        <c:ser>
          <c:idx val="9"/>
          <c:order val="9"/>
          <c:dLbls>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multiLvlStrRef>
              <c:f>'Cost Breakdown'!#REF!</c:f>
            </c:multiLvlStrRef>
          </c:cat>
          <c:val>
            <c:numRef>
              <c:f>'Cost Breakdown'!#REF!</c:f>
              <c:numCache>
                <c:formatCode>General</c:formatCode>
                <c:ptCount val="1"/>
                <c:pt idx="0">
                  <c:v>1</c:v>
                </c:pt>
              </c:numCache>
            </c:numRef>
          </c:val>
          <c:extLst>
            <c:ext xmlns:c16="http://schemas.microsoft.com/office/drawing/2014/chart" uri="{C3380CC4-5D6E-409C-BE32-E72D297353CC}">
              <c16:uniqueId val="{0000000D-23E3-479E-8C4A-991232CEB6D8}"/>
            </c:ext>
          </c:extLst>
        </c:ser>
        <c:dLbls>
          <c:showLegendKey val="0"/>
          <c:showVal val="0"/>
          <c:showCatName val="1"/>
          <c:showSerName val="0"/>
          <c:showPercent val="1"/>
          <c:showBubbleSize val="0"/>
          <c:showLeaderLines val="1"/>
        </c:dLbls>
        <c:firstSliceAng val="0"/>
      </c:pieChart>
    </c:plotArea>
    <c:plotVisOnly val="1"/>
    <c:dispBlanksAs val="gap"/>
    <c:showDLblsOverMax val="0"/>
  </c:chart>
  <c:txPr>
    <a:bodyPr/>
    <a:lstStyle/>
    <a:p>
      <a:pPr>
        <a:defRPr sz="1400" b="1"/>
      </a:pPr>
      <a:endParaRPr lang="en-US"/>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Breakdown of Costs to Basic Cost Factors</a:t>
            </a:r>
          </a:p>
          <a:p>
            <a:pPr>
              <a:defRPr sz="1600"/>
            </a:pPr>
            <a:r>
              <a:rPr lang="en-US" sz="1600"/>
              <a:t>Battery 7</a:t>
            </a:r>
          </a:p>
        </c:rich>
      </c:tx>
      <c:overlay val="0"/>
    </c:title>
    <c:autoTitleDeleted val="0"/>
    <c:plotArea>
      <c:layout>
        <c:manualLayout>
          <c:layoutTarget val="inner"/>
          <c:xMode val="edge"/>
          <c:yMode val="edge"/>
          <c:x val="0.19822015536648524"/>
          <c:y val="0.18073252722459368"/>
          <c:w val="0.59013704662756095"/>
          <c:h val="0.75965805570200062"/>
        </c:manualLayout>
      </c:layout>
      <c:pieChart>
        <c:varyColors val="1"/>
        <c:ser>
          <c:idx val="10"/>
          <c:order val="10"/>
          <c:dLbls>
            <c:dLbl>
              <c:idx val="0"/>
              <c:layout>
                <c:manualLayout>
                  <c:x val="-0.20823529859928611"/>
                  <c:y val="5.7498224486645048E-3"/>
                </c:manualLayout>
              </c:layout>
              <c:tx>
                <c:rich>
                  <a:bodyPr/>
                  <a:lstStyle/>
                  <a:p>
                    <a:r>
                      <a:rPr lang="en-US"/>
                      <a:t>Materials
52%</a:t>
                    </a:r>
                  </a:p>
                </c:rich>
              </c:tx>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1912-4F29-8A63-424033EE2F33}"/>
                </c:ext>
              </c:extLst>
            </c:dLbl>
            <c:dLbl>
              <c:idx val="1"/>
              <c:layout>
                <c:manualLayout>
                  <c:x val="0.13679060759606884"/>
                  <c:y val="-0.15693490059122486"/>
                </c:manualLayout>
              </c:layout>
              <c:tx>
                <c:rich>
                  <a:bodyPr/>
                  <a:lstStyle/>
                  <a:p>
                    <a:r>
                      <a:rPr lang="en-US"/>
                      <a:t>Purchased items
17%</a:t>
                    </a:r>
                  </a:p>
                </c:rich>
              </c:tx>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912-4F29-8A63-424033EE2F33}"/>
                </c:ext>
              </c:extLst>
            </c:dLbl>
            <c:dLbl>
              <c:idx val="2"/>
              <c:layout>
                <c:manualLayout>
                  <c:x val="0.12961875377853338"/>
                  <c:y val="-2.8926794828264536E-2"/>
                </c:manualLayout>
              </c:layout>
              <c:tx>
                <c:rich>
                  <a:bodyPr/>
                  <a:lstStyle/>
                  <a:p>
                    <a:r>
                      <a:rPr lang="en-US"/>
                      <a:t>Labor
8%</a:t>
                    </a:r>
                  </a:p>
                </c:rich>
              </c:tx>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1912-4F29-8A63-424033EE2F33}"/>
                </c:ext>
              </c:extLst>
            </c:dLbl>
            <c:dLbl>
              <c:idx val="3"/>
              <c:layout>
                <c:manualLayout>
                  <c:x val="0.1658133171860067"/>
                  <c:y val="0.23742357737197745"/>
                </c:manualLayout>
              </c:layout>
              <c:tx>
                <c:rich>
                  <a:bodyPr/>
                  <a:lstStyle/>
                  <a:p>
                    <a:r>
                      <a:rPr lang="en-US"/>
                      <a:t>Capital Equipment and Building
23%</a:t>
                    </a:r>
                  </a:p>
                </c:rich>
              </c:tx>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912-4F29-8A63-424033EE2F33}"/>
                </c:ext>
              </c:extLst>
            </c:dLbl>
            <c:spPr>
              <a:noFill/>
              <a:ln>
                <a:noFill/>
              </a:ln>
              <a:effectLst/>
            </c:spPr>
            <c:txPr>
              <a:bodyPr/>
              <a:lstStyle/>
              <a:p>
                <a:pPr>
                  <a:defRPr sz="1400"/>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'Cost Breakdown'!$A$92:$A$95</c:f>
              <c:strCache>
                <c:ptCount val="4"/>
                <c:pt idx="0">
                  <c:v>Materials, $</c:v>
                </c:pt>
                <c:pt idx="1">
                  <c:v>Purchased items, $</c:v>
                </c:pt>
                <c:pt idx="2">
                  <c:v>Labor, $</c:v>
                </c:pt>
                <c:pt idx="3">
                  <c:v>Capital Equipment and Building, $</c:v>
                </c:pt>
              </c:strCache>
            </c:strRef>
          </c:cat>
          <c:val>
            <c:numRef>
              <c:f>'Cost Breakdown'!$L$92:$L$95</c:f>
              <c:numCache>
                <c:formatCode>_(* #,##0_);_(* \(#,##0\);_(* "-"??_);_(@_)</c:formatCode>
                <c:ptCount val="4"/>
                <c:pt idx="0">
                  <c:v>1511.1250116202154</c:v>
                </c:pt>
                <c:pt idx="1">
                  <c:v>796.58857522139658</c:v>
                </c:pt>
                <c:pt idx="2">
                  <c:v>294.15190875172493</c:v>
                </c:pt>
                <c:pt idx="3">
                  <c:v>814.76568402406269</c:v>
                </c:pt>
              </c:numCache>
            </c:numRef>
          </c:val>
          <c:extLst>
            <c:ext xmlns:c16="http://schemas.microsoft.com/office/drawing/2014/chart" uri="{C3380CC4-5D6E-409C-BE32-E72D297353CC}">
              <c16:uniqueId val="{00000004-1912-4F29-8A63-424033EE2F33}"/>
            </c:ext>
          </c:extLst>
        </c:ser>
        <c:ser>
          <c:idx val="11"/>
          <c:order val="11"/>
          <c:dLbls>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multiLvlStrRef>
              <c:f>'Cost Breakdown'!#REF!</c:f>
            </c:multiLvlStrRef>
          </c:cat>
          <c:val>
            <c:numRef>
              <c:f>'Cost Breakdown'!#REF!</c:f>
              <c:numCache>
                <c:formatCode>General</c:formatCode>
                <c:ptCount val="1"/>
                <c:pt idx="0">
                  <c:v>1</c:v>
                </c:pt>
              </c:numCache>
            </c:numRef>
          </c:val>
          <c:extLst>
            <c:ext xmlns:c16="http://schemas.microsoft.com/office/drawing/2014/chart" uri="{C3380CC4-5D6E-409C-BE32-E72D297353CC}">
              <c16:uniqueId val="{00000005-1912-4F29-8A63-424033EE2F33}"/>
            </c:ext>
          </c:extLst>
        </c:ser>
        <c:ser>
          <c:idx val="12"/>
          <c:order val="12"/>
          <c:dLbls>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multiLvlStrRef>
              <c:f>'Cost Breakdown'!#REF!</c:f>
            </c:multiLvlStrRef>
          </c:cat>
          <c:val>
            <c:numRef>
              <c:f>'Cost Breakdown'!#REF!</c:f>
              <c:numCache>
                <c:formatCode>General</c:formatCode>
                <c:ptCount val="1"/>
                <c:pt idx="0">
                  <c:v>1</c:v>
                </c:pt>
              </c:numCache>
            </c:numRef>
          </c:val>
          <c:extLst>
            <c:ext xmlns:c16="http://schemas.microsoft.com/office/drawing/2014/chart" uri="{C3380CC4-5D6E-409C-BE32-E72D297353CC}">
              <c16:uniqueId val="{00000006-1912-4F29-8A63-424033EE2F33}"/>
            </c:ext>
          </c:extLst>
        </c:ser>
        <c:ser>
          <c:idx val="13"/>
          <c:order val="13"/>
          <c:dLbls>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multiLvlStrRef>
              <c:f>'Cost Breakdown'!#REF!</c:f>
            </c:multiLvlStrRef>
          </c:cat>
          <c:val>
            <c:numRef>
              <c:f>'Cost Breakdown'!#REF!</c:f>
              <c:numCache>
                <c:formatCode>General</c:formatCode>
                <c:ptCount val="1"/>
                <c:pt idx="0">
                  <c:v>1</c:v>
                </c:pt>
              </c:numCache>
            </c:numRef>
          </c:val>
          <c:extLst>
            <c:ext xmlns:c16="http://schemas.microsoft.com/office/drawing/2014/chart" uri="{C3380CC4-5D6E-409C-BE32-E72D297353CC}">
              <c16:uniqueId val="{00000007-1912-4F29-8A63-424033EE2F33}"/>
            </c:ext>
          </c:extLst>
        </c:ser>
        <c:ser>
          <c:idx val="14"/>
          <c:order val="14"/>
          <c:dLbls>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multiLvlStrRef>
              <c:f>'Cost Breakdown'!#REF!</c:f>
            </c:multiLvlStrRef>
          </c:cat>
          <c:val>
            <c:numRef>
              <c:f>'Cost Breakdown'!#REF!</c:f>
              <c:numCache>
                <c:formatCode>General</c:formatCode>
                <c:ptCount val="1"/>
                <c:pt idx="0">
                  <c:v>1</c:v>
                </c:pt>
              </c:numCache>
            </c:numRef>
          </c:val>
          <c:extLst>
            <c:ext xmlns:c16="http://schemas.microsoft.com/office/drawing/2014/chart" uri="{C3380CC4-5D6E-409C-BE32-E72D297353CC}">
              <c16:uniqueId val="{00000008-1912-4F29-8A63-424033EE2F33}"/>
            </c:ext>
          </c:extLst>
        </c:ser>
        <c:ser>
          <c:idx val="15"/>
          <c:order val="15"/>
          <c:dLbls>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multiLvlStrRef>
              <c:f>'Cost Breakdown'!#REF!</c:f>
            </c:multiLvlStrRef>
          </c:cat>
          <c:val>
            <c:numRef>
              <c:f>'Cost Breakdown'!#REF!</c:f>
              <c:numCache>
                <c:formatCode>General</c:formatCode>
                <c:ptCount val="1"/>
                <c:pt idx="0">
                  <c:v>1</c:v>
                </c:pt>
              </c:numCache>
            </c:numRef>
          </c:val>
          <c:extLst>
            <c:ext xmlns:c16="http://schemas.microsoft.com/office/drawing/2014/chart" uri="{C3380CC4-5D6E-409C-BE32-E72D297353CC}">
              <c16:uniqueId val="{00000009-1912-4F29-8A63-424033EE2F33}"/>
            </c:ext>
          </c:extLst>
        </c:ser>
        <c:ser>
          <c:idx val="16"/>
          <c:order val="16"/>
          <c:dLbls>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multiLvlStrRef>
              <c:f>'Cost Breakdown'!#REF!</c:f>
            </c:multiLvlStrRef>
          </c:cat>
          <c:val>
            <c:numRef>
              <c:f>'Cost Breakdown'!#REF!</c:f>
              <c:numCache>
                <c:formatCode>General</c:formatCode>
                <c:ptCount val="1"/>
                <c:pt idx="0">
                  <c:v>1</c:v>
                </c:pt>
              </c:numCache>
            </c:numRef>
          </c:val>
          <c:extLst>
            <c:ext xmlns:c16="http://schemas.microsoft.com/office/drawing/2014/chart" uri="{C3380CC4-5D6E-409C-BE32-E72D297353CC}">
              <c16:uniqueId val="{0000000A-1912-4F29-8A63-424033EE2F33}"/>
            </c:ext>
          </c:extLst>
        </c:ser>
        <c:ser>
          <c:idx val="17"/>
          <c:order val="17"/>
          <c:dLbls>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multiLvlStrRef>
              <c:f>'Cost Breakdown'!#REF!</c:f>
            </c:multiLvlStrRef>
          </c:cat>
          <c:val>
            <c:numRef>
              <c:f>'Cost Breakdown'!#REF!</c:f>
              <c:numCache>
                <c:formatCode>General</c:formatCode>
                <c:ptCount val="1"/>
                <c:pt idx="0">
                  <c:v>1</c:v>
                </c:pt>
              </c:numCache>
            </c:numRef>
          </c:val>
          <c:extLst>
            <c:ext xmlns:c16="http://schemas.microsoft.com/office/drawing/2014/chart" uri="{C3380CC4-5D6E-409C-BE32-E72D297353CC}">
              <c16:uniqueId val="{0000000B-1912-4F29-8A63-424033EE2F33}"/>
            </c:ext>
          </c:extLst>
        </c:ser>
        <c:ser>
          <c:idx val="18"/>
          <c:order val="18"/>
          <c:dLbls>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multiLvlStrRef>
              <c:f>'Cost Breakdown'!#REF!</c:f>
            </c:multiLvlStrRef>
          </c:cat>
          <c:val>
            <c:numRef>
              <c:f>'Cost Breakdown'!#REF!</c:f>
              <c:numCache>
                <c:formatCode>General</c:formatCode>
                <c:ptCount val="1"/>
                <c:pt idx="0">
                  <c:v>1</c:v>
                </c:pt>
              </c:numCache>
            </c:numRef>
          </c:val>
          <c:extLst>
            <c:ext xmlns:c16="http://schemas.microsoft.com/office/drawing/2014/chart" uri="{C3380CC4-5D6E-409C-BE32-E72D297353CC}">
              <c16:uniqueId val="{0000000C-1912-4F29-8A63-424033EE2F33}"/>
            </c:ext>
          </c:extLst>
        </c:ser>
        <c:ser>
          <c:idx val="19"/>
          <c:order val="19"/>
          <c:dLbls>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multiLvlStrRef>
              <c:f>'Cost Breakdown'!#REF!</c:f>
            </c:multiLvlStrRef>
          </c:cat>
          <c:val>
            <c:numRef>
              <c:f>'Cost Breakdown'!#REF!</c:f>
              <c:numCache>
                <c:formatCode>General</c:formatCode>
                <c:ptCount val="1"/>
                <c:pt idx="0">
                  <c:v>1</c:v>
                </c:pt>
              </c:numCache>
            </c:numRef>
          </c:val>
          <c:extLst>
            <c:ext xmlns:c16="http://schemas.microsoft.com/office/drawing/2014/chart" uri="{C3380CC4-5D6E-409C-BE32-E72D297353CC}">
              <c16:uniqueId val="{0000000D-1912-4F29-8A63-424033EE2F33}"/>
            </c:ext>
          </c:extLst>
        </c:ser>
        <c:ser>
          <c:idx val="0"/>
          <c:order val="0"/>
          <c:dLbls>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f>'Cost Breakdown'!$A$92:$A$95</c:f>
              <c:strCache>
                <c:ptCount val="4"/>
                <c:pt idx="0">
                  <c:v>Materials, $</c:v>
                </c:pt>
                <c:pt idx="1">
                  <c:v>Purchased items, $</c:v>
                </c:pt>
                <c:pt idx="2">
                  <c:v>Labor, $</c:v>
                </c:pt>
                <c:pt idx="3">
                  <c:v>Capital Equipment and Building, $</c:v>
                </c:pt>
              </c:strCache>
            </c:strRef>
          </c:cat>
          <c:val>
            <c:numRef>
              <c:f>'Cost Breakdown'!$F$92:$F$95</c:f>
              <c:numCache>
                <c:formatCode>_(* #,##0_);_(* \(#,##0\);_(* "-"??_);_(@_)</c:formatCode>
                <c:ptCount val="4"/>
                <c:pt idx="0">
                  <c:v>443.75179729398076</c:v>
                </c:pt>
                <c:pt idx="1">
                  <c:v>652.83851172544291</c:v>
                </c:pt>
                <c:pt idx="2">
                  <c:v>228.33738642678202</c:v>
                </c:pt>
                <c:pt idx="3">
                  <c:v>529.67977334039756</c:v>
                </c:pt>
              </c:numCache>
            </c:numRef>
          </c:val>
          <c:extLst>
            <c:ext xmlns:c16="http://schemas.microsoft.com/office/drawing/2014/chart" uri="{C3380CC4-5D6E-409C-BE32-E72D297353CC}">
              <c16:uniqueId val="{0000000E-1912-4F29-8A63-424033EE2F33}"/>
            </c:ext>
          </c:extLst>
        </c:ser>
        <c:ser>
          <c:idx val="1"/>
          <c:order val="1"/>
          <c:dLbls>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multiLvlStrRef>
              <c:f>'Cost Breakdown'!#REF!</c:f>
            </c:multiLvlStrRef>
          </c:cat>
          <c:val>
            <c:numRef>
              <c:f>'Cost Breakdown'!#REF!</c:f>
              <c:numCache>
                <c:formatCode>General</c:formatCode>
                <c:ptCount val="1"/>
                <c:pt idx="0">
                  <c:v>1</c:v>
                </c:pt>
              </c:numCache>
            </c:numRef>
          </c:val>
          <c:extLst>
            <c:ext xmlns:c16="http://schemas.microsoft.com/office/drawing/2014/chart" uri="{C3380CC4-5D6E-409C-BE32-E72D297353CC}">
              <c16:uniqueId val="{0000000F-1912-4F29-8A63-424033EE2F33}"/>
            </c:ext>
          </c:extLst>
        </c:ser>
        <c:ser>
          <c:idx val="2"/>
          <c:order val="2"/>
          <c:dLbls>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multiLvlStrRef>
              <c:f>'Cost Breakdown'!#REF!</c:f>
            </c:multiLvlStrRef>
          </c:cat>
          <c:val>
            <c:numRef>
              <c:f>'Cost Breakdown'!#REF!</c:f>
              <c:numCache>
                <c:formatCode>General</c:formatCode>
                <c:ptCount val="1"/>
                <c:pt idx="0">
                  <c:v>1</c:v>
                </c:pt>
              </c:numCache>
            </c:numRef>
          </c:val>
          <c:extLst>
            <c:ext xmlns:c16="http://schemas.microsoft.com/office/drawing/2014/chart" uri="{C3380CC4-5D6E-409C-BE32-E72D297353CC}">
              <c16:uniqueId val="{00000010-1912-4F29-8A63-424033EE2F33}"/>
            </c:ext>
          </c:extLst>
        </c:ser>
        <c:ser>
          <c:idx val="3"/>
          <c:order val="3"/>
          <c:dLbls>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multiLvlStrRef>
              <c:f>'Cost Breakdown'!#REF!</c:f>
            </c:multiLvlStrRef>
          </c:cat>
          <c:val>
            <c:numRef>
              <c:f>'Cost Breakdown'!#REF!</c:f>
              <c:numCache>
                <c:formatCode>General</c:formatCode>
                <c:ptCount val="1"/>
                <c:pt idx="0">
                  <c:v>1</c:v>
                </c:pt>
              </c:numCache>
            </c:numRef>
          </c:val>
          <c:extLst>
            <c:ext xmlns:c16="http://schemas.microsoft.com/office/drawing/2014/chart" uri="{C3380CC4-5D6E-409C-BE32-E72D297353CC}">
              <c16:uniqueId val="{00000011-1912-4F29-8A63-424033EE2F33}"/>
            </c:ext>
          </c:extLst>
        </c:ser>
        <c:ser>
          <c:idx val="4"/>
          <c:order val="4"/>
          <c:dLbls>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multiLvlStrRef>
              <c:f>'Cost Breakdown'!#REF!</c:f>
            </c:multiLvlStrRef>
          </c:cat>
          <c:val>
            <c:numRef>
              <c:f>'Cost Breakdown'!#REF!</c:f>
              <c:numCache>
                <c:formatCode>General</c:formatCode>
                <c:ptCount val="1"/>
                <c:pt idx="0">
                  <c:v>1</c:v>
                </c:pt>
              </c:numCache>
            </c:numRef>
          </c:val>
          <c:extLst>
            <c:ext xmlns:c16="http://schemas.microsoft.com/office/drawing/2014/chart" uri="{C3380CC4-5D6E-409C-BE32-E72D297353CC}">
              <c16:uniqueId val="{00000012-1912-4F29-8A63-424033EE2F33}"/>
            </c:ext>
          </c:extLst>
        </c:ser>
        <c:ser>
          <c:idx val="5"/>
          <c:order val="5"/>
          <c:dLbls>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multiLvlStrRef>
              <c:f>'Cost Breakdown'!#REF!</c:f>
            </c:multiLvlStrRef>
          </c:cat>
          <c:val>
            <c:numRef>
              <c:f>'Cost Breakdown'!#REF!</c:f>
              <c:numCache>
                <c:formatCode>General</c:formatCode>
                <c:ptCount val="1"/>
                <c:pt idx="0">
                  <c:v>1</c:v>
                </c:pt>
              </c:numCache>
            </c:numRef>
          </c:val>
          <c:extLst>
            <c:ext xmlns:c16="http://schemas.microsoft.com/office/drawing/2014/chart" uri="{C3380CC4-5D6E-409C-BE32-E72D297353CC}">
              <c16:uniqueId val="{00000013-1912-4F29-8A63-424033EE2F33}"/>
            </c:ext>
          </c:extLst>
        </c:ser>
        <c:ser>
          <c:idx val="6"/>
          <c:order val="6"/>
          <c:dLbls>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multiLvlStrRef>
              <c:f>'Cost Breakdown'!#REF!</c:f>
            </c:multiLvlStrRef>
          </c:cat>
          <c:val>
            <c:numRef>
              <c:f>'Cost Breakdown'!#REF!</c:f>
              <c:numCache>
                <c:formatCode>General</c:formatCode>
                <c:ptCount val="1"/>
                <c:pt idx="0">
                  <c:v>1</c:v>
                </c:pt>
              </c:numCache>
            </c:numRef>
          </c:val>
          <c:extLst>
            <c:ext xmlns:c16="http://schemas.microsoft.com/office/drawing/2014/chart" uri="{C3380CC4-5D6E-409C-BE32-E72D297353CC}">
              <c16:uniqueId val="{00000014-1912-4F29-8A63-424033EE2F33}"/>
            </c:ext>
          </c:extLst>
        </c:ser>
        <c:ser>
          <c:idx val="7"/>
          <c:order val="7"/>
          <c:dLbls>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multiLvlStrRef>
              <c:f>'Cost Breakdown'!#REF!</c:f>
            </c:multiLvlStrRef>
          </c:cat>
          <c:val>
            <c:numRef>
              <c:f>'Cost Breakdown'!#REF!</c:f>
              <c:numCache>
                <c:formatCode>General</c:formatCode>
                <c:ptCount val="1"/>
                <c:pt idx="0">
                  <c:v>1</c:v>
                </c:pt>
              </c:numCache>
            </c:numRef>
          </c:val>
          <c:extLst>
            <c:ext xmlns:c16="http://schemas.microsoft.com/office/drawing/2014/chart" uri="{C3380CC4-5D6E-409C-BE32-E72D297353CC}">
              <c16:uniqueId val="{00000015-1912-4F29-8A63-424033EE2F33}"/>
            </c:ext>
          </c:extLst>
        </c:ser>
        <c:ser>
          <c:idx val="8"/>
          <c:order val="8"/>
          <c:dLbls>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multiLvlStrRef>
              <c:f>'Cost Breakdown'!#REF!</c:f>
            </c:multiLvlStrRef>
          </c:cat>
          <c:val>
            <c:numRef>
              <c:f>'Cost Breakdown'!#REF!</c:f>
              <c:numCache>
                <c:formatCode>General</c:formatCode>
                <c:ptCount val="1"/>
                <c:pt idx="0">
                  <c:v>1</c:v>
                </c:pt>
              </c:numCache>
            </c:numRef>
          </c:val>
          <c:extLst>
            <c:ext xmlns:c16="http://schemas.microsoft.com/office/drawing/2014/chart" uri="{C3380CC4-5D6E-409C-BE32-E72D297353CC}">
              <c16:uniqueId val="{00000016-1912-4F29-8A63-424033EE2F33}"/>
            </c:ext>
          </c:extLst>
        </c:ser>
        <c:ser>
          <c:idx val="9"/>
          <c:order val="9"/>
          <c:dLbls>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multiLvlStrRef>
              <c:f>'Cost Breakdown'!#REF!</c:f>
            </c:multiLvlStrRef>
          </c:cat>
          <c:val>
            <c:numRef>
              <c:f>'Cost Breakdown'!#REF!</c:f>
              <c:numCache>
                <c:formatCode>General</c:formatCode>
                <c:ptCount val="1"/>
                <c:pt idx="0">
                  <c:v>1</c:v>
                </c:pt>
              </c:numCache>
            </c:numRef>
          </c:val>
          <c:extLst>
            <c:ext xmlns:c16="http://schemas.microsoft.com/office/drawing/2014/chart" uri="{C3380CC4-5D6E-409C-BE32-E72D297353CC}">
              <c16:uniqueId val="{00000017-1912-4F29-8A63-424033EE2F33}"/>
            </c:ext>
          </c:extLst>
        </c:ser>
        <c:dLbls>
          <c:showLegendKey val="0"/>
          <c:showVal val="0"/>
          <c:showCatName val="1"/>
          <c:showSerName val="0"/>
          <c:showPercent val="1"/>
          <c:showBubbleSize val="0"/>
          <c:showLeaderLines val="1"/>
        </c:dLbls>
        <c:firstSliceAng val="0"/>
      </c:pieChart>
    </c:plotArea>
    <c:plotVisOnly val="1"/>
    <c:dispBlanksAs val="gap"/>
    <c:showDLblsOverMax val="0"/>
  </c:chart>
  <c:txPr>
    <a:bodyPr/>
    <a:lstStyle/>
    <a:p>
      <a:pPr>
        <a:defRPr sz="1200" b="1"/>
      </a:pPr>
      <a:endParaRPr lang="en-US"/>
    </a:p>
  </c:txPr>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Cost Breakdown with Overhead Distributed to Processes</a:t>
            </a:r>
          </a:p>
          <a:p>
            <a:pPr>
              <a:defRPr/>
            </a:pPr>
            <a:r>
              <a:rPr lang="en-US"/>
              <a:t>Battery 1</a:t>
            </a:r>
          </a:p>
        </c:rich>
      </c:tx>
      <c:overlay val="0"/>
    </c:title>
    <c:autoTitleDeleted val="0"/>
    <c:plotArea>
      <c:layout>
        <c:manualLayout>
          <c:layoutTarget val="inner"/>
          <c:xMode val="edge"/>
          <c:yMode val="edge"/>
          <c:x val="5.0727702292762862E-2"/>
          <c:y val="0.2875928557710774"/>
          <c:w val="0.34559455725928995"/>
          <c:h val="0.57098244231026873"/>
        </c:manualLayout>
      </c:layout>
      <c:pie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'Cost Breakdown'!$A$98:$A$107</c:f>
              <c:strCache>
                <c:ptCount val="10"/>
                <c:pt idx="0">
                  <c:v>Materials, $</c:v>
                </c:pt>
                <c:pt idx="1">
                  <c:v>Purchased items, $</c:v>
                </c:pt>
                <c:pt idx="2">
                  <c:v>Manufacturing, $</c:v>
                </c:pt>
                <c:pt idx="3">
                  <c:v>     Electrode processing</c:v>
                </c:pt>
                <c:pt idx="4">
                  <c:v>     Cell assembly</c:v>
                </c:pt>
                <c:pt idx="5">
                  <c:v>     Formation cycling, testing and sealing</c:v>
                </c:pt>
                <c:pt idx="6">
                  <c:v>     Module and battery assembly</c:v>
                </c:pt>
                <c:pt idx="7">
                  <c:v>     Cell and materials rejection and recycling</c:v>
                </c:pt>
                <c:pt idx="8">
                  <c:v>     Receiving and shipping</c:v>
                </c:pt>
                <c:pt idx="9">
                  <c:v>     Control laboratory</c:v>
                </c:pt>
              </c:strCache>
            </c:strRef>
          </c:cat>
          <c:val>
            <c:numRef>
              <c:f>'Cost Breakdown'!$F$98:$F$107</c:f>
              <c:numCache>
                <c:formatCode>_(* #,##0_);_(* \(#,##0\);_(* "-"??_);_(@_)</c:formatCode>
                <c:ptCount val="10"/>
                <c:pt idx="0">
                  <c:v>443.75179729398076</c:v>
                </c:pt>
                <c:pt idx="1">
                  <c:v>652.83851172502057</c:v>
                </c:pt>
                <c:pt idx="3">
                  <c:v>170.29001964119931</c:v>
                </c:pt>
                <c:pt idx="4">
                  <c:v>186.99184453955394</c:v>
                </c:pt>
                <c:pt idx="5">
                  <c:v>209.97284634261305</c:v>
                </c:pt>
                <c:pt idx="6">
                  <c:v>110.49912219991558</c:v>
                </c:pt>
                <c:pt idx="7">
                  <c:v>33.930345105122761</c:v>
                </c:pt>
                <c:pt idx="8">
                  <c:v>35.527513559215691</c:v>
                </c:pt>
                <c:pt idx="9">
                  <c:v>10.805468379559267</c:v>
                </c:pt>
              </c:numCache>
            </c:numRef>
          </c:val>
          <c:extLst>
            <c:ext xmlns:c16="http://schemas.microsoft.com/office/drawing/2014/chart" uri="{C3380CC4-5D6E-409C-BE32-E72D297353CC}">
              <c16:uniqueId val="{00000000-4DDE-4E5F-9687-22C9A1FB752F}"/>
            </c:ext>
          </c:extLst>
        </c:ser>
        <c:dLbls>
          <c:showLegendKey val="0"/>
          <c:showVal val="0"/>
          <c:showCatName val="0"/>
          <c:showSerName val="0"/>
          <c:showPercent val="1"/>
          <c:showBubbleSize val="0"/>
          <c:showLeaderLines val="1"/>
        </c:dLbls>
        <c:firstSliceAng val="0"/>
      </c:pieChart>
    </c:plotArea>
    <c:legend>
      <c:legendPos val="r"/>
      <c:layout>
        <c:manualLayout>
          <c:xMode val="edge"/>
          <c:yMode val="edge"/>
          <c:x val="0.39937666386701587"/>
          <c:y val="0.20619909096728761"/>
          <c:w val="0.55063418567946232"/>
          <c:h val="0.78684437616029701"/>
        </c:manualLayout>
      </c:layout>
      <c:overlay val="0"/>
    </c:legend>
    <c:plotVisOnly val="1"/>
    <c:dispBlanksAs val="gap"/>
    <c:showDLblsOverMax val="0"/>
  </c:chart>
  <c:txPr>
    <a:bodyPr/>
    <a:lstStyle/>
    <a:p>
      <a:pPr>
        <a:defRPr sz="1600" b="1"/>
      </a:pPr>
      <a:endParaRPr lang="en-US"/>
    </a:p>
  </c:tx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Overall Cost Breakdown</a:t>
            </a:r>
          </a:p>
          <a:p>
            <a:pPr>
              <a:defRPr/>
            </a:pPr>
            <a:r>
              <a:rPr lang="en-US"/>
              <a:t>Battery 7</a:t>
            </a:r>
          </a:p>
        </c:rich>
      </c:tx>
      <c:overlay val="0"/>
    </c:title>
    <c:autoTitleDeleted val="0"/>
    <c:plotArea>
      <c:layout>
        <c:manualLayout>
          <c:layoutTarget val="inner"/>
          <c:xMode val="edge"/>
          <c:yMode val="edge"/>
          <c:x val="2.8430014867022742E-2"/>
          <c:y val="0.14421558564827464"/>
          <c:w val="0.41548951048951049"/>
          <c:h val="0.68146221173206634"/>
        </c:manualLayout>
      </c:layout>
      <c:pieChart>
        <c:varyColors val="1"/>
        <c:ser>
          <c:idx val="0"/>
          <c:order val="0"/>
          <c:dPt>
            <c:idx val="1"/>
            <c:bubble3D val="0"/>
            <c:extLst>
              <c:ext xmlns:c16="http://schemas.microsoft.com/office/drawing/2014/chart" uri="{C3380CC4-5D6E-409C-BE32-E72D297353CC}">
                <c16:uniqueId val="{00000000-D90B-45B0-8D23-846C45999D50}"/>
              </c:ext>
            </c:extLst>
          </c:dPt>
          <c:dPt>
            <c:idx val="2"/>
            <c:bubble3D val="0"/>
            <c:extLst>
              <c:ext xmlns:c16="http://schemas.microsoft.com/office/drawing/2014/chart" uri="{C3380CC4-5D6E-409C-BE32-E72D297353CC}">
                <c16:uniqueId val="{00000001-D90B-45B0-8D23-846C45999D50}"/>
              </c:ext>
            </c:extLst>
          </c:dPt>
          <c:dPt>
            <c:idx val="3"/>
            <c:bubble3D val="0"/>
            <c:extLst>
              <c:ext xmlns:c16="http://schemas.microsoft.com/office/drawing/2014/chart" uri="{C3380CC4-5D6E-409C-BE32-E72D297353CC}">
                <c16:uniqueId val="{00000002-D90B-45B0-8D23-846C45999D50}"/>
              </c:ext>
            </c:extLst>
          </c:dPt>
          <c:dPt>
            <c:idx val="4"/>
            <c:bubble3D val="0"/>
            <c:extLst>
              <c:ext xmlns:c16="http://schemas.microsoft.com/office/drawing/2014/chart" uri="{C3380CC4-5D6E-409C-BE32-E72D297353CC}">
                <c16:uniqueId val="{00000003-D90B-45B0-8D23-846C45999D50}"/>
              </c:ext>
            </c:extLst>
          </c:dPt>
          <c:dPt>
            <c:idx val="5"/>
            <c:bubble3D val="0"/>
            <c:extLst>
              <c:ext xmlns:c16="http://schemas.microsoft.com/office/drawing/2014/chart" uri="{C3380CC4-5D6E-409C-BE32-E72D297353CC}">
                <c16:uniqueId val="{00000004-D90B-45B0-8D23-846C45999D50}"/>
              </c:ext>
            </c:extLst>
          </c:dPt>
          <c:dPt>
            <c:idx val="6"/>
            <c:bubble3D val="0"/>
            <c:extLst>
              <c:ext xmlns:c16="http://schemas.microsoft.com/office/drawing/2014/chart" uri="{C3380CC4-5D6E-409C-BE32-E72D297353CC}">
                <c16:uniqueId val="{00000005-D90B-45B0-8D23-846C45999D50}"/>
              </c:ext>
            </c:extLst>
          </c:dPt>
          <c:dPt>
            <c:idx val="7"/>
            <c:bubble3D val="0"/>
            <c:extLst>
              <c:ext xmlns:c16="http://schemas.microsoft.com/office/drawing/2014/chart" uri="{C3380CC4-5D6E-409C-BE32-E72D297353CC}">
                <c16:uniqueId val="{00000006-D90B-45B0-8D23-846C45999D50}"/>
              </c:ext>
            </c:extLst>
          </c:dPt>
          <c:dPt>
            <c:idx val="8"/>
            <c:bubble3D val="0"/>
            <c:extLst>
              <c:ext xmlns:c16="http://schemas.microsoft.com/office/drawing/2014/chart" uri="{C3380CC4-5D6E-409C-BE32-E72D297353CC}">
                <c16:uniqueId val="{00000007-D90B-45B0-8D23-846C45999D50}"/>
              </c:ext>
            </c:extLst>
          </c:dPt>
          <c:dLbls>
            <c:numFmt formatCode="0%" sourceLinked="0"/>
            <c:spPr>
              <a:noFill/>
              <a:ln w="25400">
                <a:noFill/>
              </a:ln>
            </c:spPr>
            <c:showLegendKey val="0"/>
            <c:showVal val="0"/>
            <c:showCatName val="0"/>
            <c:showSerName val="0"/>
            <c:showPercent val="1"/>
            <c:showBubbleSize val="0"/>
            <c:showLeaderLines val="0"/>
            <c:extLst>
              <c:ext xmlns:c15="http://schemas.microsoft.com/office/drawing/2012/chart" uri="{CE6537A1-D6FC-4f65-9D91-7224C49458BB}"/>
            </c:extLst>
          </c:dLbls>
          <c:cat>
            <c:strRef>
              <c:f>'Summary of Results'!$A$61:$A$69</c:f>
              <c:strCache>
                <c:ptCount val="9"/>
                <c:pt idx="0">
                  <c:v>Materials</c:v>
                </c:pt>
                <c:pt idx="1">
                  <c:v>Purchased Items </c:v>
                </c:pt>
                <c:pt idx="2">
                  <c:v>Direct Labor                     </c:v>
                </c:pt>
                <c:pt idx="3">
                  <c:v>Variable Overhead  </c:v>
                </c:pt>
                <c:pt idx="4">
                  <c:v>General, Sales, Administration</c:v>
                </c:pt>
                <c:pt idx="5">
                  <c:v>Research and Development</c:v>
                </c:pt>
                <c:pt idx="6">
                  <c:v>Depreciation</c:v>
                </c:pt>
                <c:pt idx="7">
                  <c:v>Profit     </c:v>
                </c:pt>
                <c:pt idx="8">
                  <c:v>Warranty (includes battery pack(s) only)</c:v>
                </c:pt>
              </c:strCache>
            </c:strRef>
          </c:cat>
          <c:val>
            <c:numRef>
              <c:f>'Summary of Results'!$L$61:$L$69</c:f>
              <c:numCache>
                <c:formatCode>_(* #,##0_);_(* \(#,##0\);_(* "-"??_);_(@_)</c:formatCode>
                <c:ptCount val="9"/>
                <c:pt idx="0">
                  <c:v>1416.8213805320058</c:v>
                </c:pt>
                <c:pt idx="1">
                  <c:v>746.87647691775146</c:v>
                </c:pt>
                <c:pt idx="2">
                  <c:v>157.59713940236455</c:v>
                </c:pt>
                <c:pt idx="3">
                  <c:v>130.84367285748232</c:v>
                </c:pt>
                <c:pt idx="4">
                  <c:v>156.86622443563232</c:v>
                </c:pt>
                <c:pt idx="5">
                  <c:v>135.60963419307299</c:v>
                </c:pt>
                <c:pt idx="6">
                  <c:v>339.02408548268244</c:v>
                </c:pt>
                <c:pt idx="7">
                  <c:v>151.80757899851847</c:v>
                </c:pt>
                <c:pt idx="8">
                  <c:v>181.18498679789258</c:v>
                </c:pt>
              </c:numCache>
            </c:numRef>
          </c:val>
          <c:extLst>
            <c:ext xmlns:c16="http://schemas.microsoft.com/office/drawing/2014/chart" uri="{C3380CC4-5D6E-409C-BE32-E72D297353CC}">
              <c16:uniqueId val="{00000008-D90B-45B0-8D23-846C45999D50}"/>
            </c:ext>
          </c:extLst>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47084085419555116"/>
          <c:y val="0.19032174634841109"/>
          <c:w val="0.51811668890225926"/>
          <c:h val="0.79979127271629014"/>
        </c:manualLayout>
      </c:layout>
      <c:overlay val="0"/>
      <c:spPr>
        <a:solidFill>
          <a:srgbClr val="FFFFFF"/>
        </a:solidFill>
        <a:ln w="0">
          <a:noFill/>
          <a:prstDash val="solid"/>
        </a:ln>
      </c:spPr>
    </c:legend>
    <c:plotVisOnly val="1"/>
    <c:dispBlanksAs val="zero"/>
    <c:showDLblsOverMax val="0"/>
  </c:chart>
  <c:spPr>
    <a:solidFill>
      <a:srgbClr val="FFFFFF"/>
    </a:solidFill>
    <a:ln w="3175">
      <a:solidFill>
        <a:srgbClr val="000000"/>
      </a:solidFill>
      <a:prstDash val="solid"/>
    </a:ln>
  </c:spPr>
  <c:txPr>
    <a:bodyPr/>
    <a:lstStyle/>
    <a:p>
      <a:pPr>
        <a:defRPr sz="1400" b="1" i="0" u="none" strike="noStrike" baseline="0">
          <a:solidFill>
            <a:srgbClr val="000000"/>
          </a:solidFill>
          <a:latin typeface="Arial"/>
          <a:ea typeface="Arial"/>
          <a:cs typeface="Arial"/>
        </a:defRPr>
      </a:pPr>
      <a:endParaRPr lang="en-US"/>
    </a:p>
  </c:txPr>
  <c:printSettings>
    <c:headerFooter alignWithMargins="0"/>
    <c:pageMargins b="1" l="0.75000000000000011" r="0.75000000000000011" t="1" header="0.5" footer="0.5"/>
    <c:pageSetup orientation="landscape" verticalDpi="0"/>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Materials and Purchased Items Cost Breakdown</a:t>
            </a:r>
          </a:p>
          <a:p>
            <a:pPr>
              <a:defRPr/>
            </a:pPr>
            <a:r>
              <a:rPr lang="en-US"/>
              <a:t>Battery 7</a:t>
            </a:r>
          </a:p>
        </c:rich>
      </c:tx>
      <c:overlay val="0"/>
    </c:title>
    <c:autoTitleDeleted val="0"/>
    <c:plotArea>
      <c:layout>
        <c:manualLayout>
          <c:layoutTarget val="inner"/>
          <c:xMode val="edge"/>
          <c:yMode val="edge"/>
          <c:x val="0.13129780780192024"/>
          <c:y val="0.22405686179897297"/>
          <c:w val="0.35725217471685261"/>
          <c:h val="0.55188742801010193"/>
        </c:manualLayout>
      </c:layout>
      <c:pieChart>
        <c:varyColors val="1"/>
        <c:ser>
          <c:idx val="0"/>
          <c:order val="0"/>
          <c:dPt>
            <c:idx val="1"/>
            <c:bubble3D val="0"/>
            <c:extLst>
              <c:ext xmlns:c16="http://schemas.microsoft.com/office/drawing/2014/chart" uri="{C3380CC4-5D6E-409C-BE32-E72D297353CC}">
                <c16:uniqueId val="{00000000-9EA9-4137-87F1-874BF6B603E2}"/>
              </c:ext>
            </c:extLst>
          </c:dPt>
          <c:dPt>
            <c:idx val="2"/>
            <c:bubble3D val="0"/>
            <c:extLst>
              <c:ext xmlns:c16="http://schemas.microsoft.com/office/drawing/2014/chart" uri="{C3380CC4-5D6E-409C-BE32-E72D297353CC}">
                <c16:uniqueId val="{00000001-9EA9-4137-87F1-874BF6B603E2}"/>
              </c:ext>
            </c:extLst>
          </c:dPt>
          <c:dPt>
            <c:idx val="3"/>
            <c:bubble3D val="0"/>
            <c:extLst>
              <c:ext xmlns:c16="http://schemas.microsoft.com/office/drawing/2014/chart" uri="{C3380CC4-5D6E-409C-BE32-E72D297353CC}">
                <c16:uniqueId val="{00000002-9EA9-4137-87F1-874BF6B603E2}"/>
              </c:ext>
            </c:extLst>
          </c:dPt>
          <c:dPt>
            <c:idx val="4"/>
            <c:bubble3D val="0"/>
            <c:extLst>
              <c:ext xmlns:c16="http://schemas.microsoft.com/office/drawing/2014/chart" uri="{C3380CC4-5D6E-409C-BE32-E72D297353CC}">
                <c16:uniqueId val="{00000003-9EA9-4137-87F1-874BF6B603E2}"/>
              </c:ext>
            </c:extLst>
          </c:dPt>
          <c:dPt>
            <c:idx val="5"/>
            <c:bubble3D val="0"/>
            <c:extLst>
              <c:ext xmlns:c16="http://schemas.microsoft.com/office/drawing/2014/chart" uri="{C3380CC4-5D6E-409C-BE32-E72D297353CC}">
                <c16:uniqueId val="{00000004-9EA9-4137-87F1-874BF6B603E2}"/>
              </c:ext>
            </c:extLst>
          </c:dPt>
          <c:dPt>
            <c:idx val="6"/>
            <c:bubble3D val="0"/>
            <c:extLst>
              <c:ext xmlns:c16="http://schemas.microsoft.com/office/drawing/2014/chart" uri="{C3380CC4-5D6E-409C-BE32-E72D297353CC}">
                <c16:uniqueId val="{00000005-9EA9-4137-87F1-874BF6B603E2}"/>
              </c:ext>
            </c:extLst>
          </c:dPt>
          <c:dPt>
            <c:idx val="7"/>
            <c:bubble3D val="0"/>
            <c:extLst>
              <c:ext xmlns:c16="http://schemas.microsoft.com/office/drawing/2014/chart" uri="{C3380CC4-5D6E-409C-BE32-E72D297353CC}">
                <c16:uniqueId val="{00000006-9EA9-4137-87F1-874BF6B603E2}"/>
              </c:ext>
            </c:extLst>
          </c:dPt>
          <c:dPt>
            <c:idx val="8"/>
            <c:bubble3D val="0"/>
            <c:extLst>
              <c:ext xmlns:c16="http://schemas.microsoft.com/office/drawing/2014/chart" uri="{C3380CC4-5D6E-409C-BE32-E72D297353CC}">
                <c16:uniqueId val="{00000007-9EA9-4137-87F1-874BF6B603E2}"/>
              </c:ext>
            </c:extLst>
          </c:dPt>
          <c:dPt>
            <c:idx val="9"/>
            <c:bubble3D val="0"/>
            <c:extLst>
              <c:ext xmlns:c16="http://schemas.microsoft.com/office/drawing/2014/chart" uri="{C3380CC4-5D6E-409C-BE32-E72D297353CC}">
                <c16:uniqueId val="{00000008-9EA9-4137-87F1-874BF6B603E2}"/>
              </c:ext>
            </c:extLst>
          </c:dPt>
          <c:dLbls>
            <c:numFmt formatCode="0%" sourceLinked="0"/>
            <c:spPr>
              <a:noFill/>
              <a:ln w="25400">
                <a:noFill/>
              </a:ln>
            </c:spPr>
            <c:showLegendKey val="0"/>
            <c:showVal val="0"/>
            <c:showCatName val="0"/>
            <c:showSerName val="0"/>
            <c:showPercent val="1"/>
            <c:showBubbleSize val="0"/>
            <c:showLeaderLines val="1"/>
            <c:extLst>
              <c:ext xmlns:c15="http://schemas.microsoft.com/office/drawing/2012/chart" uri="{CE6537A1-D6FC-4f65-9D91-7224C49458BB}"/>
            </c:extLst>
          </c:dLbls>
          <c:cat>
            <c:strRef>
              <c:f>'Cost Breakdown'!$A$21:$A$30</c:f>
              <c:strCache>
                <c:ptCount val="10"/>
                <c:pt idx="0">
                  <c:v>Positive Active  Material</c:v>
                </c:pt>
                <c:pt idx="1">
                  <c:v>Negative Active  Material</c:v>
                </c:pt>
                <c:pt idx="2">
                  <c:v>Carbon and Binders</c:v>
                </c:pt>
                <c:pt idx="3">
                  <c:v>Positive Current Collector</c:v>
                </c:pt>
                <c:pt idx="4">
                  <c:v>Negative Current Collector</c:v>
                </c:pt>
                <c:pt idx="5">
                  <c:v>Separators</c:v>
                </c:pt>
                <c:pt idx="6">
                  <c:v>Electrolyte</c:v>
                </c:pt>
                <c:pt idx="7">
                  <c:v>Cell Hardware</c:v>
                </c:pt>
                <c:pt idx="8">
                  <c:v>Module Hardware</c:v>
                </c:pt>
                <c:pt idx="9">
                  <c:v>Battery Jacket</c:v>
                </c:pt>
              </c:strCache>
            </c:strRef>
          </c:cat>
          <c:val>
            <c:numRef>
              <c:f>'Cost Breakdown'!$L$21:$L$30</c:f>
              <c:numCache>
                <c:formatCode>_(* #,##0.00_);_(* \(#,##0.00\);_(* "-"??_);_(@_)</c:formatCode>
                <c:ptCount val="10"/>
                <c:pt idx="0">
                  <c:v>421.36663569395296</c:v>
                </c:pt>
                <c:pt idx="1">
                  <c:v>231.39456519343815</c:v>
                </c:pt>
                <c:pt idx="2">
                  <c:v>56.860967997927425</c:v>
                </c:pt>
                <c:pt idx="3">
                  <c:v>38.148387006770108</c:v>
                </c:pt>
                <c:pt idx="4">
                  <c:v>162.58686960995976</c:v>
                </c:pt>
                <c:pt idx="5">
                  <c:v>282.40827656773513</c:v>
                </c:pt>
                <c:pt idx="6">
                  <c:v>224.0556784622222</c:v>
                </c:pt>
                <c:pt idx="7">
                  <c:v>88.845503256705811</c:v>
                </c:pt>
                <c:pt idx="8">
                  <c:v>329.78633371397217</c:v>
                </c:pt>
                <c:pt idx="9">
                  <c:v>328.24463994707344</c:v>
                </c:pt>
              </c:numCache>
            </c:numRef>
          </c:val>
          <c:extLst>
            <c:ext xmlns:c16="http://schemas.microsoft.com/office/drawing/2014/chart" uri="{C3380CC4-5D6E-409C-BE32-E72D297353CC}">
              <c16:uniqueId val="{00000009-9EA9-4137-87F1-874BF6B603E2}"/>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58427633772055865"/>
          <c:y val="0.20125786163522014"/>
          <c:w val="0.3862598625553485"/>
          <c:h val="0.74528425692071509"/>
        </c:manualLayout>
      </c:layout>
      <c:overlay val="0"/>
      <c:spPr>
        <a:solidFill>
          <a:srgbClr val="FFFFFF"/>
        </a:solidFill>
        <a:ln w="3175">
          <a:noFill/>
          <a:prstDash val="solid"/>
        </a:ln>
      </c:spPr>
    </c:legend>
    <c:plotVisOnly val="1"/>
    <c:dispBlanksAs val="zero"/>
    <c:showDLblsOverMax val="0"/>
  </c:chart>
  <c:spPr>
    <a:solidFill>
      <a:srgbClr val="FFFFFF"/>
    </a:solidFill>
    <a:ln w="3175">
      <a:solidFill>
        <a:srgbClr val="000000"/>
      </a:solidFill>
      <a:prstDash val="solid"/>
    </a:ln>
  </c:spPr>
  <c:txPr>
    <a:bodyPr/>
    <a:lstStyle/>
    <a:p>
      <a:pPr>
        <a:defRPr sz="1400" b="1" i="0" u="none" strike="noStrike" baseline="0">
          <a:solidFill>
            <a:srgbClr val="000000"/>
          </a:solidFill>
          <a:latin typeface="Arial"/>
          <a:ea typeface="Arial"/>
          <a:cs typeface="Arial"/>
        </a:defRPr>
      </a:pPr>
      <a:endParaRPr lang="en-US"/>
    </a:p>
  </c:txPr>
  <c:printSettings>
    <c:headerFooter alignWithMargins="0"/>
    <c:pageMargins b="1" l="0.75000000000000011" r="0.75000000000000011" t="1" header="0.5" footer="0.5"/>
    <c:pageSetup orientation="landscape" horizontalDpi="300" verticalDpi="300"/>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Cost Breakdown with Overhead Distributed to Processes</a:t>
            </a:r>
          </a:p>
          <a:p>
            <a:pPr>
              <a:defRPr/>
            </a:pPr>
            <a:r>
              <a:rPr lang="en-US"/>
              <a:t>Battery 7</a:t>
            </a:r>
          </a:p>
        </c:rich>
      </c:tx>
      <c:overlay val="0"/>
    </c:title>
    <c:autoTitleDeleted val="0"/>
    <c:plotArea>
      <c:layout>
        <c:manualLayout>
          <c:layoutTarget val="inner"/>
          <c:xMode val="edge"/>
          <c:yMode val="edge"/>
          <c:x val="5.0727702292762862E-2"/>
          <c:y val="0.2875928557710774"/>
          <c:w val="0.34559455725928995"/>
          <c:h val="0.57098244231026873"/>
        </c:manualLayout>
      </c:layout>
      <c:pie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'Cost Breakdown'!$A$98:$A$107</c:f>
              <c:strCache>
                <c:ptCount val="10"/>
                <c:pt idx="0">
                  <c:v>Materials, $</c:v>
                </c:pt>
                <c:pt idx="1">
                  <c:v>Purchased items, $</c:v>
                </c:pt>
                <c:pt idx="2">
                  <c:v>Manufacturing, $</c:v>
                </c:pt>
                <c:pt idx="3">
                  <c:v>     Electrode processing</c:v>
                </c:pt>
                <c:pt idx="4">
                  <c:v>     Cell assembly</c:v>
                </c:pt>
                <c:pt idx="5">
                  <c:v>     Formation cycling, testing and sealing</c:v>
                </c:pt>
                <c:pt idx="6">
                  <c:v>     Module and battery assembly</c:v>
                </c:pt>
                <c:pt idx="7">
                  <c:v>     Cell and materials rejection and recycling</c:v>
                </c:pt>
                <c:pt idx="8">
                  <c:v>     Receiving and shipping</c:v>
                </c:pt>
                <c:pt idx="9">
                  <c:v>     Control laboratory</c:v>
                </c:pt>
              </c:strCache>
            </c:strRef>
          </c:cat>
          <c:val>
            <c:numRef>
              <c:f>'Cost Breakdown'!$L$98:$L$107</c:f>
              <c:numCache>
                <c:formatCode>_(* #,##0_);_(* \(#,##0\);_(* "-"??_);_(@_)</c:formatCode>
                <c:ptCount val="10"/>
                <c:pt idx="0">
                  <c:v>1511.1250116202154</c:v>
                </c:pt>
                <c:pt idx="1">
                  <c:v>796.58857522139658</c:v>
                </c:pt>
                <c:pt idx="3">
                  <c:v>389.88890063523962</c:v>
                </c:pt>
                <c:pt idx="4">
                  <c:v>196.03877631369838</c:v>
                </c:pt>
                <c:pt idx="5">
                  <c:v>273.82759233762192</c:v>
                </c:pt>
                <c:pt idx="6">
                  <c:v>110.49912219991558</c:v>
                </c:pt>
                <c:pt idx="7">
                  <c:v>33.930345105122761</c:v>
                </c:pt>
                <c:pt idx="8">
                  <c:v>80.706660825031648</c:v>
                </c:pt>
                <c:pt idx="9">
                  <c:v>24.026195359157576</c:v>
                </c:pt>
              </c:numCache>
            </c:numRef>
          </c:val>
          <c:extLst>
            <c:ext xmlns:c16="http://schemas.microsoft.com/office/drawing/2014/chart" uri="{C3380CC4-5D6E-409C-BE32-E72D297353CC}">
              <c16:uniqueId val="{00000000-73E4-4A14-AD93-B1A97415164F}"/>
            </c:ext>
          </c:extLst>
        </c:ser>
        <c:dLbls>
          <c:showLegendKey val="0"/>
          <c:showVal val="0"/>
          <c:showCatName val="0"/>
          <c:showSerName val="0"/>
          <c:showPercent val="1"/>
          <c:showBubbleSize val="0"/>
          <c:showLeaderLines val="1"/>
        </c:dLbls>
        <c:firstSliceAng val="0"/>
      </c:pieChart>
    </c:plotArea>
    <c:legend>
      <c:legendPos val="r"/>
      <c:layout>
        <c:manualLayout>
          <c:xMode val="edge"/>
          <c:yMode val="edge"/>
          <c:x val="0.39937666386701587"/>
          <c:y val="0.20619909096728761"/>
          <c:w val="0.55063418567946232"/>
          <c:h val="0.78684437616029701"/>
        </c:manualLayout>
      </c:layout>
      <c:overlay val="0"/>
    </c:legend>
    <c:plotVisOnly val="1"/>
    <c:dispBlanksAs val="gap"/>
    <c:showDLblsOverMax val="0"/>
  </c:chart>
  <c:txPr>
    <a:bodyPr/>
    <a:lstStyle/>
    <a:p>
      <a:pPr>
        <a:defRPr sz="1600" b="1"/>
      </a:pPr>
      <a:endParaRPr lang="en-US"/>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10</xdr:col>
      <xdr:colOff>0</xdr:colOff>
      <xdr:row>0</xdr:row>
      <xdr:rowOff>0</xdr:rowOff>
    </xdr:from>
    <xdr:to>
      <xdr:col>10</xdr:col>
      <xdr:colOff>0</xdr:colOff>
      <xdr:row>0</xdr:row>
      <xdr:rowOff>0</xdr:rowOff>
    </xdr:to>
    <xdr:graphicFrame macro="">
      <xdr:nvGraphicFramePr>
        <xdr:cNvPr id="614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22224</xdr:colOff>
      <xdr:row>112</xdr:row>
      <xdr:rowOff>82550</xdr:rowOff>
    </xdr:from>
    <xdr:to>
      <xdr:col>11</xdr:col>
      <xdr:colOff>603249</xdr:colOff>
      <xdr:row>138</xdr:row>
      <xdr:rowOff>47626</xdr:rowOff>
    </xdr:to>
    <xdr:graphicFrame macro="">
      <xdr:nvGraphicFramePr>
        <xdr:cNvPr id="2" name="Chart 6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167</xdr:row>
      <xdr:rowOff>92074</xdr:rowOff>
    </xdr:from>
    <xdr:to>
      <xdr:col>11</xdr:col>
      <xdr:colOff>571500</xdr:colOff>
      <xdr:row>196</xdr:row>
      <xdr:rowOff>76200</xdr:rowOff>
    </xdr:to>
    <xdr:graphicFrame macro="">
      <xdr:nvGraphicFramePr>
        <xdr:cNvPr id="4" name="Chart 2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57150</xdr:colOff>
      <xdr:row>288</xdr:row>
      <xdr:rowOff>63499</xdr:rowOff>
    </xdr:from>
    <xdr:to>
      <xdr:col>11</xdr:col>
      <xdr:colOff>574675</xdr:colOff>
      <xdr:row>315</xdr:row>
      <xdr:rowOff>76199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xdr:colOff>
      <xdr:row>316</xdr:row>
      <xdr:rowOff>66675</xdr:rowOff>
    </xdr:from>
    <xdr:to>
      <xdr:col>11</xdr:col>
      <xdr:colOff>590550</xdr:colOff>
      <xdr:row>345</xdr:row>
      <xdr:rowOff>9525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227</xdr:row>
      <xdr:rowOff>28575</xdr:rowOff>
    </xdr:from>
    <xdr:to>
      <xdr:col>11</xdr:col>
      <xdr:colOff>581023</xdr:colOff>
      <xdr:row>251</xdr:row>
      <xdr:rowOff>19051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19050</xdr:colOff>
      <xdr:row>139</xdr:row>
      <xdr:rowOff>57150</xdr:rowOff>
    </xdr:from>
    <xdr:to>
      <xdr:col>11</xdr:col>
      <xdr:colOff>600075</xdr:colOff>
      <xdr:row>165</xdr:row>
      <xdr:rowOff>19051</xdr:rowOff>
    </xdr:to>
    <xdr:graphicFrame macro="">
      <xdr:nvGraphicFramePr>
        <xdr:cNvPr id="12" name="Chart 6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31751</xdr:colOff>
      <xdr:row>197</xdr:row>
      <xdr:rowOff>22226</xdr:rowOff>
    </xdr:from>
    <xdr:to>
      <xdr:col>11</xdr:col>
      <xdr:colOff>571501</xdr:colOff>
      <xdr:row>226</xdr:row>
      <xdr:rowOff>19051</xdr:rowOff>
    </xdr:to>
    <xdr:graphicFrame macro="">
      <xdr:nvGraphicFramePr>
        <xdr:cNvPr id="13" name="Chart 2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252</xdr:row>
      <xdr:rowOff>0</xdr:rowOff>
    </xdr:from>
    <xdr:to>
      <xdr:col>11</xdr:col>
      <xdr:colOff>571498</xdr:colOff>
      <xdr:row>275</xdr:row>
      <xdr:rowOff>152401</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0.59661</cdr:x>
      <cdr:y>0.23272</cdr:y>
    </cdr:from>
    <cdr:to>
      <cdr:x>0.72193</cdr:x>
      <cdr:y>0.42984</cdr:y>
    </cdr:to>
    <cdr:sp macro="" textlink="">
      <cdr:nvSpPr>
        <cdr:cNvPr id="2" name="TextBox 1"/>
        <cdr:cNvSpPr txBox="1"/>
      </cdr:nvSpPr>
      <cdr:spPr>
        <a:xfrm xmlns:a="http://schemas.openxmlformats.org/drawingml/2006/main">
          <a:off x="4352925" y="10795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4.xml><?xml version="1.0" encoding="utf-8"?>
<c:userShapes xmlns:c="http://schemas.openxmlformats.org/drawingml/2006/chart">
  <cdr:relSizeAnchor xmlns:cdr="http://schemas.openxmlformats.org/drawingml/2006/chartDrawing">
    <cdr:from>
      <cdr:x>0.59661</cdr:x>
      <cdr:y>0.23272</cdr:y>
    </cdr:from>
    <cdr:to>
      <cdr:x>0.72193</cdr:x>
      <cdr:y>0.42984</cdr:y>
    </cdr:to>
    <cdr:sp macro="" textlink="">
      <cdr:nvSpPr>
        <cdr:cNvPr id="2" name="TextBox 1"/>
        <cdr:cNvSpPr txBox="1"/>
      </cdr:nvSpPr>
      <cdr:spPr>
        <a:xfrm xmlns:a="http://schemas.openxmlformats.org/drawingml/2006/main">
          <a:off x="4352925" y="10795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247650</xdr:colOff>
      <xdr:row>0</xdr:row>
      <xdr:rowOff>19050</xdr:rowOff>
    </xdr:from>
    <xdr:to>
      <xdr:col>14</xdr:col>
      <xdr:colOff>390525</xdr:colOff>
      <xdr:row>5</xdr:row>
      <xdr:rowOff>142875</xdr:rowOff>
    </xdr:to>
    <xdr:sp macro="" textlink="">
      <xdr:nvSpPr>
        <xdr:cNvPr id="120942" name="Text Box 110"/>
        <xdr:cNvSpPr txBox="1">
          <a:spLocks noChangeArrowheads="1"/>
        </xdr:cNvSpPr>
      </xdr:nvSpPr>
      <xdr:spPr bwMode="auto">
        <a:xfrm>
          <a:off x="247650" y="19050"/>
          <a:ext cx="8677275" cy="933450"/>
        </a:xfrm>
        <a:prstGeom prst="rect">
          <a:avLst/>
        </a:prstGeom>
        <a:solidFill>
          <a:srgbClr val="FFFFFF"/>
        </a:solidFill>
        <a:ln>
          <a:noFill/>
        </a:ln>
        <a:extLst/>
      </xdr:spPr>
      <xdr:txBody>
        <a:bodyPr vertOverflow="clip" wrap="square" lIns="36576" tIns="32004" rIns="36576" bIns="32004" anchor="ctr" upright="1"/>
        <a:lstStyle/>
        <a:p>
          <a:pPr algn="ctr" rtl="0">
            <a:defRPr sz="1000"/>
          </a:pPr>
          <a:r>
            <a:rPr lang="en-US" sz="1600" b="1" i="0" u="none" strike="noStrike" baseline="0">
              <a:solidFill>
                <a:srgbClr val="000000"/>
              </a:solidFill>
              <a:latin typeface="Arial"/>
              <a:cs typeface="Arial"/>
            </a:rPr>
            <a:t>Baseline Lithium-Ion Battery Manufacturing Plant Schematic Diagram</a:t>
          </a:r>
          <a:endParaRPr lang="en-US" sz="1800" b="1" i="0" u="none" strike="noStrike" baseline="0">
            <a:solidFill>
              <a:srgbClr val="000000"/>
            </a:solidFill>
            <a:latin typeface="Arial"/>
            <a:cs typeface="Arial"/>
          </a:endParaRPr>
        </a:p>
        <a:p>
          <a:pPr algn="ctr" rtl="0">
            <a:defRPr sz="1000"/>
          </a:pPr>
          <a:r>
            <a:rPr lang="en-US" sz="1800" b="1" i="0" u="none" strike="noStrike" baseline="0">
              <a:solidFill>
                <a:srgbClr val="000000"/>
              </a:solidFill>
              <a:latin typeface="Arial"/>
              <a:cs typeface="Arial"/>
            </a:rPr>
            <a:t> </a:t>
          </a:r>
          <a:r>
            <a:rPr lang="en-US" sz="1400" b="1" i="0" u="none" strike="noStrike" baseline="0">
              <a:solidFill>
                <a:srgbClr val="000000"/>
              </a:solidFill>
              <a:latin typeface="Arial"/>
              <a:cs typeface="Arial"/>
            </a:rPr>
            <a:t>100,000 battery NCA-Gr packs per year, 50-kW battery power, 40-Ah capacity, 60 cells per battery</a:t>
          </a:r>
        </a:p>
        <a:p>
          <a:pPr algn="ctr" rtl="0">
            <a:defRPr sz="1000"/>
          </a:pPr>
          <a:r>
            <a:rPr lang="en-US" sz="1400" b="1" i="0" u="none" strike="noStrike" baseline="0">
              <a:solidFill>
                <a:srgbClr val="000000"/>
              </a:solidFill>
              <a:latin typeface="Arial"/>
              <a:cs typeface="Arial"/>
            </a:rPr>
            <a:t>Operating year: 300 days with three 8-hr shifts per day (two shifts for receiving and shipping)</a:t>
          </a:r>
        </a:p>
      </xdr:txBody>
    </xdr:sp>
    <xdr:clientData/>
  </xdr:twoCellAnchor>
  <xdr:twoCellAnchor>
    <xdr:from>
      <xdr:col>0</xdr:col>
      <xdr:colOff>257175</xdr:colOff>
      <xdr:row>6</xdr:row>
      <xdr:rowOff>85725</xdr:rowOff>
    </xdr:from>
    <xdr:to>
      <xdr:col>14</xdr:col>
      <xdr:colOff>295275</xdr:colOff>
      <xdr:row>42</xdr:row>
      <xdr:rowOff>38100</xdr:rowOff>
    </xdr:to>
    <xdr:grpSp>
      <xdr:nvGrpSpPr>
        <xdr:cNvPr id="9218" name="Group 160"/>
        <xdr:cNvGrpSpPr>
          <a:grpSpLocks/>
        </xdr:cNvGrpSpPr>
      </xdr:nvGrpSpPr>
      <xdr:grpSpPr bwMode="auto">
        <a:xfrm>
          <a:off x="257175" y="1057275"/>
          <a:ext cx="8572500" cy="5781675"/>
          <a:chOff x="2" y="118"/>
          <a:chExt cx="900" cy="607"/>
        </a:xfrm>
      </xdr:grpSpPr>
      <xdr:sp macro="" textlink="">
        <xdr:nvSpPr>
          <xdr:cNvPr id="120945" name="Text Box 113"/>
          <xdr:cNvSpPr txBox="1">
            <a:spLocks noChangeArrowheads="1"/>
          </xdr:cNvSpPr>
        </xdr:nvSpPr>
        <xdr:spPr bwMode="auto">
          <a:xfrm>
            <a:off x="28" y="663"/>
            <a:ext cx="865" cy="62"/>
          </a:xfrm>
          <a:prstGeom prst="rect">
            <a:avLst/>
          </a:prstGeom>
          <a:solidFill>
            <a:srgbClr val="FFFFFF"/>
          </a:solidFill>
          <a:ln>
            <a:noFill/>
          </a:ln>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The areas in this diagram for each processing step are approximately proportional to the estimated plant areas in the baseline plant.</a:t>
            </a:r>
          </a:p>
          <a:p>
            <a:pPr algn="l" rtl="0">
              <a:defRPr sz="1000"/>
            </a:pPr>
            <a:endParaRPr lang="en-US" sz="1600" b="1" i="0" u="none" strike="noStrike" baseline="0">
              <a:solidFill>
                <a:srgbClr val="000000"/>
              </a:solidFill>
              <a:latin typeface="Arial"/>
              <a:cs typeface="Arial"/>
            </a:endParaRPr>
          </a:p>
        </xdr:txBody>
      </xdr:sp>
      <xdr:sp macro="" textlink="">
        <xdr:nvSpPr>
          <xdr:cNvPr id="120938" name="Text Box 106"/>
          <xdr:cNvSpPr txBox="1">
            <a:spLocks noChangeArrowheads="1"/>
          </xdr:cNvSpPr>
        </xdr:nvSpPr>
        <xdr:spPr bwMode="auto">
          <a:xfrm>
            <a:off x="2" y="272"/>
            <a:ext cx="128" cy="199"/>
          </a:xfrm>
          <a:prstGeom prst="rect">
            <a:avLst/>
          </a:prstGeom>
          <a:solidFill>
            <a:srgbClr val="FFFFFF"/>
          </a:solidFill>
          <a:ln w="9525">
            <a:solidFill>
              <a:srgbClr val="000000"/>
            </a:solidFill>
            <a:miter lim="800000"/>
            <a:headEnd/>
            <a:tailEnd/>
          </a:ln>
        </xdr:spPr>
        <xdr:txBody>
          <a:bodyPr vertOverflow="clip" wrap="square" lIns="36576" tIns="32004" rIns="36576" bIns="32004" anchor="ctr" upright="1"/>
          <a:lstStyle/>
          <a:p>
            <a:pPr algn="ctr" rtl="0">
              <a:defRPr sz="1000"/>
            </a:pPr>
            <a:r>
              <a:rPr lang="en-US" sz="1600" b="1" i="0" u="none" strike="noStrike" baseline="0">
                <a:solidFill>
                  <a:srgbClr val="000000"/>
                </a:solidFill>
                <a:latin typeface="Arial"/>
                <a:cs typeface="Arial"/>
              </a:rPr>
              <a:t>Shipping</a:t>
            </a:r>
          </a:p>
        </xdr:txBody>
      </xdr:sp>
      <xdr:sp macro="" textlink="">
        <xdr:nvSpPr>
          <xdr:cNvPr id="120939" name="Text Box 107"/>
          <xdr:cNvSpPr txBox="1">
            <a:spLocks noChangeArrowheads="1"/>
          </xdr:cNvSpPr>
        </xdr:nvSpPr>
        <xdr:spPr bwMode="auto">
          <a:xfrm>
            <a:off x="2" y="471"/>
            <a:ext cx="128" cy="135"/>
          </a:xfrm>
          <a:prstGeom prst="rect">
            <a:avLst/>
          </a:prstGeom>
          <a:solidFill>
            <a:srgbClr val="FFFFFF"/>
          </a:solidFill>
          <a:ln w="9525">
            <a:solidFill>
              <a:srgbClr val="000000"/>
            </a:solidFill>
            <a:miter lim="800000"/>
            <a:headEnd/>
            <a:tailEnd/>
          </a:ln>
        </xdr:spPr>
        <xdr:txBody>
          <a:bodyPr vertOverflow="clip" wrap="square" lIns="36576" tIns="27432" rIns="36576" bIns="27432" anchor="ctr" upright="1"/>
          <a:lstStyle/>
          <a:p>
            <a:pPr algn="ctr" rtl="0">
              <a:defRPr sz="1000"/>
            </a:pPr>
            <a:r>
              <a:rPr lang="en-US" sz="1400" b="1" i="0" u="none" strike="noStrike" baseline="0">
                <a:solidFill>
                  <a:srgbClr val="000000"/>
                </a:solidFill>
                <a:latin typeface="Arial"/>
                <a:cs typeface="Arial"/>
              </a:rPr>
              <a:t>Cell and Scrap Recycling</a:t>
            </a:r>
          </a:p>
        </xdr:txBody>
      </xdr:sp>
      <xdr:sp macro="" textlink="">
        <xdr:nvSpPr>
          <xdr:cNvPr id="120940" name="Text Box 108"/>
          <xdr:cNvSpPr txBox="1">
            <a:spLocks noChangeArrowheads="1"/>
          </xdr:cNvSpPr>
        </xdr:nvSpPr>
        <xdr:spPr bwMode="auto">
          <a:xfrm>
            <a:off x="2" y="118"/>
            <a:ext cx="173" cy="154"/>
          </a:xfrm>
          <a:prstGeom prst="rect">
            <a:avLst/>
          </a:prstGeom>
          <a:solidFill>
            <a:srgbClr val="FFFFFF"/>
          </a:solidFill>
          <a:ln w="9525">
            <a:solidFill>
              <a:srgbClr val="000000"/>
            </a:solidFill>
            <a:miter lim="800000"/>
            <a:headEnd/>
            <a:tailEnd/>
          </a:ln>
        </xdr:spPr>
        <xdr:txBody>
          <a:bodyPr vertOverflow="clip" wrap="square" lIns="36576" tIns="32004" rIns="36576" bIns="32004" anchor="ctr" upright="1"/>
          <a:lstStyle/>
          <a:p>
            <a:pPr algn="ctr" rtl="0">
              <a:defRPr sz="1000"/>
            </a:pPr>
            <a:r>
              <a:rPr lang="en-US" sz="1600" b="1" i="0" u="none" strike="noStrike" baseline="0">
                <a:solidFill>
                  <a:srgbClr val="000000"/>
                </a:solidFill>
                <a:latin typeface="Arial"/>
                <a:cs typeface="Arial"/>
              </a:rPr>
              <a:t>Receiving</a:t>
            </a:r>
          </a:p>
        </xdr:txBody>
      </xdr:sp>
      <xdr:sp macro="" textlink="">
        <xdr:nvSpPr>
          <xdr:cNvPr id="120941" name="Text Box 109"/>
          <xdr:cNvSpPr txBox="1">
            <a:spLocks noChangeArrowheads="1"/>
          </xdr:cNvSpPr>
        </xdr:nvSpPr>
        <xdr:spPr bwMode="auto">
          <a:xfrm>
            <a:off x="263" y="272"/>
            <a:ext cx="135" cy="95"/>
          </a:xfrm>
          <a:prstGeom prst="rect">
            <a:avLst/>
          </a:prstGeom>
          <a:solidFill>
            <a:srgbClr val="FFFFFF"/>
          </a:solidFill>
          <a:ln w="9525">
            <a:solidFill>
              <a:srgbClr val="000000"/>
            </a:solidFill>
            <a:miter lim="800000"/>
            <a:headEnd/>
            <a:tailEnd/>
          </a:ln>
        </xdr:spPr>
        <xdr:txBody>
          <a:bodyPr vertOverflow="clip" wrap="square" lIns="36576" tIns="27432" rIns="36576" bIns="27432" anchor="ctr" upright="1"/>
          <a:lstStyle/>
          <a:p>
            <a:pPr algn="ctr" rtl="0">
              <a:defRPr sz="1000"/>
            </a:pPr>
            <a:r>
              <a:rPr lang="en-US" sz="1400" b="1" i="0" u="none" strike="noStrike" baseline="0">
                <a:solidFill>
                  <a:srgbClr val="000000"/>
                </a:solidFill>
                <a:latin typeface="Arial"/>
                <a:cs typeface="Arial"/>
              </a:rPr>
              <a:t>Control Laboratory</a:t>
            </a:r>
          </a:p>
        </xdr:txBody>
      </xdr:sp>
      <xdr:sp macro="" textlink="">
        <xdr:nvSpPr>
          <xdr:cNvPr id="9224" name="AutoShape 111"/>
          <xdr:cNvSpPr>
            <a:spLocks noChangeArrowheads="1"/>
          </xdr:cNvSpPr>
        </xdr:nvSpPr>
        <xdr:spPr bwMode="auto">
          <a:xfrm>
            <a:off x="76" y="626"/>
            <a:ext cx="65" cy="14"/>
          </a:xfrm>
          <a:prstGeom prst="rightArrow">
            <a:avLst>
              <a:gd name="adj1" fmla="val 50000"/>
              <a:gd name="adj2" fmla="val 116071"/>
            </a:avLst>
          </a:prstGeom>
          <a:solidFill>
            <a:srgbClr val="800080">
              <a:alpha val="50195"/>
            </a:srgbClr>
          </a:solidFill>
          <a:ln w="9525">
            <a:solidFill>
              <a:srgbClr val="800080"/>
            </a:solidFill>
            <a:miter lim="800000"/>
            <a:headEnd/>
            <a:tailEnd/>
          </a:ln>
        </xdr:spPr>
      </xdr:sp>
      <xdr:sp macro="" textlink="">
        <xdr:nvSpPr>
          <xdr:cNvPr id="120944" name="Text Box 112"/>
          <xdr:cNvSpPr txBox="1">
            <a:spLocks noChangeArrowheads="1"/>
          </xdr:cNvSpPr>
        </xdr:nvSpPr>
        <xdr:spPr bwMode="auto">
          <a:xfrm>
            <a:off x="150" y="619"/>
            <a:ext cx="181" cy="33"/>
          </a:xfrm>
          <a:prstGeom prst="rect">
            <a:avLst/>
          </a:prstGeom>
          <a:solidFill>
            <a:srgbClr val="FFFFFF"/>
          </a:solidFill>
          <a:ln>
            <a:noFill/>
          </a:ln>
          <a:extLst/>
        </xdr:spPr>
        <xdr:txBody>
          <a:bodyPr vertOverflow="clip" wrap="square" lIns="36576" tIns="32004" rIns="0" bIns="0" anchor="t" upright="1"/>
          <a:lstStyle/>
          <a:p>
            <a:pPr algn="l" rtl="0">
              <a:defRPr sz="1000"/>
            </a:pPr>
            <a:r>
              <a:rPr lang="en-US" sz="1600" b="1" i="0" u="none" strike="noStrike" baseline="0">
                <a:solidFill>
                  <a:srgbClr val="800080"/>
                </a:solidFill>
                <a:latin typeface="Arial"/>
                <a:cs typeface="Arial"/>
              </a:rPr>
              <a:t>Assembly Route</a:t>
            </a:r>
          </a:p>
        </xdr:txBody>
      </xdr:sp>
      <xdr:sp macro="" textlink="">
        <xdr:nvSpPr>
          <xdr:cNvPr id="120946" name="Text Box 114"/>
          <xdr:cNvSpPr txBox="1">
            <a:spLocks noChangeArrowheads="1"/>
          </xdr:cNvSpPr>
        </xdr:nvSpPr>
        <xdr:spPr bwMode="auto">
          <a:xfrm>
            <a:off x="130" y="271"/>
            <a:ext cx="133" cy="193"/>
          </a:xfrm>
          <a:prstGeom prst="rect">
            <a:avLst/>
          </a:prstGeom>
          <a:solidFill>
            <a:srgbClr val="FFFFFF"/>
          </a:solidFill>
          <a:ln w="9525">
            <a:solidFill>
              <a:srgbClr val="000000"/>
            </a:solidFill>
            <a:miter lim="800000"/>
            <a:headEnd/>
            <a:tailEnd/>
          </a:ln>
        </xdr:spPr>
        <xdr:txBody>
          <a:bodyPr vertOverflow="clip" wrap="square" lIns="36576" tIns="27432" rIns="36576" bIns="0" anchor="t" upright="1"/>
          <a:lstStyle/>
          <a:p>
            <a:pPr algn="ctr" rtl="0">
              <a:defRPr sz="1000"/>
            </a:pPr>
            <a:endParaRPr lang="en-US" sz="1400" b="1" i="0" u="none" strike="noStrike" baseline="0">
              <a:solidFill>
                <a:srgbClr val="000000"/>
              </a:solidFill>
              <a:latin typeface="Arial"/>
              <a:cs typeface="Arial"/>
            </a:endParaRPr>
          </a:p>
          <a:p>
            <a:pPr algn="ctr" rtl="0">
              <a:defRPr sz="1000"/>
            </a:pPr>
            <a:r>
              <a:rPr lang="en-US" sz="1400" b="1" i="0" u="none" strike="noStrike" baseline="0">
                <a:solidFill>
                  <a:srgbClr val="000000"/>
                </a:solidFill>
                <a:latin typeface="Arial"/>
                <a:cs typeface="Arial"/>
              </a:rPr>
              <a:t>Battery Pack Assembly and Testing</a:t>
            </a:r>
          </a:p>
          <a:p>
            <a:pPr algn="ctr" rtl="0">
              <a:defRPr sz="1000"/>
            </a:pPr>
            <a:endParaRPr lang="en-US" sz="1400" b="1" i="0" u="none" strike="noStrike" baseline="0">
              <a:solidFill>
                <a:srgbClr val="000000"/>
              </a:solidFill>
              <a:latin typeface="Arial"/>
              <a:cs typeface="Arial"/>
            </a:endParaRPr>
          </a:p>
        </xdr:txBody>
      </xdr:sp>
      <xdr:sp macro="" textlink="">
        <xdr:nvSpPr>
          <xdr:cNvPr id="120947" name="Text Box 115"/>
          <xdr:cNvSpPr txBox="1">
            <a:spLocks noChangeArrowheads="1"/>
          </xdr:cNvSpPr>
        </xdr:nvSpPr>
        <xdr:spPr bwMode="auto">
          <a:xfrm>
            <a:off x="263" y="365"/>
            <a:ext cx="135" cy="101"/>
          </a:xfrm>
          <a:prstGeom prst="rect">
            <a:avLst/>
          </a:prstGeom>
          <a:solidFill>
            <a:srgbClr val="FFFFFF"/>
          </a:solidFill>
          <a:ln w="9525">
            <a:solidFill>
              <a:srgbClr val="000000"/>
            </a:solidFill>
            <a:miter lim="800000"/>
            <a:headEnd/>
            <a:tailEnd/>
          </a:ln>
        </xdr:spPr>
        <xdr:txBody>
          <a:bodyPr vertOverflow="clip" wrap="square" lIns="36576" tIns="32004" rIns="36576" bIns="0" anchor="t" upright="1"/>
          <a:lstStyle/>
          <a:p>
            <a:pPr algn="ctr" rtl="0">
              <a:defRPr sz="1000"/>
            </a:pPr>
            <a:r>
              <a:rPr lang="en-US" sz="1600" b="1" i="0" u="none" strike="noStrike" baseline="0">
                <a:solidFill>
                  <a:srgbClr val="000000"/>
                </a:solidFill>
                <a:latin typeface="Arial"/>
                <a:cs typeface="Arial"/>
              </a:rPr>
              <a:t>Module Assembly</a:t>
            </a:r>
          </a:p>
          <a:p>
            <a:pPr algn="ctr" rtl="0">
              <a:defRPr sz="1000"/>
            </a:pPr>
            <a:endParaRPr lang="en-US" sz="1600" b="1" i="0" u="none" strike="noStrike" baseline="0">
              <a:solidFill>
                <a:srgbClr val="000000"/>
              </a:solidFill>
              <a:latin typeface="Arial"/>
              <a:cs typeface="Arial"/>
            </a:endParaRPr>
          </a:p>
        </xdr:txBody>
      </xdr:sp>
      <xdr:sp macro="" textlink="">
        <xdr:nvSpPr>
          <xdr:cNvPr id="9228" name="AutoShape 116"/>
          <xdr:cNvSpPr>
            <a:spLocks noChangeArrowheads="1"/>
          </xdr:cNvSpPr>
        </xdr:nvSpPr>
        <xdr:spPr bwMode="auto">
          <a:xfrm>
            <a:off x="837" y="267"/>
            <a:ext cx="15" cy="60"/>
          </a:xfrm>
          <a:prstGeom prst="downArrow">
            <a:avLst>
              <a:gd name="adj1" fmla="val 50000"/>
              <a:gd name="adj2" fmla="val 100000"/>
            </a:avLst>
          </a:prstGeom>
          <a:solidFill>
            <a:srgbClr val="800080">
              <a:alpha val="50195"/>
            </a:srgbClr>
          </a:solidFill>
          <a:ln w="9525">
            <a:solidFill>
              <a:srgbClr val="800080"/>
            </a:solidFill>
            <a:miter lim="800000"/>
            <a:headEnd/>
            <a:tailEnd/>
          </a:ln>
        </xdr:spPr>
      </xdr:sp>
      <xdr:sp macro="" textlink="">
        <xdr:nvSpPr>
          <xdr:cNvPr id="9229" name="AutoShape 117"/>
          <xdr:cNvSpPr>
            <a:spLocks noChangeArrowheads="1"/>
          </xdr:cNvSpPr>
        </xdr:nvSpPr>
        <xdr:spPr bwMode="auto">
          <a:xfrm rot="-5400000">
            <a:off x="30" y="451"/>
            <a:ext cx="70" cy="13"/>
          </a:xfrm>
          <a:prstGeom prst="rightArrow">
            <a:avLst>
              <a:gd name="adj1" fmla="val 50000"/>
              <a:gd name="adj2" fmla="val 134615"/>
            </a:avLst>
          </a:prstGeom>
          <a:solidFill>
            <a:srgbClr val="FFFFFF"/>
          </a:solidFill>
          <a:ln w="9525">
            <a:solidFill>
              <a:srgbClr val="000000"/>
            </a:solidFill>
            <a:prstDash val="dash"/>
            <a:miter lim="800000"/>
            <a:headEnd/>
            <a:tailEnd/>
          </a:ln>
        </xdr:spPr>
      </xdr:sp>
      <xdr:sp macro="" textlink="">
        <xdr:nvSpPr>
          <xdr:cNvPr id="120950" name="Text Box 118"/>
          <xdr:cNvSpPr txBox="1">
            <a:spLocks noChangeArrowheads="1"/>
          </xdr:cNvSpPr>
        </xdr:nvSpPr>
        <xdr:spPr bwMode="auto">
          <a:xfrm>
            <a:off x="398" y="272"/>
            <a:ext cx="238" cy="334"/>
          </a:xfrm>
          <a:prstGeom prst="rect">
            <a:avLst/>
          </a:prstGeom>
          <a:solidFill>
            <a:srgbClr val="FFFFFF"/>
          </a:solidFill>
          <a:ln w="9525">
            <a:solidFill>
              <a:srgbClr val="000000"/>
            </a:solidFill>
            <a:miter lim="800000"/>
            <a:headEnd/>
            <a:tailEnd/>
          </a:ln>
        </xdr:spPr>
        <xdr:txBody>
          <a:bodyPr vertOverflow="clip" wrap="square" lIns="36576" tIns="32004" rIns="0" bIns="32004" anchor="ctr" upright="1"/>
          <a:lstStyle/>
          <a:p>
            <a:pPr algn="l" rtl="0">
              <a:defRPr sz="1000"/>
            </a:pPr>
            <a:r>
              <a:rPr lang="en-US" sz="1600" b="1" i="0" u="none" strike="noStrike" baseline="0">
                <a:solidFill>
                  <a:srgbClr val="000000"/>
                </a:solidFill>
                <a:latin typeface="Arial"/>
                <a:cs typeface="Arial"/>
              </a:rPr>
              <a:t>     Formation  </a:t>
            </a:r>
          </a:p>
          <a:p>
            <a:pPr algn="l" rtl="0">
              <a:lnSpc>
                <a:spcPts val="1700"/>
              </a:lnSpc>
              <a:defRPr sz="1000"/>
            </a:pPr>
            <a:r>
              <a:rPr lang="en-US" sz="1600" b="1" i="0" u="none" strike="noStrike" baseline="0">
                <a:solidFill>
                  <a:srgbClr val="000000"/>
                </a:solidFill>
                <a:latin typeface="Arial"/>
                <a:cs typeface="Arial"/>
              </a:rPr>
              <a:t>       Cycling</a:t>
            </a:r>
          </a:p>
        </xdr:txBody>
      </xdr:sp>
      <xdr:sp macro="" textlink="">
        <xdr:nvSpPr>
          <xdr:cNvPr id="120951" name="Text Box 119"/>
          <xdr:cNvSpPr txBox="1">
            <a:spLocks noChangeArrowheads="1"/>
          </xdr:cNvSpPr>
        </xdr:nvSpPr>
        <xdr:spPr bwMode="auto">
          <a:xfrm>
            <a:off x="774" y="344"/>
            <a:ext cx="127" cy="165"/>
          </a:xfrm>
          <a:prstGeom prst="rect">
            <a:avLst/>
          </a:prstGeom>
          <a:solidFill>
            <a:srgbClr val="FFFFFF"/>
          </a:solidFill>
          <a:ln w="9525">
            <a:solidFill>
              <a:srgbClr val="000000"/>
            </a:solidFill>
            <a:miter lim="800000"/>
            <a:headEnd/>
            <a:tailEnd/>
          </a:ln>
        </xdr:spPr>
        <xdr:txBody>
          <a:bodyPr vertOverflow="clip" wrap="square" lIns="36576" tIns="27432" rIns="36576" bIns="27432" anchor="ctr" upright="1"/>
          <a:lstStyle/>
          <a:p>
            <a:pPr algn="ctr" rtl="0">
              <a:defRPr sz="1000"/>
            </a:pPr>
            <a:r>
              <a:rPr lang="en-US" sz="1400" b="1" i="0" u="none" strike="noStrike" baseline="0">
                <a:solidFill>
                  <a:srgbClr val="000000"/>
                </a:solidFill>
                <a:latin typeface="Arial"/>
                <a:cs typeface="Arial"/>
              </a:rPr>
              <a:t>Current Collector</a:t>
            </a:r>
          </a:p>
          <a:p>
            <a:pPr algn="ctr" rtl="0">
              <a:defRPr sz="1000"/>
            </a:pPr>
            <a:r>
              <a:rPr lang="en-US" sz="1400" b="1" i="0" u="none" strike="noStrike" baseline="0">
                <a:solidFill>
                  <a:srgbClr val="000000"/>
                </a:solidFill>
                <a:latin typeface="Arial"/>
                <a:cs typeface="Arial"/>
              </a:rPr>
              <a:t> Welding</a:t>
            </a:r>
          </a:p>
        </xdr:txBody>
      </xdr:sp>
      <xdr:sp macro="" textlink="">
        <xdr:nvSpPr>
          <xdr:cNvPr id="120952" name="Text Box 120"/>
          <xdr:cNvSpPr txBox="1">
            <a:spLocks noChangeArrowheads="1"/>
          </xdr:cNvSpPr>
        </xdr:nvSpPr>
        <xdr:spPr bwMode="auto">
          <a:xfrm>
            <a:off x="660" y="343"/>
            <a:ext cx="116" cy="166"/>
          </a:xfrm>
          <a:prstGeom prst="rect">
            <a:avLst/>
          </a:prstGeom>
          <a:solidFill>
            <a:srgbClr val="FFFFFF"/>
          </a:solidFill>
          <a:ln w="9525">
            <a:solidFill>
              <a:srgbClr val="000000"/>
            </a:solidFill>
            <a:miter lim="800000"/>
            <a:headEnd/>
            <a:tailEnd/>
          </a:ln>
        </xdr:spPr>
        <xdr:txBody>
          <a:bodyPr vertOverflow="clip" wrap="square" lIns="36576" tIns="27432" rIns="36576" bIns="27432" anchor="ctr" upright="1"/>
          <a:lstStyle/>
          <a:p>
            <a:pPr algn="ctr" rtl="0">
              <a:defRPr sz="1000"/>
            </a:pPr>
            <a:r>
              <a:rPr lang="en-US" sz="1400" b="1" i="0" u="none" strike="noStrike" baseline="0">
                <a:solidFill>
                  <a:srgbClr val="000000"/>
                </a:solidFill>
                <a:latin typeface="Arial"/>
                <a:cs typeface="Arial"/>
              </a:rPr>
              <a:t>Enclosing Cell in Container</a:t>
            </a:r>
          </a:p>
        </xdr:txBody>
      </xdr:sp>
      <xdr:sp macro="" textlink="">
        <xdr:nvSpPr>
          <xdr:cNvPr id="120953" name="Text Box 121"/>
          <xdr:cNvSpPr txBox="1">
            <a:spLocks noChangeArrowheads="1"/>
          </xdr:cNvSpPr>
        </xdr:nvSpPr>
        <xdr:spPr bwMode="auto">
          <a:xfrm>
            <a:off x="637" y="509"/>
            <a:ext cx="263" cy="98"/>
          </a:xfrm>
          <a:prstGeom prst="rect">
            <a:avLst/>
          </a:prstGeom>
          <a:solidFill>
            <a:srgbClr val="FFFFFF"/>
          </a:solidFill>
          <a:ln w="9525">
            <a:solidFill>
              <a:srgbClr val="000000"/>
            </a:solidFill>
            <a:miter lim="800000"/>
            <a:headEnd/>
            <a:tailEnd/>
          </a:ln>
        </xdr:spPr>
        <xdr:txBody>
          <a:bodyPr vertOverflow="clip" wrap="square" lIns="36576" tIns="27432" rIns="36576" bIns="27432" anchor="ctr" upright="1"/>
          <a:lstStyle/>
          <a:p>
            <a:pPr algn="ctr" rtl="0">
              <a:defRPr sz="1000"/>
            </a:pPr>
            <a:r>
              <a:rPr lang="en-US" sz="1400" b="1" i="0" u="none" strike="noStrike" baseline="0">
                <a:solidFill>
                  <a:srgbClr val="000000"/>
                </a:solidFill>
                <a:latin typeface="Arial"/>
                <a:cs typeface="Arial"/>
              </a:rPr>
              <a:t>Electrolyte Filling</a:t>
            </a:r>
          </a:p>
          <a:p>
            <a:pPr algn="ctr" rtl="0">
              <a:defRPr sz="1000"/>
            </a:pPr>
            <a:r>
              <a:rPr lang="en-US" sz="1400" b="1" i="0" u="none" strike="noStrike" baseline="0">
                <a:solidFill>
                  <a:srgbClr val="000000"/>
                </a:solidFill>
                <a:latin typeface="Arial"/>
                <a:cs typeface="Arial"/>
              </a:rPr>
              <a:t>and Cell Closing</a:t>
            </a:r>
          </a:p>
        </xdr:txBody>
      </xdr:sp>
      <xdr:sp macro="" textlink="">
        <xdr:nvSpPr>
          <xdr:cNvPr id="120954" name="Text Box 122"/>
          <xdr:cNvSpPr txBox="1">
            <a:spLocks noChangeArrowheads="1"/>
          </xdr:cNvSpPr>
        </xdr:nvSpPr>
        <xdr:spPr bwMode="auto">
          <a:xfrm>
            <a:off x="636" y="272"/>
            <a:ext cx="266" cy="80"/>
          </a:xfrm>
          <a:prstGeom prst="rect">
            <a:avLst/>
          </a:prstGeom>
          <a:solidFill>
            <a:srgbClr val="FFFFFF"/>
          </a:solidFill>
          <a:ln w="9525">
            <a:solidFill>
              <a:srgbClr val="000000"/>
            </a:solidFill>
            <a:miter lim="800000"/>
            <a:headEnd/>
            <a:tailEnd/>
          </a:ln>
        </xdr:spPr>
        <xdr:txBody>
          <a:bodyPr vertOverflow="clip" wrap="square" lIns="36576" tIns="27432" rIns="36576" bIns="27432" anchor="ctr" upright="1"/>
          <a:lstStyle/>
          <a:p>
            <a:pPr algn="ctr" rtl="0">
              <a:defRPr sz="1000"/>
            </a:pPr>
            <a:r>
              <a:rPr lang="en-US" sz="1400" b="1" i="0" u="none" strike="noStrike" baseline="0">
                <a:solidFill>
                  <a:srgbClr val="000000"/>
                </a:solidFill>
                <a:latin typeface="Arial"/>
                <a:cs typeface="Arial"/>
              </a:rPr>
              <a:t>Cell Stacking</a:t>
            </a:r>
          </a:p>
        </xdr:txBody>
      </xdr:sp>
      <xdr:sp macro="" textlink="">
        <xdr:nvSpPr>
          <xdr:cNvPr id="9235" name="AutoShape 123"/>
          <xdr:cNvSpPr>
            <a:spLocks noChangeArrowheads="1"/>
          </xdr:cNvSpPr>
        </xdr:nvSpPr>
        <xdr:spPr bwMode="auto">
          <a:xfrm rot="10800000">
            <a:off x="702" y="494"/>
            <a:ext cx="34" cy="39"/>
          </a:xfrm>
          <a:custGeom>
            <a:avLst/>
            <a:gdLst>
              <a:gd name="T0" fmla="*/ 0 w 21600"/>
              <a:gd name="T1" fmla="*/ 0 h 21600"/>
              <a:gd name="T2" fmla="*/ 0 w 21600"/>
              <a:gd name="T3" fmla="*/ 0 h 21600"/>
              <a:gd name="T4" fmla="*/ 0 w 21600"/>
              <a:gd name="T5" fmla="*/ 0 h 21600"/>
              <a:gd name="T6" fmla="*/ 0 w 21600"/>
              <a:gd name="T7" fmla="*/ 0 h 21600"/>
              <a:gd name="T8" fmla="*/ 17694720 60000 65536"/>
              <a:gd name="T9" fmla="*/ 5898240 60000 65536"/>
              <a:gd name="T10" fmla="*/ 5898240 60000 65536"/>
              <a:gd name="T11" fmla="*/ 0 60000 65536"/>
              <a:gd name="T12" fmla="*/ 12706 w 21600"/>
              <a:gd name="T13" fmla="*/ 3877 h 21600"/>
              <a:gd name="T14" fmla="*/ 19059 w 21600"/>
              <a:gd name="T15" fmla="*/ 8308 h 21600"/>
            </a:gdLst>
            <a:ahLst/>
            <a:cxnLst>
              <a:cxn ang="T8">
                <a:pos x="T0" y="T1"/>
              </a:cxn>
              <a:cxn ang="T9">
                <a:pos x="T2" y="T3"/>
              </a:cxn>
              <a:cxn ang="T10">
                <a:pos x="T4" y="T5"/>
              </a:cxn>
              <a:cxn ang="T11">
                <a:pos x="T6" y="T7"/>
              </a:cxn>
            </a:cxnLst>
            <a:rect l="T12" t="T13" r="T14" b="T15"/>
            <a:pathLst>
              <a:path w="21600" h="21600">
                <a:moveTo>
                  <a:pt x="21600" y="6079"/>
                </a:moveTo>
                <a:lnTo>
                  <a:pt x="13976" y="0"/>
                </a:lnTo>
                <a:lnTo>
                  <a:pt x="13976" y="3978"/>
                </a:lnTo>
                <a:lnTo>
                  <a:pt x="12427" y="3978"/>
                </a:lnTo>
                <a:cubicBezTo>
                  <a:pt x="5564" y="3978"/>
                  <a:pt x="0" y="7640"/>
                  <a:pt x="0" y="12158"/>
                </a:cubicBezTo>
                <a:lnTo>
                  <a:pt x="0" y="21600"/>
                </a:lnTo>
                <a:lnTo>
                  <a:pt x="4295" y="21600"/>
                </a:lnTo>
                <a:lnTo>
                  <a:pt x="4295" y="12158"/>
                </a:lnTo>
                <a:cubicBezTo>
                  <a:pt x="4295" y="9961"/>
                  <a:pt x="7936" y="8180"/>
                  <a:pt x="12427" y="8180"/>
                </a:cubicBezTo>
                <a:lnTo>
                  <a:pt x="13976" y="8180"/>
                </a:lnTo>
                <a:lnTo>
                  <a:pt x="13976" y="12158"/>
                </a:lnTo>
                <a:lnTo>
                  <a:pt x="21600" y="6079"/>
                </a:lnTo>
                <a:close/>
              </a:path>
            </a:pathLst>
          </a:custGeom>
          <a:solidFill>
            <a:srgbClr val="800080">
              <a:alpha val="50195"/>
            </a:srgbClr>
          </a:solidFill>
          <a:ln w="9525">
            <a:solidFill>
              <a:srgbClr val="800080"/>
            </a:solidFill>
            <a:miter lim="800000"/>
            <a:headEnd/>
            <a:tailEnd/>
          </a:ln>
        </xdr:spPr>
      </xdr:sp>
      <xdr:sp macro="" textlink="">
        <xdr:nvSpPr>
          <xdr:cNvPr id="120956" name="Text Box 124"/>
          <xdr:cNvSpPr txBox="1">
            <a:spLocks noChangeArrowheads="1"/>
          </xdr:cNvSpPr>
        </xdr:nvSpPr>
        <xdr:spPr bwMode="auto">
          <a:xfrm>
            <a:off x="493" y="118"/>
            <a:ext cx="175" cy="154"/>
          </a:xfrm>
          <a:prstGeom prst="rect">
            <a:avLst/>
          </a:prstGeom>
          <a:solidFill>
            <a:srgbClr val="FFFFFF"/>
          </a:solidFill>
          <a:ln w="9525">
            <a:solidFill>
              <a:srgbClr val="000000"/>
            </a:solidFill>
            <a:miter lim="800000"/>
            <a:headEnd/>
            <a:tailEnd/>
          </a:ln>
        </xdr:spPr>
        <xdr:txBody>
          <a:bodyPr vertOverflow="clip" wrap="square" lIns="36576" tIns="27432" rIns="36576" bIns="0" anchor="t" upright="1"/>
          <a:lstStyle/>
          <a:p>
            <a:pPr algn="ctr" rtl="0">
              <a:defRPr sz="1000"/>
            </a:pPr>
            <a:r>
              <a:rPr lang="en-US" sz="1400" b="1" i="0" u="none" strike="noStrike" baseline="0">
                <a:solidFill>
                  <a:srgbClr val="000000"/>
                </a:solidFill>
                <a:latin typeface="Arial"/>
                <a:cs typeface="Arial"/>
              </a:rPr>
              <a:t>Solvent Evaporation</a:t>
            </a:r>
          </a:p>
          <a:p>
            <a:pPr algn="ctr" rtl="0">
              <a:defRPr sz="1000"/>
            </a:pPr>
            <a:r>
              <a:rPr lang="en-US" sz="1400" b="1" i="0" u="none" strike="noStrike" baseline="0">
                <a:solidFill>
                  <a:srgbClr val="808080"/>
                </a:solidFill>
                <a:latin typeface="Arial"/>
                <a:cs typeface="Arial"/>
              </a:rPr>
              <a:t>Positive</a:t>
            </a:r>
            <a:endParaRPr lang="en-US" sz="1400" b="1" i="0" u="none" strike="noStrike" baseline="0">
              <a:solidFill>
                <a:srgbClr val="000000"/>
              </a:solidFill>
              <a:latin typeface="Arial"/>
              <a:cs typeface="Arial"/>
            </a:endParaRPr>
          </a:p>
          <a:p>
            <a:pPr algn="ctr" rtl="0">
              <a:defRPr sz="1000"/>
            </a:pPr>
            <a:endParaRPr lang="en-US" sz="1400" b="1" i="0" u="none" strike="noStrike" baseline="0">
              <a:solidFill>
                <a:srgbClr val="000000"/>
              </a:solidFill>
              <a:latin typeface="Arial"/>
              <a:cs typeface="Arial"/>
            </a:endParaRPr>
          </a:p>
          <a:p>
            <a:pPr algn="ctr" rtl="0">
              <a:defRPr sz="1000"/>
            </a:pPr>
            <a:r>
              <a:rPr lang="en-US" sz="1400" b="1" i="0" u="none" strike="noStrike" baseline="0">
                <a:solidFill>
                  <a:srgbClr val="808080"/>
                </a:solidFill>
                <a:latin typeface="Arial"/>
                <a:cs typeface="Arial"/>
              </a:rPr>
              <a:t>Negative</a:t>
            </a:r>
            <a:endParaRPr lang="en-US" sz="1400" b="1" i="0" u="none" strike="noStrike" baseline="0">
              <a:solidFill>
                <a:srgbClr val="000000"/>
              </a:solidFill>
              <a:latin typeface="Arial"/>
              <a:cs typeface="Arial"/>
            </a:endParaRPr>
          </a:p>
          <a:p>
            <a:pPr algn="ctr" rtl="0">
              <a:defRPr sz="1000"/>
            </a:pPr>
            <a:endParaRPr lang="en-US" sz="1400" b="1" i="0" u="none" strike="noStrike" baseline="0">
              <a:solidFill>
                <a:srgbClr val="000000"/>
              </a:solidFill>
              <a:latin typeface="Arial"/>
              <a:cs typeface="Arial"/>
            </a:endParaRPr>
          </a:p>
        </xdr:txBody>
      </xdr:sp>
      <xdr:sp macro="" textlink="">
        <xdr:nvSpPr>
          <xdr:cNvPr id="120957" name="Text Box 125"/>
          <xdr:cNvSpPr txBox="1">
            <a:spLocks noChangeArrowheads="1"/>
          </xdr:cNvSpPr>
        </xdr:nvSpPr>
        <xdr:spPr bwMode="auto">
          <a:xfrm>
            <a:off x="394" y="118"/>
            <a:ext cx="100" cy="154"/>
          </a:xfrm>
          <a:prstGeom prst="rect">
            <a:avLst/>
          </a:prstGeom>
          <a:solidFill>
            <a:srgbClr val="FFFFFF"/>
          </a:solidFill>
          <a:ln w="9525">
            <a:solidFill>
              <a:srgbClr val="000000"/>
            </a:solidFill>
            <a:miter lim="800000"/>
            <a:headEnd/>
            <a:tailEnd/>
          </a:ln>
        </xdr:spPr>
        <xdr:txBody>
          <a:bodyPr vertOverflow="clip" wrap="square" lIns="36576" tIns="27432" rIns="36576" bIns="0" anchor="t" upright="1"/>
          <a:lstStyle/>
          <a:p>
            <a:pPr algn="ctr" rtl="0">
              <a:defRPr sz="1000"/>
            </a:pPr>
            <a:r>
              <a:rPr lang="en-US" sz="1400" b="1" i="0" u="none" strike="noStrike" baseline="0">
                <a:solidFill>
                  <a:srgbClr val="000000"/>
                </a:solidFill>
                <a:latin typeface="Arial"/>
                <a:cs typeface="Arial"/>
              </a:rPr>
              <a:t>Electrode Coating</a:t>
            </a:r>
          </a:p>
          <a:p>
            <a:pPr algn="ctr" rtl="0">
              <a:defRPr sz="1000"/>
            </a:pPr>
            <a:r>
              <a:rPr lang="en-US" sz="1400" b="1" i="0" u="none" strike="noStrike" baseline="0">
                <a:solidFill>
                  <a:srgbClr val="808080"/>
                </a:solidFill>
                <a:latin typeface="Arial"/>
                <a:cs typeface="Arial"/>
              </a:rPr>
              <a:t>Positive</a:t>
            </a:r>
          </a:p>
          <a:p>
            <a:pPr algn="ctr" rtl="0">
              <a:defRPr sz="1000"/>
            </a:pPr>
            <a:endParaRPr lang="en-US" sz="1400" b="1" i="0" u="none" strike="noStrike" baseline="0">
              <a:solidFill>
                <a:srgbClr val="808080"/>
              </a:solidFill>
              <a:latin typeface="Arial"/>
              <a:cs typeface="Arial"/>
            </a:endParaRPr>
          </a:p>
          <a:p>
            <a:pPr algn="ctr" rtl="0">
              <a:defRPr sz="1000"/>
            </a:pPr>
            <a:r>
              <a:rPr lang="en-US" sz="1400" b="1" i="0" u="none" strike="noStrike" baseline="0">
                <a:solidFill>
                  <a:srgbClr val="808080"/>
                </a:solidFill>
                <a:latin typeface="Arial"/>
                <a:cs typeface="Arial"/>
              </a:rPr>
              <a:t>Negative</a:t>
            </a:r>
          </a:p>
        </xdr:txBody>
      </xdr:sp>
      <xdr:sp macro="" textlink="">
        <xdr:nvSpPr>
          <xdr:cNvPr id="120958" name="Text Box 126"/>
          <xdr:cNvSpPr txBox="1">
            <a:spLocks noChangeArrowheads="1"/>
          </xdr:cNvSpPr>
        </xdr:nvSpPr>
        <xdr:spPr bwMode="auto">
          <a:xfrm>
            <a:off x="805" y="118"/>
            <a:ext cx="97" cy="82"/>
          </a:xfrm>
          <a:prstGeom prst="rect">
            <a:avLst/>
          </a:prstGeom>
          <a:solidFill>
            <a:srgbClr val="FFFFFF"/>
          </a:solidFill>
          <a:ln w="9525">
            <a:solidFill>
              <a:srgbClr val="000000"/>
            </a:solidFill>
            <a:miter lim="800000"/>
            <a:headEnd/>
            <a:tailEnd/>
          </a:ln>
        </xdr:spPr>
        <xdr:txBody>
          <a:bodyPr vertOverflow="clip" wrap="square" lIns="36576" tIns="27432" rIns="36576" bIns="27432" anchor="ctr" upright="1"/>
          <a:lstStyle/>
          <a:p>
            <a:pPr algn="ctr" rtl="0">
              <a:defRPr sz="1000"/>
            </a:pPr>
            <a:r>
              <a:rPr lang="en-US" sz="1400" b="1" i="0" u="none" strike="noStrike" baseline="0">
                <a:solidFill>
                  <a:srgbClr val="000000"/>
                </a:solidFill>
                <a:latin typeface="Arial"/>
                <a:cs typeface="Arial"/>
              </a:rPr>
              <a:t>Electrode Slitting</a:t>
            </a:r>
          </a:p>
        </xdr:txBody>
      </xdr:sp>
      <xdr:sp macro="" textlink="">
        <xdr:nvSpPr>
          <xdr:cNvPr id="120959" name="Text Box 127"/>
          <xdr:cNvSpPr txBox="1">
            <a:spLocks noChangeArrowheads="1"/>
          </xdr:cNvSpPr>
        </xdr:nvSpPr>
        <xdr:spPr bwMode="auto">
          <a:xfrm>
            <a:off x="805" y="200"/>
            <a:ext cx="97" cy="76"/>
          </a:xfrm>
          <a:prstGeom prst="rect">
            <a:avLst/>
          </a:prstGeom>
          <a:solidFill>
            <a:srgbClr val="FFFFFF"/>
          </a:solidFill>
          <a:ln w="9525">
            <a:solidFill>
              <a:srgbClr val="000000"/>
            </a:solidFill>
            <a:miter lim="800000"/>
            <a:headEnd/>
            <a:tailEnd/>
          </a:ln>
        </xdr:spPr>
        <xdr:txBody>
          <a:bodyPr vertOverflow="clip" wrap="square" lIns="36576" tIns="27432" rIns="36576" bIns="27432" anchor="ctr" upright="1"/>
          <a:lstStyle/>
          <a:p>
            <a:pPr algn="ctr" rtl="0">
              <a:defRPr sz="1000"/>
            </a:pPr>
            <a:r>
              <a:rPr lang="en-US" sz="1400" b="1" i="0" u="none" strike="noStrike" baseline="0">
                <a:solidFill>
                  <a:srgbClr val="000000"/>
                </a:solidFill>
                <a:latin typeface="Arial"/>
                <a:cs typeface="Arial"/>
              </a:rPr>
              <a:t>Vacuum Drying</a:t>
            </a:r>
          </a:p>
        </xdr:txBody>
      </xdr:sp>
      <xdr:sp macro="" textlink="">
        <xdr:nvSpPr>
          <xdr:cNvPr id="120960" name="Text Box 128"/>
          <xdr:cNvSpPr txBox="1">
            <a:spLocks noChangeArrowheads="1"/>
          </xdr:cNvSpPr>
        </xdr:nvSpPr>
        <xdr:spPr bwMode="auto">
          <a:xfrm>
            <a:off x="174" y="118"/>
            <a:ext cx="221" cy="154"/>
          </a:xfrm>
          <a:prstGeom prst="rect">
            <a:avLst/>
          </a:prstGeom>
          <a:solidFill>
            <a:srgbClr val="FFFFFF"/>
          </a:solidFill>
          <a:ln w="9525">
            <a:solidFill>
              <a:srgbClr val="000000"/>
            </a:solidFill>
            <a:miter lim="800000"/>
            <a:headEnd/>
            <a:tailEnd/>
          </a:ln>
        </xdr:spPr>
        <xdr:txBody>
          <a:bodyPr vertOverflow="clip" wrap="square" lIns="36576" tIns="27432" rIns="36576" bIns="0" anchor="t" upright="1"/>
          <a:lstStyle/>
          <a:p>
            <a:pPr algn="ctr" rtl="0">
              <a:defRPr sz="1000"/>
            </a:pPr>
            <a:r>
              <a:rPr lang="en-US" sz="1400" b="1" i="0" u="none" strike="noStrike" baseline="0">
                <a:solidFill>
                  <a:srgbClr val="000000"/>
                </a:solidFill>
                <a:latin typeface="Arial"/>
                <a:cs typeface="Arial"/>
              </a:rPr>
              <a:t>Electrode Materials Preparation</a:t>
            </a:r>
          </a:p>
          <a:p>
            <a:pPr algn="ctr" rtl="0">
              <a:defRPr sz="1000"/>
            </a:pPr>
            <a:r>
              <a:rPr lang="en-US" sz="1400" b="1" i="0" u="none" strike="noStrike" baseline="0">
                <a:solidFill>
                  <a:srgbClr val="808080"/>
                </a:solidFill>
                <a:latin typeface="Arial"/>
                <a:cs typeface="Arial"/>
              </a:rPr>
              <a:t>Positive</a:t>
            </a:r>
          </a:p>
          <a:p>
            <a:pPr algn="ctr" rtl="0">
              <a:defRPr sz="1000"/>
            </a:pPr>
            <a:endParaRPr lang="en-US" sz="1400" b="1" i="0" u="none" strike="noStrike" baseline="0">
              <a:solidFill>
                <a:srgbClr val="000000"/>
              </a:solidFill>
              <a:latin typeface="Arial"/>
              <a:cs typeface="Arial"/>
            </a:endParaRPr>
          </a:p>
          <a:p>
            <a:pPr algn="ctr" rtl="0">
              <a:defRPr sz="1000"/>
            </a:pPr>
            <a:r>
              <a:rPr lang="en-US" sz="1400" b="1" i="0" u="none" strike="noStrike" baseline="0">
                <a:solidFill>
                  <a:srgbClr val="808080"/>
                </a:solidFill>
                <a:latin typeface="Arial"/>
                <a:cs typeface="Arial"/>
              </a:rPr>
              <a:t>Negative</a:t>
            </a:r>
            <a:endParaRPr lang="en-US" sz="1400" b="1" i="0" u="none" strike="noStrike" baseline="0">
              <a:solidFill>
                <a:srgbClr val="000000"/>
              </a:solidFill>
              <a:latin typeface="Arial"/>
              <a:cs typeface="Arial"/>
            </a:endParaRPr>
          </a:p>
          <a:p>
            <a:pPr algn="ctr" rtl="0">
              <a:defRPr sz="1000"/>
            </a:pPr>
            <a:endParaRPr lang="en-US" sz="1400" b="1" i="0" u="none" strike="noStrike" baseline="0">
              <a:solidFill>
                <a:srgbClr val="000000"/>
              </a:solidFill>
              <a:latin typeface="Arial"/>
              <a:cs typeface="Arial"/>
            </a:endParaRPr>
          </a:p>
        </xdr:txBody>
      </xdr:sp>
      <xdr:sp macro="" textlink="">
        <xdr:nvSpPr>
          <xdr:cNvPr id="120961" name="Text Box 129"/>
          <xdr:cNvSpPr txBox="1">
            <a:spLocks noChangeArrowheads="1"/>
          </xdr:cNvSpPr>
        </xdr:nvSpPr>
        <xdr:spPr bwMode="auto">
          <a:xfrm>
            <a:off x="668" y="170"/>
            <a:ext cx="137" cy="102"/>
          </a:xfrm>
          <a:prstGeom prst="rect">
            <a:avLst/>
          </a:prstGeom>
          <a:solidFill>
            <a:srgbClr val="FFFFFF"/>
          </a:solidFill>
          <a:ln w="9525">
            <a:solidFill>
              <a:srgbClr val="000000"/>
            </a:solidFill>
            <a:miter lim="800000"/>
            <a:headEnd/>
            <a:tailEnd/>
          </a:ln>
        </xdr:spPr>
        <xdr:txBody>
          <a:bodyPr vertOverflow="clip" wrap="square" lIns="36576" tIns="27432" rIns="36576" bIns="27432" anchor="ctr" upright="1"/>
          <a:lstStyle/>
          <a:p>
            <a:pPr algn="ctr" rtl="0">
              <a:defRPr sz="1000"/>
            </a:pPr>
            <a:r>
              <a:rPr lang="en-US" sz="1400" b="1" i="0" u="none" strike="noStrike" baseline="0">
                <a:solidFill>
                  <a:srgbClr val="000000"/>
                </a:solidFill>
                <a:latin typeface="Arial"/>
                <a:cs typeface="Arial"/>
              </a:rPr>
              <a:t>Calendering</a:t>
            </a:r>
          </a:p>
        </xdr:txBody>
      </xdr:sp>
      <xdr:sp macro="" textlink="">
        <xdr:nvSpPr>
          <xdr:cNvPr id="120962" name="Text Box 130"/>
          <xdr:cNvSpPr txBox="1">
            <a:spLocks noChangeArrowheads="1"/>
          </xdr:cNvSpPr>
        </xdr:nvSpPr>
        <xdr:spPr bwMode="auto">
          <a:xfrm>
            <a:off x="668" y="118"/>
            <a:ext cx="137" cy="52"/>
          </a:xfrm>
          <a:prstGeom prst="rect">
            <a:avLst/>
          </a:prstGeom>
          <a:solidFill>
            <a:srgbClr val="FFFFFF"/>
          </a:solidFill>
          <a:ln w="9525">
            <a:solidFill>
              <a:srgbClr val="000000"/>
            </a:solidFill>
            <a:miter lim="800000"/>
            <a:headEnd/>
            <a:tailEnd/>
          </a:ln>
        </xdr:spPr>
        <xdr:txBody>
          <a:bodyPr vertOverflow="clip" wrap="square" lIns="36576" tIns="27432" rIns="36576" bIns="27432" anchor="ctr" upright="1"/>
          <a:lstStyle/>
          <a:p>
            <a:pPr algn="ctr" rtl="0">
              <a:defRPr sz="1000"/>
            </a:pPr>
            <a:r>
              <a:rPr lang="en-US" sz="1400" b="1" i="0" u="none" strike="noStrike" baseline="0">
                <a:solidFill>
                  <a:srgbClr val="000000"/>
                </a:solidFill>
                <a:latin typeface="Arial"/>
                <a:cs typeface="Arial"/>
              </a:rPr>
              <a:t>Solvent Recovery</a:t>
            </a:r>
          </a:p>
        </xdr:txBody>
      </xdr:sp>
      <xdr:sp macro="" textlink="">
        <xdr:nvSpPr>
          <xdr:cNvPr id="9243" name="Line 131"/>
          <xdr:cNvSpPr>
            <a:spLocks noChangeShapeType="1"/>
          </xdr:cNvSpPr>
        </xdr:nvSpPr>
        <xdr:spPr bwMode="auto">
          <a:xfrm flipV="1">
            <a:off x="177" y="197"/>
            <a:ext cx="492" cy="0"/>
          </a:xfrm>
          <a:prstGeom prst="line">
            <a:avLst/>
          </a:prstGeom>
          <a:noFill/>
          <a:ln w="9525">
            <a:solidFill>
              <a:srgbClr val="000000"/>
            </a:solidFill>
            <a:prstDash val="dash"/>
            <a:round/>
            <a:headEnd/>
            <a:tailEnd/>
          </a:ln>
        </xdr:spPr>
      </xdr:sp>
      <xdr:sp macro="" textlink="">
        <xdr:nvSpPr>
          <xdr:cNvPr id="9244" name="AutoShape 132"/>
          <xdr:cNvSpPr>
            <a:spLocks noChangeArrowheads="1"/>
          </xdr:cNvSpPr>
        </xdr:nvSpPr>
        <xdr:spPr bwMode="auto">
          <a:xfrm>
            <a:off x="333" y="175"/>
            <a:ext cx="71" cy="14"/>
          </a:xfrm>
          <a:prstGeom prst="rightArrow">
            <a:avLst>
              <a:gd name="adj1" fmla="val 50000"/>
              <a:gd name="adj2" fmla="val 126786"/>
            </a:avLst>
          </a:prstGeom>
          <a:solidFill>
            <a:srgbClr val="800080">
              <a:alpha val="50195"/>
            </a:srgbClr>
          </a:solidFill>
          <a:ln w="9525">
            <a:solidFill>
              <a:srgbClr val="800080"/>
            </a:solidFill>
            <a:miter lim="800000"/>
            <a:headEnd/>
            <a:tailEnd/>
          </a:ln>
        </xdr:spPr>
      </xdr:sp>
      <xdr:sp macro="" textlink="">
        <xdr:nvSpPr>
          <xdr:cNvPr id="9245" name="AutoShape 133"/>
          <xdr:cNvSpPr>
            <a:spLocks noChangeArrowheads="1"/>
          </xdr:cNvSpPr>
        </xdr:nvSpPr>
        <xdr:spPr bwMode="auto">
          <a:xfrm>
            <a:off x="644" y="177"/>
            <a:ext cx="65" cy="13"/>
          </a:xfrm>
          <a:prstGeom prst="rightArrow">
            <a:avLst>
              <a:gd name="adj1" fmla="val 50000"/>
              <a:gd name="adj2" fmla="val 125000"/>
            </a:avLst>
          </a:prstGeom>
          <a:solidFill>
            <a:srgbClr val="800080">
              <a:alpha val="50195"/>
            </a:srgbClr>
          </a:solidFill>
          <a:ln w="9525">
            <a:solidFill>
              <a:srgbClr val="800080"/>
            </a:solidFill>
            <a:miter lim="800000"/>
            <a:headEnd/>
            <a:tailEnd/>
          </a:ln>
        </xdr:spPr>
      </xdr:sp>
      <xdr:sp macro="" textlink="">
        <xdr:nvSpPr>
          <xdr:cNvPr id="9246" name="AutoShape 134"/>
          <xdr:cNvSpPr>
            <a:spLocks noChangeArrowheads="1"/>
          </xdr:cNvSpPr>
        </xdr:nvSpPr>
        <xdr:spPr bwMode="auto">
          <a:xfrm>
            <a:off x="332" y="247"/>
            <a:ext cx="71" cy="14"/>
          </a:xfrm>
          <a:prstGeom prst="rightArrow">
            <a:avLst>
              <a:gd name="adj1" fmla="val 50000"/>
              <a:gd name="adj2" fmla="val 126786"/>
            </a:avLst>
          </a:prstGeom>
          <a:solidFill>
            <a:srgbClr val="800080">
              <a:alpha val="50195"/>
            </a:srgbClr>
          </a:solidFill>
          <a:ln w="9525">
            <a:solidFill>
              <a:srgbClr val="800080"/>
            </a:solidFill>
            <a:miter lim="800000"/>
            <a:headEnd/>
            <a:tailEnd/>
          </a:ln>
        </xdr:spPr>
      </xdr:sp>
      <xdr:sp macro="" textlink="">
        <xdr:nvSpPr>
          <xdr:cNvPr id="9247" name="AutoShape 135"/>
          <xdr:cNvSpPr>
            <a:spLocks noChangeArrowheads="1"/>
          </xdr:cNvSpPr>
        </xdr:nvSpPr>
        <xdr:spPr bwMode="auto">
          <a:xfrm>
            <a:off x="463" y="247"/>
            <a:ext cx="66" cy="13"/>
          </a:xfrm>
          <a:prstGeom prst="rightArrow">
            <a:avLst>
              <a:gd name="adj1" fmla="val 50000"/>
              <a:gd name="adj2" fmla="val 126923"/>
            </a:avLst>
          </a:prstGeom>
          <a:solidFill>
            <a:srgbClr val="800080">
              <a:alpha val="50195"/>
            </a:srgbClr>
          </a:solidFill>
          <a:ln w="9525">
            <a:solidFill>
              <a:srgbClr val="800080"/>
            </a:solidFill>
            <a:miter lim="800000"/>
            <a:headEnd/>
            <a:tailEnd/>
          </a:ln>
        </xdr:spPr>
      </xdr:sp>
      <xdr:sp macro="" textlink="">
        <xdr:nvSpPr>
          <xdr:cNvPr id="9248" name="AutoShape 136"/>
          <xdr:cNvSpPr>
            <a:spLocks noChangeArrowheads="1"/>
          </xdr:cNvSpPr>
        </xdr:nvSpPr>
        <xdr:spPr bwMode="auto">
          <a:xfrm>
            <a:off x="642" y="248"/>
            <a:ext cx="65" cy="12"/>
          </a:xfrm>
          <a:prstGeom prst="rightArrow">
            <a:avLst>
              <a:gd name="adj1" fmla="val 50000"/>
              <a:gd name="adj2" fmla="val 135417"/>
            </a:avLst>
          </a:prstGeom>
          <a:solidFill>
            <a:srgbClr val="800080">
              <a:alpha val="50195"/>
            </a:srgbClr>
          </a:solidFill>
          <a:ln w="9525">
            <a:solidFill>
              <a:srgbClr val="800080"/>
            </a:solidFill>
            <a:miter lim="800000"/>
            <a:headEnd/>
            <a:tailEnd/>
          </a:ln>
        </xdr:spPr>
      </xdr:sp>
      <xdr:sp macro="" textlink="">
        <xdr:nvSpPr>
          <xdr:cNvPr id="9249" name="AutoShape 137"/>
          <xdr:cNvSpPr>
            <a:spLocks noChangeArrowheads="1"/>
          </xdr:cNvSpPr>
        </xdr:nvSpPr>
        <xdr:spPr bwMode="auto">
          <a:xfrm>
            <a:off x="146" y="174"/>
            <a:ext cx="57" cy="14"/>
          </a:xfrm>
          <a:prstGeom prst="rightArrow">
            <a:avLst>
              <a:gd name="adj1" fmla="val 50000"/>
              <a:gd name="adj2" fmla="val 101786"/>
            </a:avLst>
          </a:prstGeom>
          <a:solidFill>
            <a:srgbClr val="800080">
              <a:alpha val="50195"/>
            </a:srgbClr>
          </a:solidFill>
          <a:ln w="9525">
            <a:solidFill>
              <a:srgbClr val="800080"/>
            </a:solidFill>
            <a:miter lim="800000"/>
            <a:headEnd/>
            <a:tailEnd/>
          </a:ln>
        </xdr:spPr>
      </xdr:sp>
      <xdr:sp macro="" textlink="">
        <xdr:nvSpPr>
          <xdr:cNvPr id="9250" name="AutoShape 138"/>
          <xdr:cNvSpPr>
            <a:spLocks noChangeArrowheads="1"/>
          </xdr:cNvSpPr>
        </xdr:nvSpPr>
        <xdr:spPr bwMode="auto">
          <a:xfrm>
            <a:off x="146" y="246"/>
            <a:ext cx="55" cy="13"/>
          </a:xfrm>
          <a:prstGeom prst="rightArrow">
            <a:avLst>
              <a:gd name="adj1" fmla="val 50000"/>
              <a:gd name="adj2" fmla="val 105769"/>
            </a:avLst>
          </a:prstGeom>
          <a:solidFill>
            <a:srgbClr val="800080">
              <a:alpha val="50195"/>
            </a:srgbClr>
          </a:solidFill>
          <a:ln w="9525">
            <a:solidFill>
              <a:srgbClr val="800080"/>
            </a:solidFill>
            <a:miter lim="800000"/>
            <a:headEnd/>
            <a:tailEnd/>
          </a:ln>
        </xdr:spPr>
      </xdr:sp>
      <xdr:sp macro="" textlink="">
        <xdr:nvSpPr>
          <xdr:cNvPr id="9251" name="AutoShape 139"/>
          <xdr:cNvSpPr>
            <a:spLocks noChangeArrowheads="1"/>
          </xdr:cNvSpPr>
        </xdr:nvSpPr>
        <xdr:spPr bwMode="auto">
          <a:xfrm>
            <a:off x="632" y="126"/>
            <a:ext cx="64" cy="15"/>
          </a:xfrm>
          <a:prstGeom prst="rightArrow">
            <a:avLst>
              <a:gd name="adj1" fmla="val 50000"/>
              <a:gd name="adj2" fmla="val 106667"/>
            </a:avLst>
          </a:prstGeom>
          <a:solidFill>
            <a:srgbClr val="FFFFFF"/>
          </a:solidFill>
          <a:ln w="9525">
            <a:solidFill>
              <a:srgbClr val="000000"/>
            </a:solidFill>
            <a:prstDash val="dash"/>
            <a:miter lim="800000"/>
            <a:headEnd/>
            <a:tailEnd/>
          </a:ln>
        </xdr:spPr>
      </xdr:sp>
      <xdr:sp macro="" textlink="">
        <xdr:nvSpPr>
          <xdr:cNvPr id="120972" name="Text Box 140"/>
          <xdr:cNvSpPr txBox="1">
            <a:spLocks noChangeArrowheads="1"/>
          </xdr:cNvSpPr>
        </xdr:nvSpPr>
        <xdr:spPr bwMode="auto">
          <a:xfrm>
            <a:off x="567" y="272"/>
            <a:ext cx="100" cy="237"/>
          </a:xfrm>
          <a:prstGeom prst="rect">
            <a:avLst/>
          </a:prstGeom>
          <a:solidFill>
            <a:srgbClr val="FFFFFF"/>
          </a:solidFill>
          <a:ln w="9525">
            <a:solidFill>
              <a:srgbClr val="000000"/>
            </a:solidFill>
            <a:miter lim="800000"/>
            <a:headEnd/>
            <a:tailEnd/>
          </a:ln>
        </xdr:spPr>
        <xdr:txBody>
          <a:bodyPr vertOverflow="clip" wrap="square" lIns="36576" tIns="27432" rIns="36576" bIns="27432" anchor="ctr" upright="1"/>
          <a:lstStyle/>
          <a:p>
            <a:pPr algn="ctr" rtl="0">
              <a:defRPr sz="1000"/>
            </a:pPr>
            <a:endParaRPr lang="en-US" sz="1400" b="1" i="0" u="none" strike="noStrike" baseline="0">
              <a:solidFill>
                <a:srgbClr val="000000"/>
              </a:solidFill>
              <a:latin typeface="Arial"/>
              <a:cs typeface="Arial"/>
            </a:endParaRPr>
          </a:p>
          <a:p>
            <a:pPr algn="ctr" rtl="0">
              <a:defRPr sz="1000"/>
            </a:pPr>
            <a:endParaRPr lang="en-US" sz="1400" b="1" i="0" u="none" strike="noStrike" baseline="0">
              <a:solidFill>
                <a:srgbClr val="000000"/>
              </a:solidFill>
              <a:latin typeface="Arial"/>
              <a:cs typeface="Arial"/>
            </a:endParaRPr>
          </a:p>
        </xdr:txBody>
      </xdr:sp>
      <xdr:sp macro="" textlink="">
        <xdr:nvSpPr>
          <xdr:cNvPr id="120973" name="Text Box 141"/>
          <xdr:cNvSpPr txBox="1">
            <a:spLocks noChangeArrowheads="1"/>
          </xdr:cNvSpPr>
        </xdr:nvSpPr>
        <xdr:spPr bwMode="auto">
          <a:xfrm>
            <a:off x="636" y="274"/>
            <a:ext cx="67" cy="54"/>
          </a:xfrm>
          <a:prstGeom prst="rect">
            <a:avLst/>
          </a:prstGeom>
          <a:solidFill>
            <a:srgbClr val="FFFFFF"/>
          </a:solidFill>
          <a:ln w="28575">
            <a:solidFill>
              <a:srgbClr val="0000FF"/>
            </a:solidFill>
            <a:miter lim="800000"/>
            <a:headEnd/>
            <a:tailEnd/>
          </a:ln>
        </xdr:spPr>
        <xdr:txBody>
          <a:bodyPr vertOverflow="clip" wrap="square" lIns="36576" tIns="27432" rIns="36576" bIns="27432" anchor="ctr" upright="1"/>
          <a:lstStyle/>
          <a:p>
            <a:pPr algn="ctr" rtl="0">
              <a:defRPr sz="1000"/>
            </a:pPr>
            <a:r>
              <a:rPr lang="en-US" sz="1400" b="1" i="0" u="none" strike="noStrike" baseline="0">
                <a:solidFill>
                  <a:srgbClr val="0000FF"/>
                </a:solidFill>
                <a:latin typeface="Arial"/>
                <a:cs typeface="Arial"/>
              </a:rPr>
              <a:t>Air Locks</a:t>
            </a:r>
          </a:p>
        </xdr:txBody>
      </xdr:sp>
      <xdr:sp macro="" textlink="">
        <xdr:nvSpPr>
          <xdr:cNvPr id="9254" name="AutoShape 142"/>
          <xdr:cNvSpPr>
            <a:spLocks noChangeArrowheads="1"/>
          </xdr:cNvSpPr>
        </xdr:nvSpPr>
        <xdr:spPr bwMode="auto">
          <a:xfrm>
            <a:off x="486" y="175"/>
            <a:ext cx="36" cy="13"/>
          </a:xfrm>
          <a:prstGeom prst="rightArrow">
            <a:avLst>
              <a:gd name="adj1" fmla="val 50000"/>
              <a:gd name="adj2" fmla="val 69231"/>
            </a:avLst>
          </a:prstGeom>
          <a:solidFill>
            <a:srgbClr val="800080">
              <a:alpha val="50195"/>
            </a:srgbClr>
          </a:solidFill>
          <a:ln w="9525">
            <a:solidFill>
              <a:srgbClr val="800080"/>
            </a:solidFill>
            <a:miter lim="800000"/>
            <a:headEnd/>
            <a:tailEnd/>
          </a:ln>
        </xdr:spPr>
      </xdr:sp>
      <xdr:sp macro="" textlink="">
        <xdr:nvSpPr>
          <xdr:cNvPr id="9255" name="AutoShape 143"/>
          <xdr:cNvSpPr>
            <a:spLocks noChangeArrowheads="1"/>
          </xdr:cNvSpPr>
        </xdr:nvSpPr>
        <xdr:spPr bwMode="auto">
          <a:xfrm>
            <a:off x="783" y="183"/>
            <a:ext cx="46" cy="13"/>
          </a:xfrm>
          <a:prstGeom prst="rightArrow">
            <a:avLst>
              <a:gd name="adj1" fmla="val 50000"/>
              <a:gd name="adj2" fmla="val 88462"/>
            </a:avLst>
          </a:prstGeom>
          <a:solidFill>
            <a:srgbClr val="800080">
              <a:alpha val="50195"/>
            </a:srgbClr>
          </a:solidFill>
          <a:ln w="9525">
            <a:solidFill>
              <a:srgbClr val="800080"/>
            </a:solidFill>
            <a:miter lim="800000"/>
            <a:headEnd/>
            <a:tailEnd/>
          </a:ln>
        </xdr:spPr>
      </xdr:sp>
      <xdr:sp macro="" textlink="">
        <xdr:nvSpPr>
          <xdr:cNvPr id="9256" name="AutoShape 144"/>
          <xdr:cNvSpPr>
            <a:spLocks noChangeArrowheads="1"/>
          </xdr:cNvSpPr>
        </xdr:nvSpPr>
        <xdr:spPr bwMode="auto">
          <a:xfrm>
            <a:off x="850" y="265"/>
            <a:ext cx="16" cy="61"/>
          </a:xfrm>
          <a:prstGeom prst="downArrow">
            <a:avLst>
              <a:gd name="adj1" fmla="val 50000"/>
              <a:gd name="adj2" fmla="val 95313"/>
            </a:avLst>
          </a:prstGeom>
          <a:solidFill>
            <a:srgbClr val="800080">
              <a:alpha val="50195"/>
            </a:srgbClr>
          </a:solidFill>
          <a:ln w="9525">
            <a:solidFill>
              <a:srgbClr val="800080"/>
            </a:solidFill>
            <a:miter lim="800000"/>
            <a:headEnd/>
            <a:tailEnd/>
          </a:ln>
        </xdr:spPr>
      </xdr:sp>
      <xdr:sp macro="" textlink="">
        <xdr:nvSpPr>
          <xdr:cNvPr id="9257" name="AutoShape 145"/>
          <xdr:cNvSpPr>
            <a:spLocks noChangeArrowheads="1"/>
          </xdr:cNvSpPr>
        </xdr:nvSpPr>
        <xdr:spPr bwMode="auto">
          <a:xfrm rot="-5400000" flipH="1" flipV="1">
            <a:off x="855" y="181"/>
            <a:ext cx="34" cy="39"/>
          </a:xfrm>
          <a:custGeom>
            <a:avLst/>
            <a:gdLst>
              <a:gd name="T0" fmla="*/ 0 w 21600"/>
              <a:gd name="T1" fmla="*/ 0 h 21600"/>
              <a:gd name="T2" fmla="*/ 0 w 21600"/>
              <a:gd name="T3" fmla="*/ 0 h 21600"/>
              <a:gd name="T4" fmla="*/ 0 w 21600"/>
              <a:gd name="T5" fmla="*/ 0 h 21600"/>
              <a:gd name="T6" fmla="*/ 0 w 21600"/>
              <a:gd name="T7" fmla="*/ 0 h 21600"/>
              <a:gd name="T8" fmla="*/ 17694720 60000 65536"/>
              <a:gd name="T9" fmla="*/ 5898240 60000 65536"/>
              <a:gd name="T10" fmla="*/ 5898240 60000 65536"/>
              <a:gd name="T11" fmla="*/ 0 60000 65536"/>
              <a:gd name="T12" fmla="*/ 12706 w 21600"/>
              <a:gd name="T13" fmla="*/ 3877 h 21600"/>
              <a:gd name="T14" fmla="*/ 19059 w 21600"/>
              <a:gd name="T15" fmla="*/ 8308 h 21600"/>
            </a:gdLst>
            <a:ahLst/>
            <a:cxnLst>
              <a:cxn ang="T8">
                <a:pos x="T0" y="T1"/>
              </a:cxn>
              <a:cxn ang="T9">
                <a:pos x="T2" y="T3"/>
              </a:cxn>
              <a:cxn ang="T10">
                <a:pos x="T4" y="T5"/>
              </a:cxn>
              <a:cxn ang="T11">
                <a:pos x="T6" y="T7"/>
              </a:cxn>
            </a:cxnLst>
            <a:rect l="T12" t="T13" r="T14" b="T15"/>
            <a:pathLst>
              <a:path w="21600" h="21600">
                <a:moveTo>
                  <a:pt x="21600" y="6079"/>
                </a:moveTo>
                <a:lnTo>
                  <a:pt x="13976" y="0"/>
                </a:lnTo>
                <a:lnTo>
                  <a:pt x="13976" y="3978"/>
                </a:lnTo>
                <a:lnTo>
                  <a:pt x="12427" y="3978"/>
                </a:lnTo>
                <a:cubicBezTo>
                  <a:pt x="5564" y="3978"/>
                  <a:pt x="0" y="7640"/>
                  <a:pt x="0" y="12158"/>
                </a:cubicBezTo>
                <a:lnTo>
                  <a:pt x="0" y="21600"/>
                </a:lnTo>
                <a:lnTo>
                  <a:pt x="4295" y="21600"/>
                </a:lnTo>
                <a:lnTo>
                  <a:pt x="4295" y="12158"/>
                </a:lnTo>
                <a:cubicBezTo>
                  <a:pt x="4295" y="9961"/>
                  <a:pt x="7936" y="8180"/>
                  <a:pt x="12427" y="8180"/>
                </a:cubicBezTo>
                <a:lnTo>
                  <a:pt x="13976" y="8180"/>
                </a:lnTo>
                <a:lnTo>
                  <a:pt x="13976" y="12158"/>
                </a:lnTo>
                <a:lnTo>
                  <a:pt x="21600" y="6079"/>
                </a:lnTo>
                <a:close/>
              </a:path>
            </a:pathLst>
          </a:custGeom>
          <a:solidFill>
            <a:srgbClr val="800080">
              <a:alpha val="50195"/>
            </a:srgbClr>
          </a:solidFill>
          <a:ln w="9525">
            <a:solidFill>
              <a:srgbClr val="800080"/>
            </a:solidFill>
            <a:miter lim="800000"/>
            <a:headEnd/>
            <a:tailEnd/>
          </a:ln>
        </xdr:spPr>
      </xdr:sp>
      <xdr:sp macro="" textlink="">
        <xdr:nvSpPr>
          <xdr:cNvPr id="9258" name="AutoShape 146"/>
          <xdr:cNvSpPr>
            <a:spLocks noChangeArrowheads="1"/>
          </xdr:cNvSpPr>
        </xdr:nvSpPr>
        <xdr:spPr bwMode="auto">
          <a:xfrm rot="10800000">
            <a:off x="601" y="544"/>
            <a:ext cx="64" cy="13"/>
          </a:xfrm>
          <a:prstGeom prst="rightArrow">
            <a:avLst>
              <a:gd name="adj1" fmla="val 50000"/>
              <a:gd name="adj2" fmla="val 123077"/>
            </a:avLst>
          </a:prstGeom>
          <a:solidFill>
            <a:srgbClr val="800080">
              <a:alpha val="50195"/>
            </a:srgbClr>
          </a:solidFill>
          <a:ln w="9525">
            <a:solidFill>
              <a:srgbClr val="800080"/>
            </a:solidFill>
            <a:miter lim="800000"/>
            <a:headEnd/>
            <a:tailEnd/>
          </a:ln>
        </xdr:spPr>
      </xdr:sp>
      <xdr:sp macro="" textlink="">
        <xdr:nvSpPr>
          <xdr:cNvPr id="9259" name="AutoShape 147"/>
          <xdr:cNvSpPr>
            <a:spLocks noChangeArrowheads="1"/>
          </xdr:cNvSpPr>
        </xdr:nvSpPr>
        <xdr:spPr bwMode="auto">
          <a:xfrm rot="10800000">
            <a:off x="752" y="364"/>
            <a:ext cx="64" cy="13"/>
          </a:xfrm>
          <a:prstGeom prst="rightArrow">
            <a:avLst>
              <a:gd name="adj1" fmla="val 50000"/>
              <a:gd name="adj2" fmla="val 123077"/>
            </a:avLst>
          </a:prstGeom>
          <a:solidFill>
            <a:srgbClr val="800080">
              <a:alpha val="50195"/>
            </a:srgbClr>
          </a:solidFill>
          <a:ln w="9525">
            <a:solidFill>
              <a:srgbClr val="800080"/>
            </a:solidFill>
            <a:miter lim="800000"/>
            <a:headEnd/>
            <a:tailEnd/>
          </a:ln>
        </xdr:spPr>
      </xdr:sp>
      <xdr:sp macro="" textlink="">
        <xdr:nvSpPr>
          <xdr:cNvPr id="9260" name="Freeform 148"/>
          <xdr:cNvSpPr>
            <a:spLocks/>
          </xdr:cNvSpPr>
        </xdr:nvSpPr>
        <xdr:spPr bwMode="auto">
          <a:xfrm>
            <a:off x="636" y="273"/>
            <a:ext cx="265" cy="333"/>
          </a:xfrm>
          <a:custGeom>
            <a:avLst/>
            <a:gdLst>
              <a:gd name="T0" fmla="*/ 0 w 535"/>
              <a:gd name="T1" fmla="*/ 2147483647 h 110"/>
              <a:gd name="T2" fmla="*/ 0 w 535"/>
              <a:gd name="T3" fmla="*/ 0 h 110"/>
              <a:gd name="T4" fmla="*/ 0 w 535"/>
              <a:gd name="T5" fmla="*/ 0 h 110"/>
              <a:gd name="T6" fmla="*/ 0 w 535"/>
              <a:gd name="T7" fmla="*/ 2147483647 h 110"/>
              <a:gd name="T8" fmla="*/ 0 w 535"/>
              <a:gd name="T9" fmla="*/ 2147483647 h 110"/>
              <a:gd name="T10" fmla="*/ 0 60000 65536"/>
              <a:gd name="T11" fmla="*/ 0 60000 65536"/>
              <a:gd name="T12" fmla="*/ 0 60000 65536"/>
              <a:gd name="T13" fmla="*/ 0 60000 65536"/>
              <a:gd name="T14" fmla="*/ 0 60000 65536"/>
              <a:gd name="T15" fmla="*/ 0 w 535"/>
              <a:gd name="T16" fmla="*/ 0 h 110"/>
              <a:gd name="T17" fmla="*/ 535 w 535"/>
              <a:gd name="T18" fmla="*/ 110 h 110"/>
            </a:gdLst>
            <a:ahLst/>
            <a:cxnLst>
              <a:cxn ang="T10">
                <a:pos x="T0" y="T1"/>
              </a:cxn>
              <a:cxn ang="T11">
                <a:pos x="T2" y="T3"/>
              </a:cxn>
              <a:cxn ang="T12">
                <a:pos x="T4" y="T5"/>
              </a:cxn>
              <a:cxn ang="T13">
                <a:pos x="T6" y="T7"/>
              </a:cxn>
              <a:cxn ang="T14">
                <a:pos x="T8" y="T9"/>
              </a:cxn>
            </a:cxnLst>
            <a:rect l="T15" t="T16" r="T17" b="T18"/>
            <a:pathLst>
              <a:path w="535" h="110">
                <a:moveTo>
                  <a:pt x="535" y="110"/>
                </a:moveTo>
                <a:lnTo>
                  <a:pt x="535" y="0"/>
                </a:lnTo>
                <a:lnTo>
                  <a:pt x="0" y="0"/>
                </a:lnTo>
                <a:lnTo>
                  <a:pt x="0" y="110"/>
                </a:lnTo>
                <a:lnTo>
                  <a:pt x="535" y="110"/>
                </a:lnTo>
                <a:close/>
              </a:path>
            </a:pathLst>
          </a:custGeom>
          <a:noFill/>
          <a:ln w="28575" cmpd="sng">
            <a:solidFill>
              <a:srgbClr val="0000FF"/>
            </a:solidFill>
            <a:round/>
            <a:headEnd/>
            <a:tailEnd/>
          </a:ln>
        </xdr:spPr>
      </xdr:sp>
      <xdr:sp macro="" textlink="">
        <xdr:nvSpPr>
          <xdr:cNvPr id="120981" name="Text Box 149"/>
          <xdr:cNvSpPr txBox="1">
            <a:spLocks noChangeArrowheads="1"/>
          </xdr:cNvSpPr>
        </xdr:nvSpPr>
        <xdr:spPr bwMode="auto">
          <a:xfrm>
            <a:off x="130" y="464"/>
            <a:ext cx="176" cy="142"/>
          </a:xfrm>
          <a:prstGeom prst="rect">
            <a:avLst/>
          </a:prstGeom>
          <a:solidFill>
            <a:srgbClr val="FFFFFF"/>
          </a:solidFill>
          <a:ln w="9525">
            <a:solidFill>
              <a:srgbClr val="000000"/>
            </a:solidFill>
            <a:miter lim="800000"/>
            <a:headEnd/>
            <a:tailEnd/>
          </a:ln>
        </xdr:spPr>
        <xdr:txBody>
          <a:bodyPr vertOverflow="clip" wrap="square" lIns="36576" tIns="32004" rIns="36576" bIns="0" anchor="t" upright="1"/>
          <a:lstStyle/>
          <a:p>
            <a:pPr algn="ctr" rtl="0">
              <a:defRPr sz="1000"/>
            </a:pPr>
            <a:endParaRPr lang="en-US" sz="1600" b="1" i="0" u="none" strike="noStrike" baseline="0">
              <a:solidFill>
                <a:srgbClr val="000000"/>
              </a:solidFill>
              <a:latin typeface="Arial"/>
              <a:cs typeface="Arial"/>
            </a:endParaRPr>
          </a:p>
          <a:p>
            <a:pPr algn="ctr" rtl="0">
              <a:defRPr sz="1000"/>
            </a:pPr>
            <a:r>
              <a:rPr lang="en-US" sz="1600" b="1" i="0" u="none" strike="noStrike" baseline="0">
                <a:solidFill>
                  <a:srgbClr val="000000"/>
                </a:solidFill>
                <a:latin typeface="Arial"/>
                <a:cs typeface="Arial"/>
              </a:rPr>
              <a:t>Charge-Retention    </a:t>
            </a:r>
          </a:p>
          <a:p>
            <a:pPr algn="ctr" rtl="0">
              <a:defRPr sz="1000"/>
            </a:pPr>
            <a:r>
              <a:rPr lang="en-US" sz="1600" b="1" i="0" u="none" strike="noStrike" baseline="0">
                <a:solidFill>
                  <a:srgbClr val="000000"/>
                </a:solidFill>
                <a:latin typeface="Arial"/>
                <a:cs typeface="Arial"/>
              </a:rPr>
              <a:t>Testing </a:t>
            </a:r>
          </a:p>
        </xdr:txBody>
      </xdr:sp>
      <xdr:sp macro="" textlink="">
        <xdr:nvSpPr>
          <xdr:cNvPr id="120982" name="Text Box 150"/>
          <xdr:cNvSpPr txBox="1">
            <a:spLocks noChangeArrowheads="1"/>
          </xdr:cNvSpPr>
        </xdr:nvSpPr>
        <xdr:spPr bwMode="auto">
          <a:xfrm>
            <a:off x="304" y="464"/>
            <a:ext cx="94" cy="142"/>
          </a:xfrm>
          <a:prstGeom prst="rect">
            <a:avLst/>
          </a:prstGeom>
          <a:solidFill>
            <a:srgbClr val="FFFFFF"/>
          </a:solidFill>
          <a:ln w="9525">
            <a:solidFill>
              <a:srgbClr val="000000"/>
            </a:solidFill>
            <a:miter lim="800000"/>
            <a:headEnd/>
            <a:tailEnd/>
          </a:ln>
        </xdr:spPr>
        <xdr:txBody>
          <a:bodyPr vertOverflow="clip" wrap="square" lIns="36576" tIns="32004" rIns="36576" bIns="0" anchor="t" upright="1"/>
          <a:lstStyle/>
          <a:p>
            <a:pPr algn="ctr" rtl="0">
              <a:lnSpc>
                <a:spcPts val="1500"/>
              </a:lnSpc>
              <a:defRPr sz="1000"/>
            </a:pPr>
            <a:endParaRPr lang="en-US" sz="1600" b="1" i="0" u="none" strike="noStrike" baseline="0">
              <a:solidFill>
                <a:srgbClr val="000000"/>
              </a:solidFill>
              <a:latin typeface="Arial"/>
              <a:cs typeface="Arial"/>
            </a:endParaRPr>
          </a:p>
          <a:p>
            <a:pPr algn="ctr" rtl="0">
              <a:lnSpc>
                <a:spcPts val="1400"/>
              </a:lnSpc>
              <a:defRPr sz="1000"/>
            </a:pPr>
            <a:r>
              <a:rPr lang="en-US" sz="1600" b="1" i="0" u="none" strike="noStrike" baseline="0">
                <a:solidFill>
                  <a:srgbClr val="000000"/>
                </a:solidFill>
                <a:latin typeface="Arial"/>
                <a:cs typeface="Arial"/>
              </a:rPr>
              <a:t>Final Cell Sealing</a:t>
            </a:r>
          </a:p>
        </xdr:txBody>
      </xdr:sp>
      <xdr:sp macro="" textlink="">
        <xdr:nvSpPr>
          <xdr:cNvPr id="9263" name="AutoShape 151"/>
          <xdr:cNvSpPr>
            <a:spLocks noChangeArrowheads="1"/>
          </xdr:cNvSpPr>
        </xdr:nvSpPr>
        <xdr:spPr bwMode="auto">
          <a:xfrm rot="10800000">
            <a:off x="369" y="580"/>
            <a:ext cx="58" cy="13"/>
          </a:xfrm>
          <a:prstGeom prst="rightArrow">
            <a:avLst>
              <a:gd name="adj1" fmla="val 50000"/>
              <a:gd name="adj2" fmla="val 111538"/>
            </a:avLst>
          </a:prstGeom>
          <a:solidFill>
            <a:srgbClr val="993366">
              <a:alpha val="50195"/>
            </a:srgbClr>
          </a:solidFill>
          <a:ln w="9525">
            <a:solidFill>
              <a:srgbClr val="800080"/>
            </a:solidFill>
            <a:miter lim="800000"/>
            <a:headEnd/>
            <a:tailEnd/>
          </a:ln>
        </xdr:spPr>
      </xdr:sp>
      <xdr:sp macro="" textlink="">
        <xdr:nvSpPr>
          <xdr:cNvPr id="9264" name="AutoShape 152"/>
          <xdr:cNvSpPr>
            <a:spLocks noChangeArrowheads="1"/>
          </xdr:cNvSpPr>
        </xdr:nvSpPr>
        <xdr:spPr bwMode="auto">
          <a:xfrm rot="10800000">
            <a:off x="219" y="398"/>
            <a:ext cx="55" cy="13"/>
          </a:xfrm>
          <a:prstGeom prst="rightArrow">
            <a:avLst>
              <a:gd name="adj1" fmla="val 50000"/>
              <a:gd name="adj2" fmla="val 105769"/>
            </a:avLst>
          </a:prstGeom>
          <a:solidFill>
            <a:srgbClr val="993366">
              <a:alpha val="50195"/>
            </a:srgbClr>
          </a:solidFill>
          <a:ln w="9525">
            <a:solidFill>
              <a:srgbClr val="800080"/>
            </a:solidFill>
            <a:miter lim="800000"/>
            <a:headEnd/>
            <a:tailEnd/>
          </a:ln>
        </xdr:spPr>
      </xdr:sp>
      <xdr:sp macro="" textlink="">
        <xdr:nvSpPr>
          <xdr:cNvPr id="9265" name="AutoShape 153"/>
          <xdr:cNvSpPr>
            <a:spLocks noChangeArrowheads="1"/>
          </xdr:cNvSpPr>
        </xdr:nvSpPr>
        <xdr:spPr bwMode="auto">
          <a:xfrm rot="10800000">
            <a:off x="275" y="581"/>
            <a:ext cx="58" cy="13"/>
          </a:xfrm>
          <a:prstGeom prst="rightArrow">
            <a:avLst>
              <a:gd name="adj1" fmla="val 50000"/>
              <a:gd name="adj2" fmla="val 111538"/>
            </a:avLst>
          </a:prstGeom>
          <a:solidFill>
            <a:srgbClr val="993366">
              <a:alpha val="50195"/>
            </a:srgbClr>
          </a:solidFill>
          <a:ln w="9525">
            <a:solidFill>
              <a:srgbClr val="800080"/>
            </a:solidFill>
            <a:miter lim="800000"/>
            <a:headEnd/>
            <a:tailEnd/>
          </a:ln>
        </xdr:spPr>
      </xdr:sp>
      <xdr:sp macro="" textlink="">
        <xdr:nvSpPr>
          <xdr:cNvPr id="9266" name="AutoShape 154"/>
          <xdr:cNvSpPr>
            <a:spLocks noChangeArrowheads="1"/>
          </xdr:cNvSpPr>
        </xdr:nvSpPr>
        <xdr:spPr bwMode="auto">
          <a:xfrm rot="10800000">
            <a:off x="99" y="398"/>
            <a:ext cx="55" cy="13"/>
          </a:xfrm>
          <a:prstGeom prst="rightArrow">
            <a:avLst>
              <a:gd name="adj1" fmla="val 50000"/>
              <a:gd name="adj2" fmla="val 105769"/>
            </a:avLst>
          </a:prstGeom>
          <a:solidFill>
            <a:srgbClr val="993366">
              <a:alpha val="50195"/>
            </a:srgbClr>
          </a:solidFill>
          <a:ln w="9525">
            <a:solidFill>
              <a:srgbClr val="800080"/>
            </a:solidFill>
            <a:miter lim="800000"/>
            <a:headEnd/>
            <a:tailEnd/>
          </a:ln>
        </xdr:spPr>
      </xdr:sp>
      <xdr:sp macro="" textlink="">
        <xdr:nvSpPr>
          <xdr:cNvPr id="9267" name="AutoShape 155"/>
          <xdr:cNvSpPr>
            <a:spLocks noChangeArrowheads="1"/>
          </xdr:cNvSpPr>
        </xdr:nvSpPr>
        <xdr:spPr bwMode="auto">
          <a:xfrm rot="-5400000">
            <a:off x="258" y="470"/>
            <a:ext cx="58" cy="13"/>
          </a:xfrm>
          <a:prstGeom prst="rightArrow">
            <a:avLst>
              <a:gd name="adj1" fmla="val 50000"/>
              <a:gd name="adj2" fmla="val 111538"/>
            </a:avLst>
          </a:prstGeom>
          <a:solidFill>
            <a:srgbClr val="993366">
              <a:alpha val="50195"/>
            </a:srgbClr>
          </a:solidFill>
          <a:ln w="9525">
            <a:solidFill>
              <a:srgbClr val="800080"/>
            </a:solidFill>
            <a:miter lim="800000"/>
            <a:headEnd/>
            <a:tailEnd/>
          </a:ln>
        </xdr:spPr>
      </xdr:sp>
      <xdr:sp macro="" textlink="">
        <xdr:nvSpPr>
          <xdr:cNvPr id="120988" name="AutoShape 156"/>
          <xdr:cNvSpPr>
            <a:spLocks/>
          </xdr:cNvSpPr>
        </xdr:nvSpPr>
        <xdr:spPr bwMode="auto">
          <a:xfrm>
            <a:off x="383" y="620"/>
            <a:ext cx="129" cy="42"/>
          </a:xfrm>
          <a:prstGeom prst="callout2">
            <a:avLst>
              <a:gd name="adj1" fmla="val 28569"/>
              <a:gd name="adj2" fmla="val 106204"/>
              <a:gd name="adj3" fmla="val 28569"/>
              <a:gd name="adj4" fmla="val 134884"/>
              <a:gd name="adj5" fmla="val -121431"/>
              <a:gd name="adj6" fmla="val 196125"/>
            </a:avLst>
          </a:prstGeom>
          <a:solidFill>
            <a:srgbClr val="FFFFFF"/>
          </a:solidFill>
          <a:ln w="19050">
            <a:solidFill>
              <a:srgbClr val="0000FF"/>
            </a:solidFill>
            <a:miter lim="800000"/>
            <a:headEnd/>
            <a:tailEnd type="triangle" w="lg" len="lg"/>
          </a:ln>
        </xdr:spPr>
        <xdr:txBody>
          <a:bodyPr vertOverflow="clip" wrap="square" lIns="36576" tIns="32004" rIns="36576" bIns="0" anchor="t" upright="1"/>
          <a:lstStyle/>
          <a:p>
            <a:pPr algn="ctr" rtl="0">
              <a:defRPr sz="1000"/>
            </a:pPr>
            <a:r>
              <a:rPr lang="en-US" sz="1600" b="1" i="0" u="none" strike="noStrike" baseline="0">
                <a:solidFill>
                  <a:srgbClr val="0000FF"/>
                </a:solidFill>
                <a:latin typeface="Arial"/>
                <a:cs typeface="Arial"/>
              </a:rPr>
              <a:t>Dry Room</a:t>
            </a:r>
          </a:p>
        </xdr:txBody>
      </xdr:sp>
      <xdr:sp macro="" textlink="">
        <xdr:nvSpPr>
          <xdr:cNvPr id="120989" name="Text Box 157"/>
          <xdr:cNvSpPr txBox="1">
            <a:spLocks noChangeArrowheads="1"/>
          </xdr:cNvSpPr>
        </xdr:nvSpPr>
        <xdr:spPr bwMode="auto">
          <a:xfrm>
            <a:off x="571" y="378"/>
            <a:ext cx="95" cy="51"/>
          </a:xfrm>
          <a:prstGeom prst="rect">
            <a:avLst/>
          </a:prstGeom>
          <a:solidFill>
            <a:srgbClr val="FFFFFF"/>
          </a:solidFill>
          <a:ln>
            <a:noFill/>
          </a:ln>
          <a:extLst/>
        </xdr:spPr>
        <xdr:txBody>
          <a:bodyPr vertOverflow="clip" wrap="square" lIns="36576" tIns="27432" rIns="36576" bIns="0" anchor="t" upright="1"/>
          <a:lstStyle/>
          <a:p>
            <a:pPr algn="ctr" rtl="0">
              <a:defRPr sz="1000"/>
            </a:pPr>
            <a:r>
              <a:rPr lang="en-US" sz="1400" b="1" i="0" u="none" strike="noStrike" baseline="0">
                <a:solidFill>
                  <a:srgbClr val="000000"/>
                </a:solidFill>
                <a:latin typeface="Arial"/>
                <a:cs typeface="Arial"/>
              </a:rPr>
              <a:t>Materials Handling</a:t>
            </a:r>
          </a:p>
        </xdr:txBody>
      </xdr:sp>
      <xdr:sp macro="" textlink="">
        <xdr:nvSpPr>
          <xdr:cNvPr id="120990" name="Text Box 158"/>
          <xdr:cNvSpPr txBox="1">
            <a:spLocks noChangeArrowheads="1"/>
          </xdr:cNvSpPr>
        </xdr:nvSpPr>
        <xdr:spPr bwMode="auto">
          <a:xfrm>
            <a:off x="674" y="607"/>
            <a:ext cx="193" cy="47"/>
          </a:xfrm>
          <a:prstGeom prst="rect">
            <a:avLst/>
          </a:prstGeom>
          <a:solidFill>
            <a:srgbClr val="FFFFFF"/>
          </a:solidFill>
          <a:ln w="9525">
            <a:solidFill>
              <a:srgbClr val="000000"/>
            </a:solidFill>
            <a:miter lim="800000"/>
            <a:headEnd/>
            <a:tailEnd/>
          </a:ln>
        </xdr:spPr>
        <xdr:txBody>
          <a:bodyPr vertOverflow="clip" wrap="square" lIns="36576" tIns="27432" rIns="36576" bIns="27432" anchor="ctr" upright="1"/>
          <a:lstStyle/>
          <a:p>
            <a:pPr algn="ctr" rtl="0">
              <a:defRPr sz="1000"/>
            </a:pPr>
            <a:r>
              <a:rPr lang="en-US" sz="1200" b="1" i="0" u="none" strike="noStrike" baseline="0">
                <a:solidFill>
                  <a:srgbClr val="000000"/>
                </a:solidFill>
                <a:latin typeface="Arial"/>
                <a:cs typeface="Arial"/>
              </a:rPr>
              <a:t>Outdoor dry-room air processing equipment</a:t>
            </a: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180975</xdr:colOff>
      <xdr:row>1</xdr:row>
      <xdr:rowOff>0</xdr:rowOff>
    </xdr:from>
    <xdr:to>
      <xdr:col>16</xdr:col>
      <xdr:colOff>571500</xdr:colOff>
      <xdr:row>38</xdr:row>
      <xdr:rowOff>76200</xdr:rowOff>
    </xdr:to>
    <xdr:grpSp>
      <xdr:nvGrpSpPr>
        <xdr:cNvPr id="2" name="Group 1"/>
        <xdr:cNvGrpSpPr/>
      </xdr:nvGrpSpPr>
      <xdr:grpSpPr>
        <a:xfrm>
          <a:off x="180975" y="161925"/>
          <a:ext cx="10144125" cy="6067425"/>
          <a:chOff x="180975" y="161925"/>
          <a:chExt cx="10144125" cy="6067425"/>
        </a:xfrm>
      </xdr:grpSpPr>
      <xdr:sp macro="" textlink="">
        <xdr:nvSpPr>
          <xdr:cNvPr id="119171" name="Text Box 387"/>
          <xdr:cNvSpPr txBox="1">
            <a:spLocks noChangeArrowheads="1"/>
          </xdr:cNvSpPr>
        </xdr:nvSpPr>
        <xdr:spPr bwMode="auto">
          <a:xfrm>
            <a:off x="6391275" y="5514975"/>
            <a:ext cx="2781300" cy="714375"/>
          </a:xfrm>
          <a:prstGeom prst="rect">
            <a:avLst/>
          </a:prstGeom>
          <a:solidFill>
            <a:srgbClr val="FFFFFF"/>
          </a:solidFill>
          <a:ln>
            <a:noFill/>
          </a:ln>
          <a:extLst/>
        </xdr:spPr>
        <xdr:txBody>
          <a:bodyPr vertOverflow="clip" wrap="square" lIns="45720" tIns="41148" rIns="45720" bIns="0" anchor="t" upright="1"/>
          <a:lstStyle/>
          <a:p>
            <a:pPr algn="ctr" rtl="0">
              <a:defRPr sz="1000"/>
            </a:pPr>
            <a:r>
              <a:rPr lang="en-US" sz="2000" b="1" i="0" u="none" strike="noStrike" baseline="0">
                <a:solidFill>
                  <a:srgbClr val="993366"/>
                </a:solidFill>
                <a:latin typeface="Arial"/>
                <a:cs typeface="Arial"/>
              </a:rPr>
              <a:t>Cell with Stiff, Multi-Layer Container</a:t>
            </a:r>
          </a:p>
        </xdr:txBody>
      </xdr:sp>
      <xdr:sp macro="" textlink="">
        <xdr:nvSpPr>
          <xdr:cNvPr id="119172" name="Text Box 388"/>
          <xdr:cNvSpPr txBox="1">
            <a:spLocks noChangeArrowheads="1"/>
          </xdr:cNvSpPr>
        </xdr:nvSpPr>
        <xdr:spPr bwMode="auto">
          <a:xfrm>
            <a:off x="628650" y="4200525"/>
            <a:ext cx="2085975" cy="428625"/>
          </a:xfrm>
          <a:prstGeom prst="rect">
            <a:avLst/>
          </a:prstGeom>
          <a:solidFill>
            <a:srgbClr val="FFFFFF"/>
          </a:solidFill>
          <a:ln>
            <a:noFill/>
          </a:ln>
          <a:extLst/>
        </xdr:spPr>
        <xdr:txBody>
          <a:bodyPr vertOverflow="clip" wrap="square" lIns="45720" tIns="41148" rIns="45720" bIns="0" anchor="t" upright="1"/>
          <a:lstStyle/>
          <a:p>
            <a:pPr algn="ctr" rtl="0">
              <a:defRPr sz="1000"/>
            </a:pPr>
            <a:r>
              <a:rPr lang="en-US" sz="2000" b="1" i="0" u="none" strike="noStrike" baseline="0">
                <a:solidFill>
                  <a:srgbClr val="993366"/>
                </a:solidFill>
                <a:latin typeface="Arial"/>
                <a:cs typeface="Arial"/>
              </a:rPr>
              <a:t>Terminal Seal</a:t>
            </a:r>
          </a:p>
        </xdr:txBody>
      </xdr:sp>
      <xdr:sp macro="" textlink="">
        <xdr:nvSpPr>
          <xdr:cNvPr id="119173" name="AutoShape 389"/>
          <xdr:cNvSpPr>
            <a:spLocks/>
          </xdr:cNvSpPr>
        </xdr:nvSpPr>
        <xdr:spPr bwMode="auto">
          <a:xfrm>
            <a:off x="1895475" y="695325"/>
            <a:ext cx="1600200" cy="809625"/>
          </a:xfrm>
          <a:prstGeom prst="callout2">
            <a:avLst>
              <a:gd name="adj1" fmla="val 14116"/>
              <a:gd name="adj2" fmla="val -4764"/>
              <a:gd name="adj3" fmla="val 14116"/>
              <a:gd name="adj4" fmla="val -27380"/>
              <a:gd name="adj5" fmla="val 72940"/>
              <a:gd name="adj6" fmla="val -41069"/>
            </a:avLst>
          </a:prstGeom>
          <a:solidFill>
            <a:srgbClr val="FFFFFF"/>
          </a:solidFill>
          <a:ln w="12700">
            <a:solidFill>
              <a:srgbClr val="000000"/>
            </a:solidFill>
            <a:miter lim="800000"/>
            <a:headEnd/>
            <a:tailEnd type="triangle" w="lg" len="lg"/>
          </a:ln>
        </xdr:spPr>
        <xdr:txBody>
          <a:bodyPr vertOverflow="clip" wrap="square" lIns="36576" tIns="32004" rIns="36576" bIns="0" anchor="t" upright="1"/>
          <a:lstStyle/>
          <a:p>
            <a:pPr algn="ctr" rtl="0">
              <a:defRPr sz="1000"/>
            </a:pPr>
            <a:r>
              <a:rPr lang="en-US" sz="1600" b="1" i="0" u="none" strike="noStrike" baseline="0">
                <a:solidFill>
                  <a:srgbClr val="000000"/>
                </a:solidFill>
                <a:latin typeface="Arial"/>
                <a:cs typeface="Arial"/>
              </a:rPr>
              <a:t>Polymer Seal of Cell Container to Terminal </a:t>
            </a:r>
          </a:p>
        </xdr:txBody>
      </xdr:sp>
      <xdr:sp macro="" textlink="">
        <xdr:nvSpPr>
          <xdr:cNvPr id="10244" name="Rectangle 390"/>
          <xdr:cNvSpPr>
            <a:spLocks noChangeArrowheads="1"/>
          </xdr:cNvSpPr>
        </xdr:nvSpPr>
        <xdr:spPr bwMode="auto">
          <a:xfrm>
            <a:off x="1085850" y="2419350"/>
            <a:ext cx="1285875" cy="1352550"/>
          </a:xfrm>
          <a:prstGeom prst="rect">
            <a:avLst/>
          </a:prstGeom>
          <a:solidFill>
            <a:srgbClr val="E3E3E3"/>
          </a:solidFill>
          <a:ln w="9525">
            <a:solidFill>
              <a:srgbClr val="000000"/>
            </a:solidFill>
            <a:miter lim="800000"/>
            <a:headEnd/>
            <a:tailEnd/>
          </a:ln>
        </xdr:spPr>
      </xdr:sp>
      <xdr:sp macro="" textlink="">
        <xdr:nvSpPr>
          <xdr:cNvPr id="10245" name="Line 391"/>
          <xdr:cNvSpPr>
            <a:spLocks noChangeShapeType="1"/>
          </xdr:cNvSpPr>
        </xdr:nvSpPr>
        <xdr:spPr bwMode="auto">
          <a:xfrm>
            <a:off x="1133475" y="2381250"/>
            <a:ext cx="0" cy="1390650"/>
          </a:xfrm>
          <a:prstGeom prst="line">
            <a:avLst/>
          </a:prstGeom>
          <a:noFill/>
          <a:ln w="9525">
            <a:solidFill>
              <a:srgbClr val="3366FF"/>
            </a:solidFill>
            <a:round/>
            <a:headEnd/>
            <a:tailEnd/>
          </a:ln>
        </xdr:spPr>
      </xdr:sp>
      <xdr:sp macro="" textlink="">
        <xdr:nvSpPr>
          <xdr:cNvPr id="10246" name="Line 392"/>
          <xdr:cNvSpPr>
            <a:spLocks noChangeShapeType="1"/>
          </xdr:cNvSpPr>
        </xdr:nvSpPr>
        <xdr:spPr bwMode="auto">
          <a:xfrm>
            <a:off x="1200150" y="2381250"/>
            <a:ext cx="0" cy="1390650"/>
          </a:xfrm>
          <a:prstGeom prst="line">
            <a:avLst/>
          </a:prstGeom>
          <a:noFill/>
          <a:ln w="9525">
            <a:solidFill>
              <a:srgbClr val="3366FF"/>
            </a:solidFill>
            <a:round/>
            <a:headEnd/>
            <a:tailEnd/>
          </a:ln>
        </xdr:spPr>
      </xdr:sp>
      <xdr:sp macro="" textlink="">
        <xdr:nvSpPr>
          <xdr:cNvPr id="10247" name="Line 393"/>
          <xdr:cNvSpPr>
            <a:spLocks noChangeShapeType="1"/>
          </xdr:cNvSpPr>
        </xdr:nvSpPr>
        <xdr:spPr bwMode="auto">
          <a:xfrm>
            <a:off x="1257300" y="2381250"/>
            <a:ext cx="0" cy="1390650"/>
          </a:xfrm>
          <a:prstGeom prst="line">
            <a:avLst/>
          </a:prstGeom>
          <a:noFill/>
          <a:ln w="9525">
            <a:solidFill>
              <a:srgbClr val="3366FF"/>
            </a:solidFill>
            <a:round/>
            <a:headEnd/>
            <a:tailEnd/>
          </a:ln>
        </xdr:spPr>
      </xdr:sp>
      <xdr:sp macro="" textlink="">
        <xdr:nvSpPr>
          <xdr:cNvPr id="10248" name="Line 394"/>
          <xdr:cNvSpPr>
            <a:spLocks noChangeShapeType="1"/>
          </xdr:cNvSpPr>
        </xdr:nvSpPr>
        <xdr:spPr bwMode="auto">
          <a:xfrm>
            <a:off x="1323975" y="2381250"/>
            <a:ext cx="0" cy="1390650"/>
          </a:xfrm>
          <a:prstGeom prst="line">
            <a:avLst/>
          </a:prstGeom>
          <a:noFill/>
          <a:ln w="9525">
            <a:solidFill>
              <a:srgbClr val="3366FF"/>
            </a:solidFill>
            <a:round/>
            <a:headEnd/>
            <a:tailEnd/>
          </a:ln>
        </xdr:spPr>
      </xdr:sp>
      <xdr:sp macro="" textlink="">
        <xdr:nvSpPr>
          <xdr:cNvPr id="10249" name="Line 395"/>
          <xdr:cNvSpPr>
            <a:spLocks noChangeShapeType="1"/>
          </xdr:cNvSpPr>
        </xdr:nvSpPr>
        <xdr:spPr bwMode="auto">
          <a:xfrm>
            <a:off x="1390650" y="2381250"/>
            <a:ext cx="0" cy="1390650"/>
          </a:xfrm>
          <a:prstGeom prst="line">
            <a:avLst/>
          </a:prstGeom>
          <a:noFill/>
          <a:ln w="9525">
            <a:solidFill>
              <a:srgbClr val="3366FF"/>
            </a:solidFill>
            <a:round/>
            <a:headEnd/>
            <a:tailEnd/>
          </a:ln>
        </xdr:spPr>
      </xdr:sp>
      <xdr:sp macro="" textlink="">
        <xdr:nvSpPr>
          <xdr:cNvPr id="10250" name="Line 396"/>
          <xdr:cNvSpPr>
            <a:spLocks noChangeShapeType="1"/>
          </xdr:cNvSpPr>
        </xdr:nvSpPr>
        <xdr:spPr bwMode="auto">
          <a:xfrm>
            <a:off x="1447800" y="2381250"/>
            <a:ext cx="0" cy="1390650"/>
          </a:xfrm>
          <a:prstGeom prst="line">
            <a:avLst/>
          </a:prstGeom>
          <a:noFill/>
          <a:ln w="9525">
            <a:solidFill>
              <a:srgbClr val="3366FF"/>
            </a:solidFill>
            <a:round/>
            <a:headEnd/>
            <a:tailEnd/>
          </a:ln>
        </xdr:spPr>
      </xdr:sp>
      <xdr:sp macro="" textlink="">
        <xdr:nvSpPr>
          <xdr:cNvPr id="10251" name="Line 397"/>
          <xdr:cNvSpPr>
            <a:spLocks noChangeShapeType="1"/>
          </xdr:cNvSpPr>
        </xdr:nvSpPr>
        <xdr:spPr bwMode="auto">
          <a:xfrm>
            <a:off x="1514475" y="2381250"/>
            <a:ext cx="0" cy="1390650"/>
          </a:xfrm>
          <a:prstGeom prst="line">
            <a:avLst/>
          </a:prstGeom>
          <a:noFill/>
          <a:ln w="9525">
            <a:solidFill>
              <a:srgbClr val="3366FF"/>
            </a:solidFill>
            <a:round/>
            <a:headEnd/>
            <a:tailEnd/>
          </a:ln>
        </xdr:spPr>
      </xdr:sp>
      <xdr:sp macro="" textlink="">
        <xdr:nvSpPr>
          <xdr:cNvPr id="10252" name="Line 398"/>
          <xdr:cNvSpPr>
            <a:spLocks noChangeShapeType="1"/>
          </xdr:cNvSpPr>
        </xdr:nvSpPr>
        <xdr:spPr bwMode="auto">
          <a:xfrm>
            <a:off x="1571625" y="2381250"/>
            <a:ext cx="0" cy="1390650"/>
          </a:xfrm>
          <a:prstGeom prst="line">
            <a:avLst/>
          </a:prstGeom>
          <a:noFill/>
          <a:ln w="9525">
            <a:solidFill>
              <a:srgbClr val="3366FF"/>
            </a:solidFill>
            <a:round/>
            <a:headEnd/>
            <a:tailEnd/>
          </a:ln>
        </xdr:spPr>
      </xdr:sp>
      <xdr:sp macro="" textlink="">
        <xdr:nvSpPr>
          <xdr:cNvPr id="10253" name="Line 399"/>
          <xdr:cNvSpPr>
            <a:spLocks noChangeShapeType="1"/>
          </xdr:cNvSpPr>
        </xdr:nvSpPr>
        <xdr:spPr bwMode="auto">
          <a:xfrm>
            <a:off x="1638300" y="2381250"/>
            <a:ext cx="0" cy="1390650"/>
          </a:xfrm>
          <a:prstGeom prst="line">
            <a:avLst/>
          </a:prstGeom>
          <a:noFill/>
          <a:ln w="9525">
            <a:solidFill>
              <a:srgbClr val="3366FF"/>
            </a:solidFill>
            <a:round/>
            <a:headEnd/>
            <a:tailEnd/>
          </a:ln>
        </xdr:spPr>
      </xdr:sp>
      <xdr:sp macro="" textlink="">
        <xdr:nvSpPr>
          <xdr:cNvPr id="10254" name="Line 400"/>
          <xdr:cNvSpPr>
            <a:spLocks noChangeShapeType="1"/>
          </xdr:cNvSpPr>
        </xdr:nvSpPr>
        <xdr:spPr bwMode="auto">
          <a:xfrm>
            <a:off x="1695450" y="2381250"/>
            <a:ext cx="0" cy="1390650"/>
          </a:xfrm>
          <a:prstGeom prst="line">
            <a:avLst/>
          </a:prstGeom>
          <a:noFill/>
          <a:ln w="9525">
            <a:solidFill>
              <a:srgbClr val="3366FF"/>
            </a:solidFill>
            <a:round/>
            <a:headEnd/>
            <a:tailEnd/>
          </a:ln>
        </xdr:spPr>
      </xdr:sp>
      <xdr:sp macro="" textlink="">
        <xdr:nvSpPr>
          <xdr:cNvPr id="10255" name="Line 401"/>
          <xdr:cNvSpPr>
            <a:spLocks noChangeShapeType="1"/>
          </xdr:cNvSpPr>
        </xdr:nvSpPr>
        <xdr:spPr bwMode="auto">
          <a:xfrm flipH="1">
            <a:off x="2314575" y="2381250"/>
            <a:ext cx="0" cy="1390650"/>
          </a:xfrm>
          <a:prstGeom prst="line">
            <a:avLst/>
          </a:prstGeom>
          <a:noFill/>
          <a:ln w="9525">
            <a:solidFill>
              <a:srgbClr val="3366FF"/>
            </a:solidFill>
            <a:round/>
            <a:headEnd/>
            <a:tailEnd/>
          </a:ln>
        </xdr:spPr>
      </xdr:sp>
      <xdr:sp macro="" textlink="">
        <xdr:nvSpPr>
          <xdr:cNvPr id="10256" name="Line 402"/>
          <xdr:cNvSpPr>
            <a:spLocks noChangeShapeType="1"/>
          </xdr:cNvSpPr>
        </xdr:nvSpPr>
        <xdr:spPr bwMode="auto">
          <a:xfrm flipH="1">
            <a:off x="2247900" y="2381250"/>
            <a:ext cx="0" cy="1390650"/>
          </a:xfrm>
          <a:prstGeom prst="line">
            <a:avLst/>
          </a:prstGeom>
          <a:noFill/>
          <a:ln w="9525">
            <a:solidFill>
              <a:srgbClr val="3366FF"/>
            </a:solidFill>
            <a:round/>
            <a:headEnd/>
            <a:tailEnd/>
          </a:ln>
        </xdr:spPr>
      </xdr:sp>
      <xdr:sp macro="" textlink="">
        <xdr:nvSpPr>
          <xdr:cNvPr id="10257" name="Line 403"/>
          <xdr:cNvSpPr>
            <a:spLocks noChangeShapeType="1"/>
          </xdr:cNvSpPr>
        </xdr:nvSpPr>
        <xdr:spPr bwMode="auto">
          <a:xfrm flipH="1">
            <a:off x="2190750" y="2381250"/>
            <a:ext cx="0" cy="1390650"/>
          </a:xfrm>
          <a:prstGeom prst="line">
            <a:avLst/>
          </a:prstGeom>
          <a:noFill/>
          <a:ln w="9525">
            <a:solidFill>
              <a:srgbClr val="3366FF"/>
            </a:solidFill>
            <a:round/>
            <a:headEnd/>
            <a:tailEnd/>
          </a:ln>
        </xdr:spPr>
      </xdr:sp>
      <xdr:sp macro="" textlink="">
        <xdr:nvSpPr>
          <xdr:cNvPr id="10258" name="Line 404"/>
          <xdr:cNvSpPr>
            <a:spLocks noChangeShapeType="1"/>
          </xdr:cNvSpPr>
        </xdr:nvSpPr>
        <xdr:spPr bwMode="auto">
          <a:xfrm flipH="1">
            <a:off x="2124075" y="2381250"/>
            <a:ext cx="0" cy="1390650"/>
          </a:xfrm>
          <a:prstGeom prst="line">
            <a:avLst/>
          </a:prstGeom>
          <a:noFill/>
          <a:ln w="9525">
            <a:solidFill>
              <a:srgbClr val="3366FF"/>
            </a:solidFill>
            <a:round/>
            <a:headEnd/>
            <a:tailEnd/>
          </a:ln>
        </xdr:spPr>
      </xdr:sp>
      <xdr:sp macro="" textlink="">
        <xdr:nvSpPr>
          <xdr:cNvPr id="10259" name="Line 405"/>
          <xdr:cNvSpPr>
            <a:spLocks noChangeShapeType="1"/>
          </xdr:cNvSpPr>
        </xdr:nvSpPr>
        <xdr:spPr bwMode="auto">
          <a:xfrm flipH="1">
            <a:off x="2057400" y="2381250"/>
            <a:ext cx="0" cy="1390650"/>
          </a:xfrm>
          <a:prstGeom prst="line">
            <a:avLst/>
          </a:prstGeom>
          <a:noFill/>
          <a:ln w="9525">
            <a:solidFill>
              <a:srgbClr val="3366FF"/>
            </a:solidFill>
            <a:round/>
            <a:headEnd/>
            <a:tailEnd/>
          </a:ln>
        </xdr:spPr>
      </xdr:sp>
      <xdr:sp macro="" textlink="">
        <xdr:nvSpPr>
          <xdr:cNvPr id="10260" name="Line 406"/>
          <xdr:cNvSpPr>
            <a:spLocks noChangeShapeType="1"/>
          </xdr:cNvSpPr>
        </xdr:nvSpPr>
        <xdr:spPr bwMode="auto">
          <a:xfrm flipH="1">
            <a:off x="2000250" y="2381250"/>
            <a:ext cx="0" cy="1390650"/>
          </a:xfrm>
          <a:prstGeom prst="line">
            <a:avLst/>
          </a:prstGeom>
          <a:noFill/>
          <a:ln w="9525">
            <a:solidFill>
              <a:srgbClr val="3366FF"/>
            </a:solidFill>
            <a:round/>
            <a:headEnd/>
            <a:tailEnd/>
          </a:ln>
        </xdr:spPr>
      </xdr:sp>
      <xdr:sp macro="" textlink="">
        <xdr:nvSpPr>
          <xdr:cNvPr id="10261" name="Line 407"/>
          <xdr:cNvSpPr>
            <a:spLocks noChangeShapeType="1"/>
          </xdr:cNvSpPr>
        </xdr:nvSpPr>
        <xdr:spPr bwMode="auto">
          <a:xfrm flipH="1">
            <a:off x="1933575" y="2381250"/>
            <a:ext cx="0" cy="1390650"/>
          </a:xfrm>
          <a:prstGeom prst="line">
            <a:avLst/>
          </a:prstGeom>
          <a:noFill/>
          <a:ln w="9525">
            <a:solidFill>
              <a:srgbClr val="3366FF"/>
            </a:solidFill>
            <a:round/>
            <a:headEnd/>
            <a:tailEnd/>
          </a:ln>
        </xdr:spPr>
      </xdr:sp>
      <xdr:sp macro="" textlink="">
        <xdr:nvSpPr>
          <xdr:cNvPr id="10262" name="Line 408"/>
          <xdr:cNvSpPr>
            <a:spLocks noChangeShapeType="1"/>
          </xdr:cNvSpPr>
        </xdr:nvSpPr>
        <xdr:spPr bwMode="auto">
          <a:xfrm flipH="1">
            <a:off x="1876425" y="2381250"/>
            <a:ext cx="0" cy="1390650"/>
          </a:xfrm>
          <a:prstGeom prst="line">
            <a:avLst/>
          </a:prstGeom>
          <a:noFill/>
          <a:ln w="9525">
            <a:solidFill>
              <a:srgbClr val="3366FF"/>
            </a:solidFill>
            <a:round/>
            <a:headEnd/>
            <a:tailEnd/>
          </a:ln>
        </xdr:spPr>
      </xdr:sp>
      <xdr:sp macro="" textlink="">
        <xdr:nvSpPr>
          <xdr:cNvPr id="10263" name="Line 409"/>
          <xdr:cNvSpPr>
            <a:spLocks noChangeShapeType="1"/>
          </xdr:cNvSpPr>
        </xdr:nvSpPr>
        <xdr:spPr bwMode="auto">
          <a:xfrm flipH="1">
            <a:off x="1809750" y="2381250"/>
            <a:ext cx="0" cy="1390650"/>
          </a:xfrm>
          <a:prstGeom prst="line">
            <a:avLst/>
          </a:prstGeom>
          <a:noFill/>
          <a:ln w="9525">
            <a:solidFill>
              <a:srgbClr val="3366FF"/>
            </a:solidFill>
            <a:round/>
            <a:headEnd/>
            <a:tailEnd/>
          </a:ln>
        </xdr:spPr>
      </xdr:sp>
      <xdr:sp macro="" textlink="">
        <xdr:nvSpPr>
          <xdr:cNvPr id="10264" name="Line 410"/>
          <xdr:cNvSpPr>
            <a:spLocks noChangeShapeType="1"/>
          </xdr:cNvSpPr>
        </xdr:nvSpPr>
        <xdr:spPr bwMode="auto">
          <a:xfrm flipH="1">
            <a:off x="1752600" y="2381250"/>
            <a:ext cx="0" cy="1390650"/>
          </a:xfrm>
          <a:prstGeom prst="line">
            <a:avLst/>
          </a:prstGeom>
          <a:noFill/>
          <a:ln w="9525">
            <a:solidFill>
              <a:srgbClr val="3366FF"/>
            </a:solidFill>
            <a:round/>
            <a:headEnd/>
            <a:tailEnd/>
          </a:ln>
        </xdr:spPr>
      </xdr:sp>
      <xdr:sp macro="" textlink="">
        <xdr:nvSpPr>
          <xdr:cNvPr id="119195" name="AutoShape 411"/>
          <xdr:cNvSpPr>
            <a:spLocks/>
          </xdr:cNvSpPr>
        </xdr:nvSpPr>
        <xdr:spPr bwMode="auto">
          <a:xfrm>
            <a:off x="2514600" y="1619250"/>
            <a:ext cx="1733550" cy="847725"/>
          </a:xfrm>
          <a:prstGeom prst="callout2">
            <a:avLst>
              <a:gd name="adj1" fmla="val 13481"/>
              <a:gd name="adj2" fmla="val -4394"/>
              <a:gd name="adj3" fmla="val 13481"/>
              <a:gd name="adj4" fmla="val -22528"/>
              <a:gd name="adj5" fmla="val 56181"/>
              <a:gd name="adj6" fmla="val -49449"/>
            </a:avLst>
          </a:prstGeom>
          <a:solidFill>
            <a:srgbClr val="FFFFFF"/>
          </a:solidFill>
          <a:ln w="9525">
            <a:solidFill>
              <a:srgbClr val="000000"/>
            </a:solidFill>
            <a:miter lim="800000"/>
            <a:headEnd/>
            <a:tailEnd type="triangle" w="lg" len="lg"/>
          </a:ln>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Ultrasonic Welds</a:t>
            </a:r>
          </a:p>
          <a:p>
            <a:pPr algn="l" rtl="0">
              <a:defRPr sz="1000"/>
            </a:pPr>
            <a:r>
              <a:rPr lang="en-US" sz="1600" b="1" i="0" u="none" strike="noStrike" baseline="0">
                <a:solidFill>
                  <a:srgbClr val="000000"/>
                </a:solidFill>
                <a:latin typeface="Arial"/>
                <a:cs typeface="Arial"/>
              </a:rPr>
              <a:t>of Terminal to Collector Foils</a:t>
            </a:r>
          </a:p>
        </xdr:txBody>
      </xdr:sp>
      <xdr:sp macro="" textlink="">
        <xdr:nvSpPr>
          <xdr:cNvPr id="10266" name="Freeform 412"/>
          <xdr:cNvSpPr>
            <a:spLocks/>
          </xdr:cNvSpPr>
        </xdr:nvSpPr>
        <xdr:spPr bwMode="auto">
          <a:xfrm>
            <a:off x="1209675" y="1114425"/>
            <a:ext cx="1181100" cy="2543175"/>
          </a:xfrm>
          <a:custGeom>
            <a:avLst/>
            <a:gdLst>
              <a:gd name="T0" fmla="*/ 2147483647 w 124"/>
              <a:gd name="T1" fmla="*/ 2147483647 h 267"/>
              <a:gd name="T2" fmla="*/ 2147483647 w 124"/>
              <a:gd name="T3" fmla="*/ 2147483647 h 267"/>
              <a:gd name="T4" fmla="*/ 2147483647 w 124"/>
              <a:gd name="T5" fmla="*/ 2147483647 h 267"/>
              <a:gd name="T6" fmla="*/ 2147483647 w 124"/>
              <a:gd name="T7" fmla="*/ 2147483647 h 267"/>
              <a:gd name="T8" fmla="*/ 2147483647 w 124"/>
              <a:gd name="T9" fmla="*/ 2147483647 h 267"/>
              <a:gd name="T10" fmla="*/ 2147483647 w 124"/>
              <a:gd name="T11" fmla="*/ 2147483647 h 267"/>
              <a:gd name="T12" fmla="*/ 2147483647 w 124"/>
              <a:gd name="T13" fmla="*/ 2147483647 h 267"/>
              <a:gd name="T14" fmla="*/ 2147483647 w 124"/>
              <a:gd name="T15" fmla="*/ 2147483647 h 267"/>
              <a:gd name="T16" fmla="*/ 2147483647 w 124"/>
              <a:gd name="T17" fmla="*/ 2147483647 h 267"/>
              <a:gd name="T18" fmla="*/ 2147483647 w 124"/>
              <a:gd name="T19" fmla="*/ 2147483647 h 267"/>
              <a:gd name="T20" fmla="*/ 2147483647 w 124"/>
              <a:gd name="T21" fmla="*/ 2147483647 h 267"/>
              <a:gd name="T22" fmla="*/ 2147483647 w 124"/>
              <a:gd name="T23" fmla="*/ 2147483647 h 267"/>
              <a:gd name="T24" fmla="*/ 2147483647 w 124"/>
              <a:gd name="T25" fmla="*/ 2147483647 h 267"/>
              <a:gd name="T26" fmla="*/ 2147483647 w 124"/>
              <a:gd name="T27" fmla="*/ 2147483647 h 267"/>
              <a:gd name="T28" fmla="*/ 2147483647 w 124"/>
              <a:gd name="T29" fmla="*/ 2147483647 h 267"/>
              <a:gd name="T30" fmla="*/ 2147483647 w 124"/>
              <a:gd name="T31" fmla="*/ 2147483647 h 267"/>
              <a:gd name="T32" fmla="*/ 2147483647 w 124"/>
              <a:gd name="T33" fmla="*/ 2147483647 h 267"/>
              <a:gd name="T34" fmla="*/ 2147483647 w 124"/>
              <a:gd name="T35" fmla="*/ 2147483647 h 267"/>
              <a:gd name="T36" fmla="*/ 0 w 124"/>
              <a:gd name="T37" fmla="*/ 0 h 267"/>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w 124"/>
              <a:gd name="T58" fmla="*/ 0 h 267"/>
              <a:gd name="T59" fmla="*/ 124 w 124"/>
              <a:gd name="T60" fmla="*/ 267 h 267"/>
            </a:gdLst>
            <a:ahLst/>
            <a:cxnLst>
              <a:cxn ang="T38">
                <a:pos x="T0" y="T1"/>
              </a:cxn>
              <a:cxn ang="T39">
                <a:pos x="T2" y="T3"/>
              </a:cxn>
              <a:cxn ang="T40">
                <a:pos x="T4" y="T5"/>
              </a:cxn>
              <a:cxn ang="T41">
                <a:pos x="T6" y="T7"/>
              </a:cxn>
              <a:cxn ang="T42">
                <a:pos x="T8" y="T9"/>
              </a:cxn>
              <a:cxn ang="T43">
                <a:pos x="T10" y="T11"/>
              </a:cxn>
              <a:cxn ang="T44">
                <a:pos x="T12" y="T13"/>
              </a:cxn>
              <a:cxn ang="T45">
                <a:pos x="T14" y="T15"/>
              </a:cxn>
              <a:cxn ang="T46">
                <a:pos x="T16" y="T17"/>
              </a:cxn>
              <a:cxn ang="T47">
                <a:pos x="T18" y="T19"/>
              </a:cxn>
              <a:cxn ang="T48">
                <a:pos x="T20" y="T21"/>
              </a:cxn>
              <a:cxn ang="T49">
                <a:pos x="T22" y="T23"/>
              </a:cxn>
              <a:cxn ang="T50">
                <a:pos x="T24" y="T25"/>
              </a:cxn>
              <a:cxn ang="T51">
                <a:pos x="T26" y="T27"/>
              </a:cxn>
              <a:cxn ang="T52">
                <a:pos x="T28" y="T29"/>
              </a:cxn>
              <a:cxn ang="T53">
                <a:pos x="T30" y="T31"/>
              </a:cxn>
              <a:cxn ang="T54">
                <a:pos x="T32" y="T33"/>
              </a:cxn>
              <a:cxn ang="T55">
                <a:pos x="T34" y="T35"/>
              </a:cxn>
              <a:cxn ang="T56">
                <a:pos x="T36" y="T37"/>
              </a:cxn>
            </a:cxnLst>
            <a:rect l="T57" t="T58" r="T59" b="T60"/>
            <a:pathLst>
              <a:path w="124" h="267">
                <a:moveTo>
                  <a:pt x="123" y="267"/>
                </a:moveTo>
                <a:cubicBezTo>
                  <a:pt x="123" y="251"/>
                  <a:pt x="123" y="190"/>
                  <a:pt x="123" y="172"/>
                </a:cubicBezTo>
                <a:cubicBezTo>
                  <a:pt x="123" y="154"/>
                  <a:pt x="123" y="162"/>
                  <a:pt x="123" y="158"/>
                </a:cubicBezTo>
                <a:cubicBezTo>
                  <a:pt x="123" y="154"/>
                  <a:pt x="123" y="152"/>
                  <a:pt x="123" y="150"/>
                </a:cubicBezTo>
                <a:cubicBezTo>
                  <a:pt x="123" y="148"/>
                  <a:pt x="124" y="146"/>
                  <a:pt x="124" y="144"/>
                </a:cubicBezTo>
                <a:cubicBezTo>
                  <a:pt x="124" y="142"/>
                  <a:pt x="124" y="138"/>
                  <a:pt x="124" y="135"/>
                </a:cubicBezTo>
                <a:cubicBezTo>
                  <a:pt x="124" y="132"/>
                  <a:pt x="124" y="129"/>
                  <a:pt x="123" y="126"/>
                </a:cubicBezTo>
                <a:cubicBezTo>
                  <a:pt x="122" y="123"/>
                  <a:pt x="124" y="119"/>
                  <a:pt x="120" y="116"/>
                </a:cubicBezTo>
                <a:cubicBezTo>
                  <a:pt x="116" y="113"/>
                  <a:pt x="105" y="111"/>
                  <a:pt x="99" y="109"/>
                </a:cubicBezTo>
                <a:cubicBezTo>
                  <a:pt x="93" y="107"/>
                  <a:pt x="89" y="106"/>
                  <a:pt x="83" y="104"/>
                </a:cubicBezTo>
                <a:cubicBezTo>
                  <a:pt x="77" y="102"/>
                  <a:pt x="71" y="101"/>
                  <a:pt x="64" y="99"/>
                </a:cubicBezTo>
                <a:cubicBezTo>
                  <a:pt x="57" y="97"/>
                  <a:pt x="49" y="95"/>
                  <a:pt x="43" y="93"/>
                </a:cubicBezTo>
                <a:cubicBezTo>
                  <a:pt x="37" y="91"/>
                  <a:pt x="31" y="90"/>
                  <a:pt x="26" y="89"/>
                </a:cubicBezTo>
                <a:cubicBezTo>
                  <a:pt x="21" y="88"/>
                  <a:pt x="17" y="89"/>
                  <a:pt x="13" y="88"/>
                </a:cubicBezTo>
                <a:cubicBezTo>
                  <a:pt x="9" y="87"/>
                  <a:pt x="6" y="86"/>
                  <a:pt x="4" y="84"/>
                </a:cubicBezTo>
                <a:cubicBezTo>
                  <a:pt x="2" y="82"/>
                  <a:pt x="3" y="78"/>
                  <a:pt x="2" y="76"/>
                </a:cubicBezTo>
                <a:cubicBezTo>
                  <a:pt x="1" y="74"/>
                  <a:pt x="1" y="72"/>
                  <a:pt x="1" y="70"/>
                </a:cubicBezTo>
                <a:cubicBezTo>
                  <a:pt x="1" y="68"/>
                  <a:pt x="1" y="75"/>
                  <a:pt x="1" y="63"/>
                </a:cubicBezTo>
                <a:cubicBezTo>
                  <a:pt x="1" y="51"/>
                  <a:pt x="0" y="13"/>
                  <a:pt x="0" y="0"/>
                </a:cubicBezTo>
              </a:path>
            </a:pathLst>
          </a:custGeom>
          <a:noFill/>
          <a:ln w="28575" cmpd="sng">
            <a:solidFill>
              <a:srgbClr val="000000"/>
            </a:solidFill>
            <a:round/>
            <a:headEnd/>
            <a:tailEnd/>
          </a:ln>
        </xdr:spPr>
      </xdr:sp>
      <xdr:sp macro="" textlink="">
        <xdr:nvSpPr>
          <xdr:cNvPr id="10267" name="Freeform 413"/>
          <xdr:cNvSpPr>
            <a:spLocks/>
          </xdr:cNvSpPr>
        </xdr:nvSpPr>
        <xdr:spPr bwMode="auto">
          <a:xfrm>
            <a:off x="1066800" y="1114425"/>
            <a:ext cx="38100" cy="2552700"/>
          </a:xfrm>
          <a:custGeom>
            <a:avLst/>
            <a:gdLst>
              <a:gd name="T0" fmla="*/ 0 w 4"/>
              <a:gd name="T1" fmla="*/ 2147483647 h 268"/>
              <a:gd name="T2" fmla="*/ 0 w 4"/>
              <a:gd name="T3" fmla="*/ 2147483647 h 268"/>
              <a:gd name="T4" fmla="*/ 2147483647 w 4"/>
              <a:gd name="T5" fmla="*/ 2147483647 h 268"/>
              <a:gd name="T6" fmla="*/ 2147483647 w 4"/>
              <a:gd name="T7" fmla="*/ 0 h 268"/>
              <a:gd name="T8" fmla="*/ 0 60000 65536"/>
              <a:gd name="T9" fmla="*/ 0 60000 65536"/>
              <a:gd name="T10" fmla="*/ 0 60000 65536"/>
              <a:gd name="T11" fmla="*/ 0 60000 65536"/>
              <a:gd name="T12" fmla="*/ 0 w 4"/>
              <a:gd name="T13" fmla="*/ 0 h 268"/>
              <a:gd name="T14" fmla="*/ 4 w 4"/>
              <a:gd name="T15" fmla="*/ 268 h 268"/>
            </a:gdLst>
            <a:ahLst/>
            <a:cxnLst>
              <a:cxn ang="T8">
                <a:pos x="T0" y="T1"/>
              </a:cxn>
              <a:cxn ang="T9">
                <a:pos x="T2" y="T3"/>
              </a:cxn>
              <a:cxn ang="T10">
                <a:pos x="T4" y="T5"/>
              </a:cxn>
              <a:cxn ang="T11">
                <a:pos x="T6" y="T7"/>
              </a:cxn>
            </a:cxnLst>
            <a:rect l="T12" t="T13" r="T14" b="T15"/>
            <a:pathLst>
              <a:path w="4" h="268">
                <a:moveTo>
                  <a:pt x="0" y="268"/>
                </a:moveTo>
                <a:lnTo>
                  <a:pt x="0" y="77"/>
                </a:lnTo>
                <a:lnTo>
                  <a:pt x="4" y="70"/>
                </a:lnTo>
                <a:lnTo>
                  <a:pt x="4" y="0"/>
                </a:lnTo>
              </a:path>
            </a:pathLst>
          </a:custGeom>
          <a:noFill/>
          <a:ln w="28575" cmpd="sng">
            <a:solidFill>
              <a:srgbClr val="000000"/>
            </a:solidFill>
            <a:round/>
            <a:headEnd/>
            <a:tailEnd/>
          </a:ln>
        </xdr:spPr>
      </xdr:sp>
      <xdr:sp macro="" textlink="">
        <xdr:nvSpPr>
          <xdr:cNvPr id="10268" name="Freeform 414"/>
          <xdr:cNvSpPr>
            <a:spLocks/>
          </xdr:cNvSpPr>
        </xdr:nvSpPr>
        <xdr:spPr bwMode="auto">
          <a:xfrm>
            <a:off x="1362075" y="2047875"/>
            <a:ext cx="952500" cy="342900"/>
          </a:xfrm>
          <a:custGeom>
            <a:avLst/>
            <a:gdLst>
              <a:gd name="T0" fmla="*/ 2147483647 w 100"/>
              <a:gd name="T1" fmla="*/ 2147483647 h 36"/>
              <a:gd name="T2" fmla="*/ 2147483647 w 100"/>
              <a:gd name="T3" fmla="*/ 2147483647 h 36"/>
              <a:gd name="T4" fmla="*/ 2147483647 w 100"/>
              <a:gd name="T5" fmla="*/ 2147483647 h 36"/>
              <a:gd name="T6" fmla="*/ 2147483647 w 100"/>
              <a:gd name="T7" fmla="*/ 2147483647 h 36"/>
              <a:gd name="T8" fmla="*/ 2147483647 w 100"/>
              <a:gd name="T9" fmla="*/ 2147483647 h 36"/>
              <a:gd name="T10" fmla="*/ 2147483647 w 100"/>
              <a:gd name="T11" fmla="*/ 2147483647 h 36"/>
              <a:gd name="T12" fmla="*/ 0 w 100"/>
              <a:gd name="T13" fmla="*/ 0 h 36"/>
              <a:gd name="T14" fmla="*/ 0 60000 65536"/>
              <a:gd name="T15" fmla="*/ 0 60000 65536"/>
              <a:gd name="T16" fmla="*/ 0 60000 65536"/>
              <a:gd name="T17" fmla="*/ 0 60000 65536"/>
              <a:gd name="T18" fmla="*/ 0 60000 65536"/>
              <a:gd name="T19" fmla="*/ 0 60000 65536"/>
              <a:gd name="T20" fmla="*/ 0 60000 65536"/>
              <a:gd name="T21" fmla="*/ 0 w 100"/>
              <a:gd name="T22" fmla="*/ 0 h 36"/>
              <a:gd name="T23" fmla="*/ 100 w 100"/>
              <a:gd name="T24" fmla="*/ 36 h 36"/>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100" h="36">
                <a:moveTo>
                  <a:pt x="100" y="36"/>
                </a:moveTo>
                <a:lnTo>
                  <a:pt x="39" y="36"/>
                </a:lnTo>
                <a:lnTo>
                  <a:pt x="39" y="31"/>
                </a:lnTo>
                <a:lnTo>
                  <a:pt x="97" y="32"/>
                </a:lnTo>
                <a:lnTo>
                  <a:pt x="99" y="20"/>
                </a:lnTo>
                <a:lnTo>
                  <a:pt x="21" y="3"/>
                </a:lnTo>
                <a:lnTo>
                  <a:pt x="0" y="0"/>
                </a:lnTo>
              </a:path>
            </a:pathLst>
          </a:custGeom>
          <a:noFill/>
          <a:ln w="38100" cmpd="sng">
            <a:solidFill>
              <a:srgbClr val="3366FF"/>
            </a:solidFill>
            <a:round/>
            <a:headEnd/>
            <a:tailEnd/>
          </a:ln>
        </xdr:spPr>
      </xdr:sp>
      <xdr:sp macro="" textlink="">
        <xdr:nvSpPr>
          <xdr:cNvPr id="10269" name="Freeform 415"/>
          <xdr:cNvSpPr>
            <a:spLocks/>
          </xdr:cNvSpPr>
        </xdr:nvSpPr>
        <xdr:spPr bwMode="auto">
          <a:xfrm>
            <a:off x="1257300" y="2162175"/>
            <a:ext cx="857250" cy="200025"/>
          </a:xfrm>
          <a:custGeom>
            <a:avLst/>
            <a:gdLst>
              <a:gd name="T0" fmla="*/ 0 w 90"/>
              <a:gd name="T1" fmla="*/ 2147483647 h 21"/>
              <a:gd name="T2" fmla="*/ 2147483647 w 90"/>
              <a:gd name="T3" fmla="*/ 2147483647 h 21"/>
              <a:gd name="T4" fmla="*/ 2147483647 w 90"/>
              <a:gd name="T5" fmla="*/ 2147483647 h 21"/>
              <a:gd name="T6" fmla="*/ 2147483647 w 90"/>
              <a:gd name="T7" fmla="*/ 2147483647 h 21"/>
              <a:gd name="T8" fmla="*/ 2147483647 w 90"/>
              <a:gd name="T9" fmla="*/ 2147483647 h 21"/>
              <a:gd name="T10" fmla="*/ 2147483647 w 90"/>
              <a:gd name="T11" fmla="*/ 2147483647 h 21"/>
              <a:gd name="T12" fmla="*/ 2147483647 w 90"/>
              <a:gd name="T13" fmla="*/ 0 h 21"/>
              <a:gd name="T14" fmla="*/ 0 60000 65536"/>
              <a:gd name="T15" fmla="*/ 0 60000 65536"/>
              <a:gd name="T16" fmla="*/ 0 60000 65536"/>
              <a:gd name="T17" fmla="*/ 0 60000 65536"/>
              <a:gd name="T18" fmla="*/ 0 60000 65536"/>
              <a:gd name="T19" fmla="*/ 0 60000 65536"/>
              <a:gd name="T20" fmla="*/ 0 60000 65536"/>
              <a:gd name="T21" fmla="*/ 0 w 90"/>
              <a:gd name="T22" fmla="*/ 0 h 21"/>
              <a:gd name="T23" fmla="*/ 90 w 90"/>
              <a:gd name="T24" fmla="*/ 21 h 21"/>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90" h="21">
                <a:moveTo>
                  <a:pt x="0" y="21"/>
                </a:moveTo>
                <a:lnTo>
                  <a:pt x="34" y="21"/>
                </a:lnTo>
                <a:lnTo>
                  <a:pt x="47" y="14"/>
                </a:lnTo>
                <a:lnTo>
                  <a:pt x="59" y="13"/>
                </a:lnTo>
                <a:lnTo>
                  <a:pt x="90" y="16"/>
                </a:lnTo>
                <a:lnTo>
                  <a:pt x="31" y="4"/>
                </a:lnTo>
                <a:lnTo>
                  <a:pt x="11" y="0"/>
                </a:lnTo>
              </a:path>
            </a:pathLst>
          </a:custGeom>
          <a:noFill/>
          <a:ln w="38100" cmpd="sng">
            <a:solidFill>
              <a:srgbClr val="3366FF"/>
            </a:solidFill>
            <a:round/>
            <a:headEnd/>
            <a:tailEnd/>
          </a:ln>
        </xdr:spPr>
      </xdr:sp>
      <xdr:sp macro="" textlink="">
        <xdr:nvSpPr>
          <xdr:cNvPr id="10270" name="Line 416"/>
          <xdr:cNvSpPr>
            <a:spLocks noChangeShapeType="1"/>
          </xdr:cNvSpPr>
        </xdr:nvSpPr>
        <xdr:spPr bwMode="auto">
          <a:xfrm flipV="1">
            <a:off x="1200150" y="2352675"/>
            <a:ext cx="114300" cy="28575"/>
          </a:xfrm>
          <a:prstGeom prst="line">
            <a:avLst/>
          </a:prstGeom>
          <a:noFill/>
          <a:ln w="9525">
            <a:solidFill>
              <a:srgbClr val="3366FF"/>
            </a:solidFill>
            <a:round/>
            <a:headEnd/>
            <a:tailEnd/>
          </a:ln>
        </xdr:spPr>
      </xdr:sp>
      <xdr:sp macro="" textlink="">
        <xdr:nvSpPr>
          <xdr:cNvPr id="10271" name="Line 417"/>
          <xdr:cNvSpPr>
            <a:spLocks noChangeShapeType="1"/>
          </xdr:cNvSpPr>
        </xdr:nvSpPr>
        <xdr:spPr bwMode="auto">
          <a:xfrm flipV="1">
            <a:off x="1133475" y="2352675"/>
            <a:ext cx="133350" cy="28575"/>
          </a:xfrm>
          <a:prstGeom prst="line">
            <a:avLst/>
          </a:prstGeom>
          <a:noFill/>
          <a:ln w="9525">
            <a:solidFill>
              <a:srgbClr val="3366FF"/>
            </a:solidFill>
            <a:round/>
            <a:headEnd/>
            <a:tailEnd/>
          </a:ln>
        </xdr:spPr>
      </xdr:sp>
      <xdr:sp macro="" textlink="">
        <xdr:nvSpPr>
          <xdr:cNvPr id="10272" name="Freeform 418"/>
          <xdr:cNvSpPr>
            <a:spLocks/>
          </xdr:cNvSpPr>
        </xdr:nvSpPr>
        <xdr:spPr bwMode="auto">
          <a:xfrm>
            <a:off x="180975" y="923925"/>
            <a:ext cx="2085975" cy="1400175"/>
          </a:xfrm>
          <a:custGeom>
            <a:avLst/>
            <a:gdLst>
              <a:gd name="T0" fmla="*/ 2147483647 w 219"/>
              <a:gd name="T1" fmla="*/ 2147483647 h 147"/>
              <a:gd name="T2" fmla="*/ 2147483647 w 219"/>
              <a:gd name="T3" fmla="*/ 2147483647 h 147"/>
              <a:gd name="T4" fmla="*/ 2147483647 w 219"/>
              <a:gd name="T5" fmla="*/ 2147483647 h 147"/>
              <a:gd name="T6" fmla="*/ 2147483647 w 219"/>
              <a:gd name="T7" fmla="*/ 0 h 147"/>
              <a:gd name="T8" fmla="*/ 2147483647 w 219"/>
              <a:gd name="T9" fmla="*/ 0 h 147"/>
              <a:gd name="T10" fmla="*/ 0 w 219"/>
              <a:gd name="T11" fmla="*/ 0 h 147"/>
              <a:gd name="T12" fmla="*/ 0 w 219"/>
              <a:gd name="T13" fmla="*/ 2147483647 h 147"/>
              <a:gd name="T14" fmla="*/ 2147483647 w 219"/>
              <a:gd name="T15" fmla="*/ 2147483647 h 147"/>
              <a:gd name="T16" fmla="*/ 2147483647 w 219"/>
              <a:gd name="T17" fmla="*/ 2147483647 h 147"/>
              <a:gd name="T18" fmla="*/ 2147483647 w 219"/>
              <a:gd name="T19" fmla="*/ 2147483647 h 147"/>
              <a:gd name="T20" fmla="*/ 2147483647 w 219"/>
              <a:gd name="T21" fmla="*/ 2147483647 h 147"/>
              <a:gd name="T22" fmla="*/ 2147483647 w 219"/>
              <a:gd name="T23" fmla="*/ 2147483647 h 147"/>
              <a:gd name="T24" fmla="*/ 2147483647 w 219"/>
              <a:gd name="T25" fmla="*/ 2147483647 h 147"/>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19"/>
              <a:gd name="T40" fmla="*/ 0 h 147"/>
              <a:gd name="T41" fmla="*/ 219 w 219"/>
              <a:gd name="T42" fmla="*/ 147 h 147"/>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19" h="147">
                <a:moveTo>
                  <a:pt x="219" y="139"/>
                </a:moveTo>
                <a:lnTo>
                  <a:pt x="169" y="128"/>
                </a:lnTo>
                <a:lnTo>
                  <a:pt x="108" y="117"/>
                </a:lnTo>
                <a:lnTo>
                  <a:pt x="106" y="0"/>
                </a:lnTo>
                <a:lnTo>
                  <a:pt x="53" y="0"/>
                </a:lnTo>
                <a:lnTo>
                  <a:pt x="0" y="0"/>
                </a:lnTo>
                <a:lnTo>
                  <a:pt x="0" y="8"/>
                </a:lnTo>
                <a:lnTo>
                  <a:pt x="47" y="8"/>
                </a:lnTo>
                <a:lnTo>
                  <a:pt x="99" y="8"/>
                </a:lnTo>
                <a:lnTo>
                  <a:pt x="99" y="124"/>
                </a:lnTo>
                <a:lnTo>
                  <a:pt x="159" y="135"/>
                </a:lnTo>
                <a:lnTo>
                  <a:pt x="218" y="147"/>
                </a:lnTo>
                <a:lnTo>
                  <a:pt x="219" y="139"/>
                </a:lnTo>
                <a:close/>
              </a:path>
            </a:pathLst>
          </a:custGeom>
          <a:solidFill>
            <a:srgbClr val="00CCFF"/>
          </a:solidFill>
          <a:ln w="9525">
            <a:solidFill>
              <a:srgbClr val="000000"/>
            </a:solidFill>
            <a:round/>
            <a:headEnd/>
            <a:tailEnd/>
          </a:ln>
        </xdr:spPr>
      </xdr:sp>
      <xdr:sp macro="" textlink="">
        <xdr:nvSpPr>
          <xdr:cNvPr id="10273" name="Line 419"/>
          <xdr:cNvSpPr>
            <a:spLocks noChangeShapeType="1"/>
          </xdr:cNvSpPr>
        </xdr:nvSpPr>
        <xdr:spPr bwMode="auto">
          <a:xfrm flipV="1">
            <a:off x="1638300" y="2314575"/>
            <a:ext cx="38100" cy="66675"/>
          </a:xfrm>
          <a:prstGeom prst="line">
            <a:avLst/>
          </a:prstGeom>
          <a:noFill/>
          <a:ln w="9525">
            <a:solidFill>
              <a:srgbClr val="3366FF"/>
            </a:solidFill>
            <a:round/>
            <a:headEnd/>
            <a:tailEnd/>
          </a:ln>
        </xdr:spPr>
      </xdr:sp>
      <xdr:sp macro="" textlink="">
        <xdr:nvSpPr>
          <xdr:cNvPr id="10274" name="Line 420"/>
          <xdr:cNvSpPr>
            <a:spLocks noChangeShapeType="1"/>
          </xdr:cNvSpPr>
        </xdr:nvSpPr>
        <xdr:spPr bwMode="auto">
          <a:xfrm flipV="1">
            <a:off x="1695450" y="2305050"/>
            <a:ext cx="38100" cy="66675"/>
          </a:xfrm>
          <a:prstGeom prst="line">
            <a:avLst/>
          </a:prstGeom>
          <a:noFill/>
          <a:ln w="9525">
            <a:solidFill>
              <a:srgbClr val="3366FF"/>
            </a:solidFill>
            <a:round/>
            <a:headEnd/>
            <a:tailEnd/>
          </a:ln>
        </xdr:spPr>
      </xdr:sp>
      <xdr:grpSp>
        <xdr:nvGrpSpPr>
          <xdr:cNvPr id="10275" name="Group 421"/>
          <xdr:cNvGrpSpPr>
            <a:grpSpLocks/>
          </xdr:cNvGrpSpPr>
        </xdr:nvGrpSpPr>
        <xdr:grpSpPr bwMode="auto">
          <a:xfrm>
            <a:off x="4162425" y="161925"/>
            <a:ext cx="2695575" cy="6019800"/>
            <a:chOff x="15" y="22"/>
            <a:chExt cx="283" cy="632"/>
          </a:xfrm>
        </xdr:grpSpPr>
        <xdr:sp macro="" textlink="">
          <xdr:nvSpPr>
            <xdr:cNvPr id="10420" name="Rectangle 422"/>
            <xdr:cNvSpPr>
              <a:spLocks noChangeArrowheads="1"/>
            </xdr:cNvSpPr>
          </xdr:nvSpPr>
          <xdr:spPr bwMode="auto">
            <a:xfrm>
              <a:off x="258" y="41"/>
              <a:ext cx="39" cy="473"/>
            </a:xfrm>
            <a:prstGeom prst="rect">
              <a:avLst/>
            </a:prstGeom>
            <a:solidFill>
              <a:srgbClr val="69FFFF"/>
            </a:solidFill>
            <a:ln w="19050">
              <a:solidFill>
                <a:srgbClr val="000000"/>
              </a:solidFill>
              <a:miter lim="800000"/>
              <a:headEnd/>
              <a:tailEnd/>
            </a:ln>
          </xdr:spPr>
        </xdr:sp>
        <xdr:sp macro="" textlink="">
          <xdr:nvSpPr>
            <xdr:cNvPr id="10421" name="Line 423"/>
            <xdr:cNvSpPr>
              <a:spLocks noChangeShapeType="1"/>
            </xdr:cNvSpPr>
          </xdr:nvSpPr>
          <xdr:spPr bwMode="auto">
            <a:xfrm>
              <a:off x="97" y="238"/>
              <a:ext cx="0" cy="316"/>
            </a:xfrm>
            <a:prstGeom prst="line">
              <a:avLst/>
            </a:prstGeom>
            <a:noFill/>
            <a:ln w="9525">
              <a:solidFill>
                <a:srgbClr val="000000"/>
              </a:solidFill>
              <a:round/>
              <a:headEnd/>
              <a:tailEnd/>
            </a:ln>
          </xdr:spPr>
        </xdr:sp>
        <xdr:sp macro="" textlink="">
          <xdr:nvSpPr>
            <xdr:cNvPr id="10422" name="Line 424"/>
            <xdr:cNvSpPr>
              <a:spLocks noChangeShapeType="1"/>
            </xdr:cNvSpPr>
          </xdr:nvSpPr>
          <xdr:spPr bwMode="auto">
            <a:xfrm>
              <a:off x="50" y="185"/>
              <a:ext cx="0" cy="446"/>
            </a:xfrm>
            <a:prstGeom prst="line">
              <a:avLst/>
            </a:prstGeom>
            <a:noFill/>
            <a:ln w="9525">
              <a:solidFill>
                <a:srgbClr val="000000"/>
              </a:solidFill>
              <a:round/>
              <a:headEnd/>
              <a:tailEnd/>
            </a:ln>
          </xdr:spPr>
        </xdr:sp>
        <xdr:sp macro="" textlink="">
          <xdr:nvSpPr>
            <xdr:cNvPr id="10423" name="Line 425"/>
            <xdr:cNvSpPr>
              <a:spLocks noChangeShapeType="1"/>
            </xdr:cNvSpPr>
          </xdr:nvSpPr>
          <xdr:spPr bwMode="auto">
            <a:xfrm flipV="1">
              <a:off x="98" y="125"/>
              <a:ext cx="198" cy="114"/>
            </a:xfrm>
            <a:prstGeom prst="line">
              <a:avLst/>
            </a:prstGeom>
            <a:noFill/>
            <a:ln w="9525">
              <a:solidFill>
                <a:srgbClr val="000000"/>
              </a:solidFill>
              <a:round/>
              <a:headEnd/>
              <a:tailEnd/>
            </a:ln>
          </xdr:spPr>
        </xdr:sp>
        <xdr:sp macro="" textlink="">
          <xdr:nvSpPr>
            <xdr:cNvPr id="10424" name="Line 426"/>
            <xdr:cNvSpPr>
              <a:spLocks noChangeShapeType="1"/>
            </xdr:cNvSpPr>
          </xdr:nvSpPr>
          <xdr:spPr bwMode="auto">
            <a:xfrm flipV="1">
              <a:off x="97" y="440"/>
              <a:ext cx="198" cy="114"/>
            </a:xfrm>
            <a:prstGeom prst="line">
              <a:avLst/>
            </a:prstGeom>
            <a:noFill/>
            <a:ln w="9525">
              <a:solidFill>
                <a:srgbClr val="000000"/>
              </a:solidFill>
              <a:round/>
              <a:headEnd/>
              <a:tailEnd/>
            </a:ln>
          </xdr:spPr>
        </xdr:sp>
        <xdr:sp macro="" textlink="">
          <xdr:nvSpPr>
            <xdr:cNvPr id="10425" name="Line 427"/>
            <xdr:cNvSpPr>
              <a:spLocks noChangeShapeType="1"/>
            </xdr:cNvSpPr>
          </xdr:nvSpPr>
          <xdr:spPr bwMode="auto">
            <a:xfrm>
              <a:off x="296" y="125"/>
              <a:ext cx="0" cy="316"/>
            </a:xfrm>
            <a:prstGeom prst="line">
              <a:avLst/>
            </a:prstGeom>
            <a:noFill/>
            <a:ln w="9525">
              <a:solidFill>
                <a:srgbClr val="000000"/>
              </a:solidFill>
              <a:round/>
              <a:headEnd/>
              <a:tailEnd/>
            </a:ln>
          </xdr:spPr>
        </xdr:sp>
        <xdr:sp macro="" textlink="">
          <xdr:nvSpPr>
            <xdr:cNvPr id="10426" name="Line 428"/>
            <xdr:cNvSpPr>
              <a:spLocks noChangeShapeType="1"/>
            </xdr:cNvSpPr>
          </xdr:nvSpPr>
          <xdr:spPr bwMode="auto">
            <a:xfrm flipV="1">
              <a:off x="61" y="71"/>
              <a:ext cx="198" cy="114"/>
            </a:xfrm>
            <a:prstGeom prst="line">
              <a:avLst/>
            </a:prstGeom>
            <a:noFill/>
            <a:ln w="9525">
              <a:solidFill>
                <a:srgbClr val="000000"/>
              </a:solidFill>
              <a:round/>
              <a:headEnd/>
              <a:tailEnd/>
            </a:ln>
          </xdr:spPr>
        </xdr:sp>
        <xdr:sp macro="" textlink="">
          <xdr:nvSpPr>
            <xdr:cNvPr id="10427" name="Line 429"/>
            <xdr:cNvSpPr>
              <a:spLocks noChangeShapeType="1"/>
            </xdr:cNvSpPr>
          </xdr:nvSpPr>
          <xdr:spPr bwMode="auto">
            <a:xfrm flipH="1" flipV="1">
              <a:off x="60" y="186"/>
              <a:ext cx="37" cy="52"/>
            </a:xfrm>
            <a:prstGeom prst="line">
              <a:avLst/>
            </a:prstGeom>
            <a:noFill/>
            <a:ln w="9525">
              <a:solidFill>
                <a:srgbClr val="000000"/>
              </a:solidFill>
              <a:round/>
              <a:headEnd/>
              <a:tailEnd/>
            </a:ln>
          </xdr:spPr>
        </xdr:sp>
        <xdr:sp macro="" textlink="">
          <xdr:nvSpPr>
            <xdr:cNvPr id="10428" name="Line 430"/>
            <xdr:cNvSpPr>
              <a:spLocks noChangeShapeType="1"/>
            </xdr:cNvSpPr>
          </xdr:nvSpPr>
          <xdr:spPr bwMode="auto">
            <a:xfrm flipV="1">
              <a:off x="60" y="157"/>
              <a:ext cx="0" cy="28"/>
            </a:xfrm>
            <a:prstGeom prst="line">
              <a:avLst/>
            </a:prstGeom>
            <a:noFill/>
            <a:ln w="9525">
              <a:solidFill>
                <a:srgbClr val="000000"/>
              </a:solidFill>
              <a:round/>
              <a:headEnd/>
              <a:tailEnd/>
            </a:ln>
          </xdr:spPr>
        </xdr:sp>
        <xdr:sp macro="" textlink="">
          <xdr:nvSpPr>
            <xdr:cNvPr id="10429" name="Line 431"/>
            <xdr:cNvSpPr>
              <a:spLocks noChangeShapeType="1"/>
            </xdr:cNvSpPr>
          </xdr:nvSpPr>
          <xdr:spPr bwMode="auto">
            <a:xfrm flipV="1">
              <a:off x="50" y="158"/>
              <a:ext cx="0" cy="28"/>
            </a:xfrm>
            <a:prstGeom prst="line">
              <a:avLst/>
            </a:prstGeom>
            <a:noFill/>
            <a:ln w="9525">
              <a:solidFill>
                <a:srgbClr val="000000"/>
              </a:solidFill>
              <a:round/>
              <a:headEnd/>
              <a:tailEnd/>
            </a:ln>
          </xdr:spPr>
        </xdr:sp>
        <xdr:sp macro="" textlink="">
          <xdr:nvSpPr>
            <xdr:cNvPr id="10430" name="Line 432"/>
            <xdr:cNvSpPr>
              <a:spLocks noChangeShapeType="1"/>
            </xdr:cNvSpPr>
          </xdr:nvSpPr>
          <xdr:spPr bwMode="auto">
            <a:xfrm flipV="1">
              <a:off x="61" y="44"/>
              <a:ext cx="198" cy="114"/>
            </a:xfrm>
            <a:prstGeom prst="line">
              <a:avLst/>
            </a:prstGeom>
            <a:noFill/>
            <a:ln w="9525">
              <a:solidFill>
                <a:srgbClr val="000000"/>
              </a:solidFill>
              <a:round/>
              <a:headEnd/>
              <a:tailEnd/>
            </a:ln>
          </xdr:spPr>
        </xdr:sp>
        <xdr:sp macro="" textlink="">
          <xdr:nvSpPr>
            <xdr:cNvPr id="10431" name="Line 433"/>
            <xdr:cNvSpPr>
              <a:spLocks noChangeShapeType="1"/>
            </xdr:cNvSpPr>
          </xdr:nvSpPr>
          <xdr:spPr bwMode="auto">
            <a:xfrm flipV="1">
              <a:off x="258" y="45"/>
              <a:ext cx="0" cy="26"/>
            </a:xfrm>
            <a:prstGeom prst="line">
              <a:avLst/>
            </a:prstGeom>
            <a:noFill/>
            <a:ln w="9525">
              <a:solidFill>
                <a:srgbClr val="000000"/>
              </a:solidFill>
              <a:round/>
              <a:headEnd/>
              <a:tailEnd/>
            </a:ln>
          </xdr:spPr>
        </xdr:sp>
        <xdr:sp macro="" textlink="">
          <xdr:nvSpPr>
            <xdr:cNvPr id="10432" name="Line 434"/>
            <xdr:cNvSpPr>
              <a:spLocks noChangeShapeType="1"/>
            </xdr:cNvSpPr>
          </xdr:nvSpPr>
          <xdr:spPr bwMode="auto">
            <a:xfrm flipV="1">
              <a:off x="59" y="492"/>
              <a:ext cx="198" cy="114"/>
            </a:xfrm>
            <a:prstGeom prst="line">
              <a:avLst/>
            </a:prstGeom>
            <a:noFill/>
            <a:ln w="9525">
              <a:solidFill>
                <a:srgbClr val="000000"/>
              </a:solidFill>
              <a:round/>
              <a:headEnd/>
              <a:tailEnd/>
            </a:ln>
          </xdr:spPr>
        </xdr:sp>
        <xdr:sp macro="" textlink="">
          <xdr:nvSpPr>
            <xdr:cNvPr id="10433" name="Line 435"/>
            <xdr:cNvSpPr>
              <a:spLocks noChangeShapeType="1"/>
            </xdr:cNvSpPr>
          </xdr:nvSpPr>
          <xdr:spPr bwMode="auto">
            <a:xfrm flipV="1">
              <a:off x="258" y="438"/>
              <a:ext cx="40" cy="54"/>
            </a:xfrm>
            <a:prstGeom prst="line">
              <a:avLst/>
            </a:prstGeom>
            <a:noFill/>
            <a:ln w="9525">
              <a:solidFill>
                <a:srgbClr val="000000"/>
              </a:solidFill>
              <a:round/>
              <a:headEnd/>
              <a:tailEnd/>
            </a:ln>
          </xdr:spPr>
        </xdr:sp>
        <xdr:sp macro="" textlink="">
          <xdr:nvSpPr>
            <xdr:cNvPr id="10434" name="Freeform 436"/>
            <xdr:cNvSpPr>
              <a:spLocks/>
            </xdr:cNvSpPr>
          </xdr:nvSpPr>
          <xdr:spPr bwMode="auto">
            <a:xfrm>
              <a:off x="67" y="72"/>
              <a:ext cx="221" cy="125"/>
            </a:xfrm>
            <a:custGeom>
              <a:avLst/>
              <a:gdLst>
                <a:gd name="T0" fmla="*/ 45 w 221"/>
                <a:gd name="T1" fmla="*/ 117 h 125"/>
                <a:gd name="T2" fmla="*/ 198 w 221"/>
                <a:gd name="T3" fmla="*/ 30 h 125"/>
                <a:gd name="T4" fmla="*/ 211 w 221"/>
                <a:gd name="T5" fmla="*/ 23 h 125"/>
                <a:gd name="T6" fmla="*/ 221 w 221"/>
                <a:gd name="T7" fmla="*/ 17 h 125"/>
                <a:gd name="T8" fmla="*/ 212 w 221"/>
                <a:gd name="T9" fmla="*/ 13 h 125"/>
                <a:gd name="T10" fmla="*/ 192 w 221"/>
                <a:gd name="T11" fmla="*/ 8 h 125"/>
                <a:gd name="T12" fmla="*/ 192 w 221"/>
                <a:gd name="T13" fmla="*/ 0 h 125"/>
                <a:gd name="T14" fmla="*/ 0 w 221"/>
                <a:gd name="T15" fmla="*/ 107 h 125"/>
                <a:gd name="T16" fmla="*/ 30 w 221"/>
                <a:gd name="T17" fmla="*/ 125 h 125"/>
                <a:gd name="T18" fmla="*/ 36 w 221"/>
                <a:gd name="T19" fmla="*/ 122 h 125"/>
                <a:gd name="T20" fmla="*/ 45 w 221"/>
                <a:gd name="T21" fmla="*/ 117 h 125"/>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221"/>
                <a:gd name="T34" fmla="*/ 0 h 125"/>
                <a:gd name="T35" fmla="*/ 221 w 221"/>
                <a:gd name="T36" fmla="*/ 125 h 125"/>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221" h="125">
                  <a:moveTo>
                    <a:pt x="45" y="117"/>
                  </a:moveTo>
                  <a:lnTo>
                    <a:pt x="198" y="30"/>
                  </a:lnTo>
                  <a:lnTo>
                    <a:pt x="211" y="23"/>
                  </a:lnTo>
                  <a:lnTo>
                    <a:pt x="221" y="17"/>
                  </a:lnTo>
                  <a:lnTo>
                    <a:pt x="212" y="13"/>
                  </a:lnTo>
                  <a:lnTo>
                    <a:pt x="192" y="8"/>
                  </a:lnTo>
                  <a:lnTo>
                    <a:pt x="192" y="0"/>
                  </a:lnTo>
                  <a:lnTo>
                    <a:pt x="0" y="107"/>
                  </a:lnTo>
                  <a:lnTo>
                    <a:pt x="30" y="125"/>
                  </a:lnTo>
                  <a:lnTo>
                    <a:pt x="36" y="122"/>
                  </a:lnTo>
                  <a:lnTo>
                    <a:pt x="45" y="117"/>
                  </a:lnTo>
                  <a:close/>
                </a:path>
              </a:pathLst>
            </a:custGeom>
            <a:gradFill rotWithShape="1">
              <a:gsLst>
                <a:gs pos="0">
                  <a:srgbClr val="FFFFFF"/>
                </a:gs>
                <a:gs pos="100000">
                  <a:srgbClr val="69FFFF"/>
                </a:gs>
              </a:gsLst>
              <a:lin ang="5400000" scaled="1"/>
            </a:gradFill>
            <a:ln w="57150" cmpd="sng">
              <a:solidFill>
                <a:srgbClr val="A6CAF0"/>
              </a:solidFill>
              <a:round/>
              <a:headEnd/>
              <a:tailEnd/>
            </a:ln>
          </xdr:spPr>
        </xdr:sp>
        <xdr:sp macro="" textlink="">
          <xdr:nvSpPr>
            <xdr:cNvPr id="10435" name="Freeform 437"/>
            <xdr:cNvSpPr>
              <a:spLocks/>
            </xdr:cNvSpPr>
          </xdr:nvSpPr>
          <xdr:spPr bwMode="auto">
            <a:xfrm>
              <a:off x="46" y="44"/>
              <a:ext cx="212" cy="134"/>
            </a:xfrm>
            <a:custGeom>
              <a:avLst/>
              <a:gdLst>
                <a:gd name="T0" fmla="*/ 14 w 212"/>
                <a:gd name="T1" fmla="*/ 134 h 134"/>
                <a:gd name="T2" fmla="*/ 38 w 212"/>
                <a:gd name="T3" fmla="*/ 125 h 134"/>
                <a:gd name="T4" fmla="*/ 212 w 212"/>
                <a:gd name="T5" fmla="*/ 27 h 134"/>
                <a:gd name="T6" fmla="*/ 212 w 212"/>
                <a:gd name="T7" fmla="*/ 0 h 134"/>
                <a:gd name="T8" fmla="*/ 0 w 212"/>
                <a:gd name="T9" fmla="*/ 117 h 134"/>
                <a:gd name="T10" fmla="*/ 14 w 212"/>
                <a:gd name="T11" fmla="*/ 134 h 134"/>
                <a:gd name="T12" fmla="*/ 0 60000 65536"/>
                <a:gd name="T13" fmla="*/ 0 60000 65536"/>
                <a:gd name="T14" fmla="*/ 0 60000 65536"/>
                <a:gd name="T15" fmla="*/ 0 60000 65536"/>
                <a:gd name="T16" fmla="*/ 0 60000 65536"/>
                <a:gd name="T17" fmla="*/ 0 60000 65536"/>
                <a:gd name="T18" fmla="*/ 0 w 212"/>
                <a:gd name="T19" fmla="*/ 0 h 134"/>
                <a:gd name="T20" fmla="*/ 212 w 212"/>
                <a:gd name="T21" fmla="*/ 134 h 134"/>
              </a:gdLst>
              <a:ahLst/>
              <a:cxnLst>
                <a:cxn ang="T12">
                  <a:pos x="T0" y="T1"/>
                </a:cxn>
                <a:cxn ang="T13">
                  <a:pos x="T2" y="T3"/>
                </a:cxn>
                <a:cxn ang="T14">
                  <a:pos x="T4" y="T5"/>
                </a:cxn>
                <a:cxn ang="T15">
                  <a:pos x="T6" y="T7"/>
                </a:cxn>
                <a:cxn ang="T16">
                  <a:pos x="T8" y="T9"/>
                </a:cxn>
                <a:cxn ang="T17">
                  <a:pos x="T10" y="T11"/>
                </a:cxn>
              </a:cxnLst>
              <a:rect l="T18" t="T19" r="T20" b="T21"/>
              <a:pathLst>
                <a:path w="212" h="134">
                  <a:moveTo>
                    <a:pt x="14" y="134"/>
                  </a:moveTo>
                  <a:lnTo>
                    <a:pt x="38" y="125"/>
                  </a:lnTo>
                  <a:lnTo>
                    <a:pt x="212" y="27"/>
                  </a:lnTo>
                  <a:lnTo>
                    <a:pt x="212" y="0"/>
                  </a:lnTo>
                  <a:lnTo>
                    <a:pt x="0" y="117"/>
                  </a:lnTo>
                  <a:lnTo>
                    <a:pt x="14" y="134"/>
                  </a:lnTo>
                  <a:close/>
                </a:path>
              </a:pathLst>
            </a:custGeom>
            <a:gradFill rotWithShape="1">
              <a:gsLst>
                <a:gs pos="0">
                  <a:srgbClr val="69FFFF"/>
                </a:gs>
                <a:gs pos="100000">
                  <a:srgbClr val="FFFFFF"/>
                </a:gs>
              </a:gsLst>
              <a:lin ang="5400000" scaled="1"/>
            </a:gradFill>
            <a:ln w="38100" cmpd="sng">
              <a:solidFill>
                <a:srgbClr val="A6CAF0"/>
              </a:solidFill>
              <a:round/>
              <a:headEnd/>
              <a:tailEnd/>
            </a:ln>
          </xdr:spPr>
        </xdr:sp>
        <xdr:sp macro="" textlink="">
          <xdr:nvSpPr>
            <xdr:cNvPr id="10436" name="Freeform 438"/>
            <xdr:cNvSpPr>
              <a:spLocks/>
            </xdr:cNvSpPr>
          </xdr:nvSpPr>
          <xdr:spPr bwMode="auto">
            <a:xfrm>
              <a:off x="79" y="188"/>
              <a:ext cx="17" cy="403"/>
            </a:xfrm>
            <a:custGeom>
              <a:avLst/>
              <a:gdLst>
                <a:gd name="T0" fmla="*/ 15 w 17"/>
                <a:gd name="T1" fmla="*/ 395 h 403"/>
                <a:gd name="T2" fmla="*/ 0 w 17"/>
                <a:gd name="T3" fmla="*/ 403 h 403"/>
                <a:gd name="T4" fmla="*/ 1 w 17"/>
                <a:gd name="T5" fmla="*/ 0 h 403"/>
                <a:gd name="T6" fmla="*/ 17 w 17"/>
                <a:gd name="T7" fmla="*/ 11 h 403"/>
                <a:gd name="T8" fmla="*/ 16 w 17"/>
                <a:gd name="T9" fmla="*/ 60 h 403"/>
                <a:gd name="T10" fmla="*/ 15 w 17"/>
                <a:gd name="T11" fmla="*/ 351 h 403"/>
                <a:gd name="T12" fmla="*/ 15 w 17"/>
                <a:gd name="T13" fmla="*/ 367 h 403"/>
                <a:gd name="T14" fmla="*/ 15 w 17"/>
                <a:gd name="T15" fmla="*/ 395 h 403"/>
                <a:gd name="T16" fmla="*/ 0 60000 65536"/>
                <a:gd name="T17" fmla="*/ 0 60000 65536"/>
                <a:gd name="T18" fmla="*/ 0 60000 65536"/>
                <a:gd name="T19" fmla="*/ 0 60000 65536"/>
                <a:gd name="T20" fmla="*/ 0 60000 65536"/>
                <a:gd name="T21" fmla="*/ 0 60000 65536"/>
                <a:gd name="T22" fmla="*/ 0 60000 65536"/>
                <a:gd name="T23" fmla="*/ 0 60000 65536"/>
                <a:gd name="T24" fmla="*/ 0 w 17"/>
                <a:gd name="T25" fmla="*/ 0 h 403"/>
                <a:gd name="T26" fmla="*/ 17 w 17"/>
                <a:gd name="T27" fmla="*/ 403 h 403"/>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17" h="403">
                  <a:moveTo>
                    <a:pt x="15" y="395"/>
                  </a:moveTo>
                  <a:lnTo>
                    <a:pt x="0" y="403"/>
                  </a:lnTo>
                  <a:lnTo>
                    <a:pt x="1" y="0"/>
                  </a:lnTo>
                  <a:lnTo>
                    <a:pt x="17" y="11"/>
                  </a:lnTo>
                  <a:lnTo>
                    <a:pt x="16" y="60"/>
                  </a:lnTo>
                  <a:lnTo>
                    <a:pt x="15" y="351"/>
                  </a:lnTo>
                  <a:lnTo>
                    <a:pt x="15" y="367"/>
                  </a:lnTo>
                  <a:lnTo>
                    <a:pt x="15" y="395"/>
                  </a:lnTo>
                  <a:close/>
                </a:path>
              </a:pathLst>
            </a:custGeom>
            <a:gradFill rotWithShape="1">
              <a:gsLst>
                <a:gs pos="0">
                  <a:srgbClr val="FFFFFF"/>
                </a:gs>
                <a:gs pos="100000">
                  <a:srgbClr val="69FFFF"/>
                </a:gs>
              </a:gsLst>
              <a:lin ang="18900000" scaled="1"/>
            </a:gradFill>
            <a:ln w="38100" cmpd="sng">
              <a:solidFill>
                <a:srgbClr val="A6CAF0"/>
              </a:solidFill>
              <a:round/>
              <a:headEnd/>
              <a:tailEnd/>
            </a:ln>
          </xdr:spPr>
        </xdr:sp>
        <xdr:sp macro="" textlink="">
          <xdr:nvSpPr>
            <xdr:cNvPr id="10437" name="Freeform 439"/>
            <xdr:cNvSpPr>
              <a:spLocks/>
            </xdr:cNvSpPr>
          </xdr:nvSpPr>
          <xdr:spPr bwMode="auto">
            <a:xfrm>
              <a:off x="53" y="487"/>
              <a:ext cx="210" cy="145"/>
            </a:xfrm>
            <a:custGeom>
              <a:avLst/>
              <a:gdLst>
                <a:gd name="T0" fmla="*/ 18 w 210"/>
                <a:gd name="T1" fmla="*/ 110 h 145"/>
                <a:gd name="T2" fmla="*/ 210 w 210"/>
                <a:gd name="T3" fmla="*/ 0 h 145"/>
                <a:gd name="T4" fmla="*/ 210 w 210"/>
                <a:gd name="T5" fmla="*/ 29 h 145"/>
                <a:gd name="T6" fmla="*/ 0 w 210"/>
                <a:gd name="T7" fmla="*/ 145 h 145"/>
                <a:gd name="T8" fmla="*/ 18 w 210"/>
                <a:gd name="T9" fmla="*/ 110 h 145"/>
                <a:gd name="T10" fmla="*/ 0 60000 65536"/>
                <a:gd name="T11" fmla="*/ 0 60000 65536"/>
                <a:gd name="T12" fmla="*/ 0 60000 65536"/>
                <a:gd name="T13" fmla="*/ 0 60000 65536"/>
                <a:gd name="T14" fmla="*/ 0 60000 65536"/>
                <a:gd name="T15" fmla="*/ 0 w 210"/>
                <a:gd name="T16" fmla="*/ 0 h 145"/>
                <a:gd name="T17" fmla="*/ 210 w 210"/>
                <a:gd name="T18" fmla="*/ 145 h 145"/>
              </a:gdLst>
              <a:ahLst/>
              <a:cxnLst>
                <a:cxn ang="T10">
                  <a:pos x="T0" y="T1"/>
                </a:cxn>
                <a:cxn ang="T11">
                  <a:pos x="T2" y="T3"/>
                </a:cxn>
                <a:cxn ang="T12">
                  <a:pos x="T4" y="T5"/>
                </a:cxn>
                <a:cxn ang="T13">
                  <a:pos x="T6" y="T7"/>
                </a:cxn>
                <a:cxn ang="T14">
                  <a:pos x="T8" y="T9"/>
                </a:cxn>
              </a:cxnLst>
              <a:rect l="T15" t="T16" r="T17" b="T18"/>
              <a:pathLst>
                <a:path w="210" h="145">
                  <a:moveTo>
                    <a:pt x="18" y="110"/>
                  </a:moveTo>
                  <a:lnTo>
                    <a:pt x="210" y="0"/>
                  </a:lnTo>
                  <a:lnTo>
                    <a:pt x="210" y="29"/>
                  </a:lnTo>
                  <a:lnTo>
                    <a:pt x="0" y="145"/>
                  </a:lnTo>
                  <a:lnTo>
                    <a:pt x="18" y="110"/>
                  </a:lnTo>
                  <a:close/>
                </a:path>
              </a:pathLst>
            </a:custGeom>
            <a:gradFill rotWithShape="1">
              <a:gsLst>
                <a:gs pos="0">
                  <a:srgbClr val="FFFFFF"/>
                </a:gs>
                <a:gs pos="100000">
                  <a:srgbClr val="00FFFF"/>
                </a:gs>
              </a:gsLst>
              <a:lin ang="2700000" scaled="1"/>
            </a:gradFill>
            <a:ln w="38100" cmpd="sng">
              <a:solidFill>
                <a:srgbClr val="A6CAF0"/>
              </a:solidFill>
              <a:round/>
              <a:headEnd/>
              <a:tailEnd/>
            </a:ln>
          </xdr:spPr>
        </xdr:sp>
        <xdr:sp macro="" textlink="">
          <xdr:nvSpPr>
            <xdr:cNvPr id="10438" name="Freeform 440"/>
            <xdr:cNvSpPr>
              <a:spLocks/>
            </xdr:cNvSpPr>
          </xdr:nvSpPr>
          <xdr:spPr bwMode="auto">
            <a:xfrm>
              <a:off x="67" y="543"/>
              <a:ext cx="229" cy="107"/>
            </a:xfrm>
            <a:custGeom>
              <a:avLst/>
              <a:gdLst>
                <a:gd name="T0" fmla="*/ 37 w 229"/>
                <a:gd name="T1" fmla="*/ 107 h 107"/>
                <a:gd name="T2" fmla="*/ 0 w 229"/>
                <a:gd name="T3" fmla="*/ 107 h 107"/>
                <a:gd name="T4" fmla="*/ 192 w 229"/>
                <a:gd name="T5" fmla="*/ 0 h 107"/>
                <a:gd name="T6" fmla="*/ 229 w 229"/>
                <a:gd name="T7" fmla="*/ 0 h 107"/>
                <a:gd name="T8" fmla="*/ 37 w 229"/>
                <a:gd name="T9" fmla="*/ 107 h 107"/>
                <a:gd name="T10" fmla="*/ 0 60000 65536"/>
                <a:gd name="T11" fmla="*/ 0 60000 65536"/>
                <a:gd name="T12" fmla="*/ 0 60000 65536"/>
                <a:gd name="T13" fmla="*/ 0 60000 65536"/>
                <a:gd name="T14" fmla="*/ 0 60000 65536"/>
                <a:gd name="T15" fmla="*/ 0 w 229"/>
                <a:gd name="T16" fmla="*/ 0 h 107"/>
                <a:gd name="T17" fmla="*/ 229 w 229"/>
                <a:gd name="T18" fmla="*/ 107 h 107"/>
              </a:gdLst>
              <a:ahLst/>
              <a:cxnLst>
                <a:cxn ang="T10">
                  <a:pos x="T0" y="T1"/>
                </a:cxn>
                <a:cxn ang="T11">
                  <a:pos x="T2" y="T3"/>
                </a:cxn>
                <a:cxn ang="T12">
                  <a:pos x="T4" y="T5"/>
                </a:cxn>
                <a:cxn ang="T13">
                  <a:pos x="T6" y="T7"/>
                </a:cxn>
                <a:cxn ang="T14">
                  <a:pos x="T8" y="T9"/>
                </a:cxn>
              </a:cxnLst>
              <a:rect l="T15" t="T16" r="T17" b="T18"/>
              <a:pathLst>
                <a:path w="229" h="107">
                  <a:moveTo>
                    <a:pt x="37" y="107"/>
                  </a:moveTo>
                  <a:lnTo>
                    <a:pt x="0" y="107"/>
                  </a:lnTo>
                  <a:lnTo>
                    <a:pt x="192" y="0"/>
                  </a:lnTo>
                  <a:lnTo>
                    <a:pt x="229" y="0"/>
                  </a:lnTo>
                  <a:lnTo>
                    <a:pt x="37" y="107"/>
                  </a:lnTo>
                  <a:close/>
                </a:path>
              </a:pathLst>
            </a:custGeom>
            <a:gradFill rotWithShape="1">
              <a:gsLst>
                <a:gs pos="0">
                  <a:srgbClr val="FFFFFF"/>
                </a:gs>
                <a:gs pos="100000">
                  <a:srgbClr val="C0C0C0"/>
                </a:gs>
              </a:gsLst>
              <a:lin ang="5400000" scaled="1"/>
            </a:gradFill>
            <a:ln w="9525">
              <a:solidFill>
                <a:srgbClr val="000000"/>
              </a:solidFill>
              <a:round/>
              <a:headEnd/>
              <a:tailEnd/>
            </a:ln>
          </xdr:spPr>
        </xdr:sp>
        <xdr:sp macro="" textlink="">
          <xdr:nvSpPr>
            <xdr:cNvPr id="10439" name="Freeform 441"/>
            <xdr:cNvSpPr>
              <a:spLocks/>
            </xdr:cNvSpPr>
          </xdr:nvSpPr>
          <xdr:spPr bwMode="auto">
            <a:xfrm>
              <a:off x="69" y="519"/>
              <a:ext cx="191" cy="130"/>
            </a:xfrm>
            <a:custGeom>
              <a:avLst/>
              <a:gdLst>
                <a:gd name="T0" fmla="*/ 0 w 191"/>
                <a:gd name="T1" fmla="*/ 106 h 130"/>
                <a:gd name="T2" fmla="*/ 191 w 191"/>
                <a:gd name="T3" fmla="*/ 0 h 130"/>
                <a:gd name="T4" fmla="*/ 191 w 191"/>
                <a:gd name="T5" fmla="*/ 24 h 130"/>
                <a:gd name="T6" fmla="*/ 0 w 191"/>
                <a:gd name="T7" fmla="*/ 130 h 130"/>
                <a:gd name="T8" fmla="*/ 0 w 191"/>
                <a:gd name="T9" fmla="*/ 106 h 130"/>
                <a:gd name="T10" fmla="*/ 0 60000 65536"/>
                <a:gd name="T11" fmla="*/ 0 60000 65536"/>
                <a:gd name="T12" fmla="*/ 0 60000 65536"/>
                <a:gd name="T13" fmla="*/ 0 60000 65536"/>
                <a:gd name="T14" fmla="*/ 0 60000 65536"/>
                <a:gd name="T15" fmla="*/ 0 w 191"/>
                <a:gd name="T16" fmla="*/ 0 h 130"/>
                <a:gd name="T17" fmla="*/ 191 w 191"/>
                <a:gd name="T18" fmla="*/ 130 h 130"/>
              </a:gdLst>
              <a:ahLst/>
              <a:cxnLst>
                <a:cxn ang="T10">
                  <a:pos x="T0" y="T1"/>
                </a:cxn>
                <a:cxn ang="T11">
                  <a:pos x="T2" y="T3"/>
                </a:cxn>
                <a:cxn ang="T12">
                  <a:pos x="T4" y="T5"/>
                </a:cxn>
                <a:cxn ang="T13">
                  <a:pos x="T6" y="T7"/>
                </a:cxn>
                <a:cxn ang="T14">
                  <a:pos x="T8" y="T9"/>
                </a:cxn>
              </a:cxnLst>
              <a:rect l="T15" t="T16" r="T17" b="T18"/>
              <a:pathLst>
                <a:path w="191" h="130">
                  <a:moveTo>
                    <a:pt x="0" y="106"/>
                  </a:moveTo>
                  <a:lnTo>
                    <a:pt x="191" y="0"/>
                  </a:lnTo>
                  <a:lnTo>
                    <a:pt x="191" y="24"/>
                  </a:lnTo>
                  <a:lnTo>
                    <a:pt x="0" y="130"/>
                  </a:lnTo>
                  <a:lnTo>
                    <a:pt x="0" y="106"/>
                  </a:lnTo>
                  <a:close/>
                </a:path>
              </a:pathLst>
            </a:custGeom>
            <a:gradFill rotWithShape="1">
              <a:gsLst>
                <a:gs pos="0">
                  <a:srgbClr val="FFFFFF"/>
                </a:gs>
                <a:gs pos="100000">
                  <a:srgbClr val="C0C0C0"/>
                </a:gs>
              </a:gsLst>
              <a:lin ang="2700000" scaled="1"/>
            </a:gradFill>
            <a:ln w="9525">
              <a:solidFill>
                <a:srgbClr val="000000"/>
              </a:solidFill>
              <a:round/>
              <a:headEnd/>
              <a:tailEnd/>
            </a:ln>
          </xdr:spPr>
        </xdr:sp>
        <xdr:sp macro="" textlink="">
          <xdr:nvSpPr>
            <xdr:cNvPr id="10440" name="Freeform 442"/>
            <xdr:cNvSpPr>
              <a:spLocks/>
            </xdr:cNvSpPr>
          </xdr:nvSpPr>
          <xdr:spPr bwMode="auto">
            <a:xfrm>
              <a:off x="104" y="543"/>
              <a:ext cx="192" cy="111"/>
            </a:xfrm>
            <a:custGeom>
              <a:avLst/>
              <a:gdLst>
                <a:gd name="T0" fmla="*/ 0 w 192"/>
                <a:gd name="T1" fmla="*/ 107 h 111"/>
                <a:gd name="T2" fmla="*/ 192 w 192"/>
                <a:gd name="T3" fmla="*/ 0 h 111"/>
                <a:gd name="T4" fmla="*/ 192 w 192"/>
                <a:gd name="T5" fmla="*/ 4 h 111"/>
                <a:gd name="T6" fmla="*/ 0 w 192"/>
                <a:gd name="T7" fmla="*/ 111 h 111"/>
                <a:gd name="T8" fmla="*/ 0 w 192"/>
                <a:gd name="T9" fmla="*/ 107 h 111"/>
                <a:gd name="T10" fmla="*/ 0 60000 65536"/>
                <a:gd name="T11" fmla="*/ 0 60000 65536"/>
                <a:gd name="T12" fmla="*/ 0 60000 65536"/>
                <a:gd name="T13" fmla="*/ 0 60000 65536"/>
                <a:gd name="T14" fmla="*/ 0 60000 65536"/>
                <a:gd name="T15" fmla="*/ 0 w 192"/>
                <a:gd name="T16" fmla="*/ 0 h 111"/>
                <a:gd name="T17" fmla="*/ 192 w 192"/>
                <a:gd name="T18" fmla="*/ 111 h 111"/>
              </a:gdLst>
              <a:ahLst/>
              <a:cxnLst>
                <a:cxn ang="T10">
                  <a:pos x="T0" y="T1"/>
                </a:cxn>
                <a:cxn ang="T11">
                  <a:pos x="T2" y="T3"/>
                </a:cxn>
                <a:cxn ang="T12">
                  <a:pos x="T4" y="T5"/>
                </a:cxn>
                <a:cxn ang="T13">
                  <a:pos x="T6" y="T7"/>
                </a:cxn>
                <a:cxn ang="T14">
                  <a:pos x="T8" y="T9"/>
                </a:cxn>
              </a:cxnLst>
              <a:rect l="T15" t="T16" r="T17" b="T18"/>
              <a:pathLst>
                <a:path w="192" h="111">
                  <a:moveTo>
                    <a:pt x="0" y="107"/>
                  </a:moveTo>
                  <a:lnTo>
                    <a:pt x="192" y="0"/>
                  </a:lnTo>
                  <a:lnTo>
                    <a:pt x="192" y="4"/>
                  </a:lnTo>
                  <a:lnTo>
                    <a:pt x="0" y="111"/>
                  </a:lnTo>
                  <a:lnTo>
                    <a:pt x="0" y="107"/>
                  </a:lnTo>
                  <a:close/>
                </a:path>
              </a:pathLst>
            </a:custGeom>
            <a:solidFill>
              <a:srgbClr val="969696"/>
            </a:solidFill>
            <a:ln w="9525">
              <a:solidFill>
                <a:srgbClr val="000000"/>
              </a:solidFill>
              <a:round/>
              <a:headEnd/>
              <a:tailEnd/>
            </a:ln>
          </xdr:spPr>
        </xdr:sp>
        <xdr:sp macro="" textlink="">
          <xdr:nvSpPr>
            <xdr:cNvPr id="10441" name="Freeform 443"/>
            <xdr:cNvSpPr>
              <a:spLocks/>
            </xdr:cNvSpPr>
          </xdr:nvSpPr>
          <xdr:spPr bwMode="auto">
            <a:xfrm>
              <a:off x="65" y="626"/>
              <a:ext cx="40" cy="28"/>
            </a:xfrm>
            <a:custGeom>
              <a:avLst/>
              <a:gdLst>
                <a:gd name="T0" fmla="*/ 4 w 40"/>
                <a:gd name="T1" fmla="*/ 0 h 28"/>
                <a:gd name="T2" fmla="*/ 4 w 40"/>
                <a:gd name="T3" fmla="*/ 24 h 28"/>
                <a:gd name="T4" fmla="*/ 40 w 40"/>
                <a:gd name="T5" fmla="*/ 24 h 28"/>
                <a:gd name="T6" fmla="*/ 40 w 40"/>
                <a:gd name="T7" fmla="*/ 28 h 28"/>
                <a:gd name="T8" fmla="*/ 0 w 40"/>
                <a:gd name="T9" fmla="*/ 28 h 28"/>
                <a:gd name="T10" fmla="*/ 0 w 40"/>
                <a:gd name="T11" fmla="*/ 0 h 28"/>
                <a:gd name="T12" fmla="*/ 4 w 40"/>
                <a:gd name="T13" fmla="*/ 0 h 28"/>
                <a:gd name="T14" fmla="*/ 0 60000 65536"/>
                <a:gd name="T15" fmla="*/ 0 60000 65536"/>
                <a:gd name="T16" fmla="*/ 0 60000 65536"/>
                <a:gd name="T17" fmla="*/ 0 60000 65536"/>
                <a:gd name="T18" fmla="*/ 0 60000 65536"/>
                <a:gd name="T19" fmla="*/ 0 60000 65536"/>
                <a:gd name="T20" fmla="*/ 0 60000 65536"/>
                <a:gd name="T21" fmla="*/ 0 w 40"/>
                <a:gd name="T22" fmla="*/ 0 h 28"/>
                <a:gd name="T23" fmla="*/ 40 w 40"/>
                <a:gd name="T24" fmla="*/ 28 h 28"/>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0" h="28">
                  <a:moveTo>
                    <a:pt x="4" y="0"/>
                  </a:moveTo>
                  <a:lnTo>
                    <a:pt x="4" y="24"/>
                  </a:lnTo>
                  <a:lnTo>
                    <a:pt x="40" y="24"/>
                  </a:lnTo>
                  <a:lnTo>
                    <a:pt x="40" y="28"/>
                  </a:lnTo>
                  <a:lnTo>
                    <a:pt x="0" y="28"/>
                  </a:lnTo>
                  <a:lnTo>
                    <a:pt x="0" y="0"/>
                  </a:lnTo>
                  <a:lnTo>
                    <a:pt x="4" y="0"/>
                  </a:lnTo>
                  <a:close/>
                </a:path>
              </a:pathLst>
            </a:custGeom>
            <a:solidFill>
              <a:srgbClr val="969696"/>
            </a:solidFill>
            <a:ln w="9525">
              <a:solidFill>
                <a:srgbClr val="000000"/>
              </a:solidFill>
              <a:round/>
              <a:headEnd/>
              <a:tailEnd/>
            </a:ln>
          </xdr:spPr>
        </xdr:sp>
        <xdr:sp macro="" textlink="">
          <xdr:nvSpPr>
            <xdr:cNvPr id="10442" name="Rectangle 444"/>
            <xdr:cNvSpPr>
              <a:spLocks noChangeArrowheads="1"/>
            </xdr:cNvSpPr>
          </xdr:nvSpPr>
          <xdr:spPr bwMode="auto">
            <a:xfrm>
              <a:off x="45" y="159"/>
              <a:ext cx="41" cy="473"/>
            </a:xfrm>
            <a:prstGeom prst="rect">
              <a:avLst/>
            </a:prstGeom>
            <a:solidFill>
              <a:srgbClr val="69FFFF"/>
            </a:solidFill>
            <a:ln w="19050">
              <a:solidFill>
                <a:srgbClr val="000000"/>
              </a:solidFill>
              <a:miter lim="800000"/>
              <a:headEnd/>
              <a:tailEnd/>
            </a:ln>
          </xdr:spPr>
        </xdr:sp>
        <xdr:sp macro="" textlink="">
          <xdr:nvSpPr>
            <xdr:cNvPr id="10443" name="Line 445"/>
            <xdr:cNvSpPr>
              <a:spLocks noChangeShapeType="1"/>
            </xdr:cNvSpPr>
          </xdr:nvSpPr>
          <xdr:spPr bwMode="auto">
            <a:xfrm flipH="1">
              <a:off x="297" y="120"/>
              <a:ext cx="0" cy="324"/>
            </a:xfrm>
            <a:prstGeom prst="line">
              <a:avLst/>
            </a:prstGeom>
            <a:noFill/>
            <a:ln w="19050">
              <a:solidFill>
                <a:srgbClr val="000000"/>
              </a:solidFill>
              <a:round/>
              <a:headEnd/>
              <a:tailEnd/>
            </a:ln>
          </xdr:spPr>
        </xdr:sp>
        <xdr:sp macro="" textlink="">
          <xdr:nvSpPr>
            <xdr:cNvPr id="10444" name="Line 446"/>
            <xdr:cNvSpPr>
              <a:spLocks noChangeShapeType="1"/>
            </xdr:cNvSpPr>
          </xdr:nvSpPr>
          <xdr:spPr bwMode="auto">
            <a:xfrm>
              <a:off x="44" y="158"/>
              <a:ext cx="0" cy="0"/>
            </a:xfrm>
            <a:prstGeom prst="line">
              <a:avLst/>
            </a:prstGeom>
            <a:noFill/>
            <a:ln w="9525">
              <a:solidFill>
                <a:srgbClr val="000000"/>
              </a:solidFill>
              <a:round/>
              <a:headEnd/>
              <a:tailEnd/>
            </a:ln>
          </xdr:spPr>
        </xdr:sp>
        <xdr:sp macro="" textlink="">
          <xdr:nvSpPr>
            <xdr:cNvPr id="10445" name="Line 447"/>
            <xdr:cNvSpPr>
              <a:spLocks noChangeShapeType="1"/>
            </xdr:cNvSpPr>
          </xdr:nvSpPr>
          <xdr:spPr bwMode="auto">
            <a:xfrm flipV="1">
              <a:off x="45" y="41"/>
              <a:ext cx="214" cy="118"/>
            </a:xfrm>
            <a:prstGeom prst="line">
              <a:avLst/>
            </a:prstGeom>
            <a:noFill/>
            <a:ln w="19050">
              <a:solidFill>
                <a:srgbClr val="000000"/>
              </a:solidFill>
              <a:round/>
              <a:headEnd/>
              <a:tailEnd/>
            </a:ln>
          </xdr:spPr>
        </xdr:sp>
        <xdr:grpSp>
          <xdr:nvGrpSpPr>
            <xdr:cNvPr id="10446" name="Group 448"/>
            <xdr:cNvGrpSpPr>
              <a:grpSpLocks/>
            </xdr:cNvGrpSpPr>
          </xdr:nvGrpSpPr>
          <xdr:grpSpPr bwMode="auto">
            <a:xfrm>
              <a:off x="15" y="22"/>
              <a:ext cx="236" cy="135"/>
              <a:chOff x="15" y="71"/>
              <a:chExt cx="236" cy="135"/>
            </a:xfrm>
          </xdr:grpSpPr>
          <xdr:sp macro="" textlink="">
            <xdr:nvSpPr>
              <xdr:cNvPr id="10448" name="Freeform 449"/>
              <xdr:cNvSpPr>
                <a:spLocks/>
              </xdr:cNvSpPr>
            </xdr:nvSpPr>
            <xdr:spPr bwMode="auto">
              <a:xfrm>
                <a:off x="59" y="71"/>
                <a:ext cx="192" cy="134"/>
              </a:xfrm>
              <a:custGeom>
                <a:avLst/>
                <a:gdLst>
                  <a:gd name="T0" fmla="*/ 0 w 192"/>
                  <a:gd name="T1" fmla="*/ 107 h 134"/>
                  <a:gd name="T2" fmla="*/ 192 w 192"/>
                  <a:gd name="T3" fmla="*/ 0 h 134"/>
                  <a:gd name="T4" fmla="*/ 192 w 192"/>
                  <a:gd name="T5" fmla="*/ 28 h 134"/>
                  <a:gd name="T6" fmla="*/ 0 w 192"/>
                  <a:gd name="T7" fmla="*/ 134 h 134"/>
                  <a:gd name="T8" fmla="*/ 0 w 192"/>
                  <a:gd name="T9" fmla="*/ 107 h 134"/>
                  <a:gd name="T10" fmla="*/ 0 60000 65536"/>
                  <a:gd name="T11" fmla="*/ 0 60000 65536"/>
                  <a:gd name="T12" fmla="*/ 0 60000 65536"/>
                  <a:gd name="T13" fmla="*/ 0 60000 65536"/>
                  <a:gd name="T14" fmla="*/ 0 60000 65536"/>
                  <a:gd name="T15" fmla="*/ 0 w 192"/>
                  <a:gd name="T16" fmla="*/ 0 h 134"/>
                  <a:gd name="T17" fmla="*/ 192 w 192"/>
                  <a:gd name="T18" fmla="*/ 134 h 134"/>
                </a:gdLst>
                <a:ahLst/>
                <a:cxnLst>
                  <a:cxn ang="T10">
                    <a:pos x="T0" y="T1"/>
                  </a:cxn>
                  <a:cxn ang="T11">
                    <a:pos x="T2" y="T3"/>
                  </a:cxn>
                  <a:cxn ang="T12">
                    <a:pos x="T4" y="T5"/>
                  </a:cxn>
                  <a:cxn ang="T13">
                    <a:pos x="T6" y="T7"/>
                  </a:cxn>
                  <a:cxn ang="T14">
                    <a:pos x="T8" y="T9"/>
                  </a:cxn>
                </a:cxnLst>
                <a:rect l="T15" t="T16" r="T17" b="T18"/>
                <a:pathLst>
                  <a:path w="192" h="134">
                    <a:moveTo>
                      <a:pt x="0" y="107"/>
                    </a:moveTo>
                    <a:lnTo>
                      <a:pt x="192" y="0"/>
                    </a:lnTo>
                    <a:lnTo>
                      <a:pt x="192" y="28"/>
                    </a:lnTo>
                    <a:lnTo>
                      <a:pt x="0" y="134"/>
                    </a:lnTo>
                    <a:lnTo>
                      <a:pt x="0" y="107"/>
                    </a:lnTo>
                    <a:close/>
                  </a:path>
                </a:pathLst>
              </a:custGeom>
              <a:gradFill rotWithShape="1">
                <a:gsLst>
                  <a:gs pos="0">
                    <a:srgbClr val="C0C0C0"/>
                  </a:gs>
                  <a:gs pos="100000">
                    <a:srgbClr val="FFFFFF"/>
                  </a:gs>
                </a:gsLst>
                <a:lin ang="2700000" scaled="1"/>
              </a:gradFill>
              <a:ln w="9525">
                <a:solidFill>
                  <a:srgbClr val="000000"/>
                </a:solidFill>
                <a:round/>
                <a:headEnd/>
                <a:tailEnd/>
              </a:ln>
            </xdr:spPr>
          </xdr:sp>
          <xdr:sp macro="" textlink="">
            <xdr:nvSpPr>
              <xdr:cNvPr id="10449" name="Freeform 450"/>
              <xdr:cNvSpPr>
                <a:spLocks/>
              </xdr:cNvSpPr>
            </xdr:nvSpPr>
            <xdr:spPr bwMode="auto">
              <a:xfrm>
                <a:off x="15" y="71"/>
                <a:ext cx="236" cy="107"/>
              </a:xfrm>
              <a:custGeom>
                <a:avLst/>
                <a:gdLst>
                  <a:gd name="T0" fmla="*/ 44 w 236"/>
                  <a:gd name="T1" fmla="*/ 107 h 107"/>
                  <a:gd name="T2" fmla="*/ 0 w 236"/>
                  <a:gd name="T3" fmla="*/ 107 h 107"/>
                  <a:gd name="T4" fmla="*/ 195 w 236"/>
                  <a:gd name="T5" fmla="*/ 0 h 107"/>
                  <a:gd name="T6" fmla="*/ 236 w 236"/>
                  <a:gd name="T7" fmla="*/ 0 h 107"/>
                  <a:gd name="T8" fmla="*/ 44 w 236"/>
                  <a:gd name="T9" fmla="*/ 107 h 107"/>
                  <a:gd name="T10" fmla="*/ 0 60000 65536"/>
                  <a:gd name="T11" fmla="*/ 0 60000 65536"/>
                  <a:gd name="T12" fmla="*/ 0 60000 65536"/>
                  <a:gd name="T13" fmla="*/ 0 60000 65536"/>
                  <a:gd name="T14" fmla="*/ 0 60000 65536"/>
                  <a:gd name="T15" fmla="*/ 0 w 236"/>
                  <a:gd name="T16" fmla="*/ 0 h 107"/>
                  <a:gd name="T17" fmla="*/ 236 w 236"/>
                  <a:gd name="T18" fmla="*/ 107 h 107"/>
                </a:gdLst>
                <a:ahLst/>
                <a:cxnLst>
                  <a:cxn ang="T10">
                    <a:pos x="T0" y="T1"/>
                  </a:cxn>
                  <a:cxn ang="T11">
                    <a:pos x="T2" y="T3"/>
                  </a:cxn>
                  <a:cxn ang="T12">
                    <a:pos x="T4" y="T5"/>
                  </a:cxn>
                  <a:cxn ang="T13">
                    <a:pos x="T6" y="T7"/>
                  </a:cxn>
                  <a:cxn ang="T14">
                    <a:pos x="T8" y="T9"/>
                  </a:cxn>
                </a:cxnLst>
                <a:rect l="T15" t="T16" r="T17" b="T18"/>
                <a:pathLst>
                  <a:path w="236" h="107">
                    <a:moveTo>
                      <a:pt x="44" y="107"/>
                    </a:moveTo>
                    <a:lnTo>
                      <a:pt x="0" y="107"/>
                    </a:lnTo>
                    <a:lnTo>
                      <a:pt x="195" y="0"/>
                    </a:lnTo>
                    <a:lnTo>
                      <a:pt x="236" y="0"/>
                    </a:lnTo>
                    <a:lnTo>
                      <a:pt x="44" y="107"/>
                    </a:lnTo>
                    <a:close/>
                  </a:path>
                </a:pathLst>
              </a:custGeom>
              <a:gradFill rotWithShape="1">
                <a:gsLst>
                  <a:gs pos="0">
                    <a:srgbClr val="FFFFFF"/>
                  </a:gs>
                  <a:gs pos="100000">
                    <a:srgbClr val="C0C0C0"/>
                  </a:gs>
                </a:gsLst>
                <a:lin ang="5400000" scaled="1"/>
              </a:gradFill>
              <a:ln w="9525">
                <a:solidFill>
                  <a:srgbClr val="000000"/>
                </a:solidFill>
                <a:round/>
                <a:headEnd/>
                <a:tailEnd/>
              </a:ln>
            </xdr:spPr>
          </xdr:sp>
          <xdr:sp macro="" textlink="">
            <xdr:nvSpPr>
              <xdr:cNvPr id="10450" name="Freeform 451"/>
              <xdr:cNvSpPr>
                <a:spLocks/>
              </xdr:cNvSpPr>
            </xdr:nvSpPr>
            <xdr:spPr bwMode="auto">
              <a:xfrm>
                <a:off x="15" y="178"/>
                <a:ext cx="45" cy="28"/>
              </a:xfrm>
              <a:custGeom>
                <a:avLst/>
                <a:gdLst>
                  <a:gd name="T0" fmla="*/ 41 w 45"/>
                  <a:gd name="T1" fmla="*/ 28 h 28"/>
                  <a:gd name="T2" fmla="*/ 41 w 45"/>
                  <a:gd name="T3" fmla="*/ 3 h 28"/>
                  <a:gd name="T4" fmla="*/ 0 w 45"/>
                  <a:gd name="T5" fmla="*/ 3 h 28"/>
                  <a:gd name="T6" fmla="*/ 0 w 45"/>
                  <a:gd name="T7" fmla="*/ 0 h 28"/>
                  <a:gd name="T8" fmla="*/ 45 w 45"/>
                  <a:gd name="T9" fmla="*/ 0 h 28"/>
                  <a:gd name="T10" fmla="*/ 45 w 45"/>
                  <a:gd name="T11" fmla="*/ 28 h 28"/>
                  <a:gd name="T12" fmla="*/ 41 w 45"/>
                  <a:gd name="T13" fmla="*/ 28 h 28"/>
                  <a:gd name="T14" fmla="*/ 0 60000 65536"/>
                  <a:gd name="T15" fmla="*/ 0 60000 65536"/>
                  <a:gd name="T16" fmla="*/ 0 60000 65536"/>
                  <a:gd name="T17" fmla="*/ 0 60000 65536"/>
                  <a:gd name="T18" fmla="*/ 0 60000 65536"/>
                  <a:gd name="T19" fmla="*/ 0 60000 65536"/>
                  <a:gd name="T20" fmla="*/ 0 60000 65536"/>
                  <a:gd name="T21" fmla="*/ 0 w 45"/>
                  <a:gd name="T22" fmla="*/ 0 h 28"/>
                  <a:gd name="T23" fmla="*/ 45 w 45"/>
                  <a:gd name="T24" fmla="*/ 28 h 28"/>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5" h="28">
                    <a:moveTo>
                      <a:pt x="41" y="28"/>
                    </a:moveTo>
                    <a:lnTo>
                      <a:pt x="41" y="3"/>
                    </a:lnTo>
                    <a:lnTo>
                      <a:pt x="0" y="3"/>
                    </a:lnTo>
                    <a:lnTo>
                      <a:pt x="0" y="0"/>
                    </a:lnTo>
                    <a:lnTo>
                      <a:pt x="45" y="0"/>
                    </a:lnTo>
                    <a:lnTo>
                      <a:pt x="45" y="28"/>
                    </a:lnTo>
                    <a:lnTo>
                      <a:pt x="41" y="28"/>
                    </a:lnTo>
                    <a:close/>
                  </a:path>
                </a:pathLst>
              </a:custGeom>
              <a:solidFill>
                <a:srgbClr val="969696"/>
              </a:solidFill>
              <a:ln w="9525">
                <a:solidFill>
                  <a:srgbClr val="000000"/>
                </a:solidFill>
                <a:round/>
                <a:headEnd/>
                <a:tailEnd/>
              </a:ln>
            </xdr:spPr>
          </xdr:sp>
        </xdr:grpSp>
        <xdr:sp macro="" textlink="">
          <xdr:nvSpPr>
            <xdr:cNvPr id="10447" name="Freeform 452"/>
            <xdr:cNvSpPr>
              <a:spLocks/>
            </xdr:cNvSpPr>
          </xdr:nvSpPr>
          <xdr:spPr bwMode="auto">
            <a:xfrm>
              <a:off x="96" y="89"/>
              <a:ext cx="197" cy="494"/>
            </a:xfrm>
            <a:custGeom>
              <a:avLst/>
              <a:gdLst>
                <a:gd name="T0" fmla="*/ 0 w 197"/>
                <a:gd name="T1" fmla="*/ 188 h 494"/>
                <a:gd name="T2" fmla="*/ 0 w 197"/>
                <a:gd name="T3" fmla="*/ 172 h 494"/>
                <a:gd name="T4" fmla="*/ 0 w 197"/>
                <a:gd name="T5" fmla="*/ 121 h 494"/>
                <a:gd name="T6" fmla="*/ 1 w 197"/>
                <a:gd name="T7" fmla="*/ 109 h 494"/>
                <a:gd name="T8" fmla="*/ 8 w 197"/>
                <a:gd name="T9" fmla="*/ 106 h 494"/>
                <a:gd name="T10" fmla="*/ 23 w 197"/>
                <a:gd name="T11" fmla="*/ 97 h 494"/>
                <a:gd name="T12" fmla="*/ 77 w 197"/>
                <a:gd name="T13" fmla="*/ 67 h 494"/>
                <a:gd name="T14" fmla="*/ 120 w 197"/>
                <a:gd name="T15" fmla="*/ 42 h 494"/>
                <a:gd name="T16" fmla="*/ 146 w 197"/>
                <a:gd name="T17" fmla="*/ 27 h 494"/>
                <a:gd name="T18" fmla="*/ 172 w 197"/>
                <a:gd name="T19" fmla="*/ 13 h 494"/>
                <a:gd name="T20" fmla="*/ 186 w 197"/>
                <a:gd name="T21" fmla="*/ 4 h 494"/>
                <a:gd name="T22" fmla="*/ 194 w 197"/>
                <a:gd name="T23" fmla="*/ 0 h 494"/>
                <a:gd name="T24" fmla="*/ 197 w 197"/>
                <a:gd name="T25" fmla="*/ 0 h 494"/>
                <a:gd name="T26" fmla="*/ 196 w 197"/>
                <a:gd name="T27" fmla="*/ 72 h 494"/>
                <a:gd name="T28" fmla="*/ 196 w 197"/>
                <a:gd name="T29" fmla="*/ 343 h 494"/>
                <a:gd name="T30" fmla="*/ 196 w 197"/>
                <a:gd name="T31" fmla="*/ 393 h 494"/>
                <a:gd name="T32" fmla="*/ 190 w 197"/>
                <a:gd name="T33" fmla="*/ 397 h 494"/>
                <a:gd name="T34" fmla="*/ 18 w 197"/>
                <a:gd name="T35" fmla="*/ 491 h 494"/>
                <a:gd name="T36" fmla="*/ 5 w 197"/>
                <a:gd name="T37" fmla="*/ 494 h 494"/>
                <a:gd name="T38" fmla="*/ 1 w 197"/>
                <a:gd name="T39" fmla="*/ 492 h 494"/>
                <a:gd name="T40" fmla="*/ 0 w 197"/>
                <a:gd name="T41" fmla="*/ 188 h 494"/>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w 197"/>
                <a:gd name="T64" fmla="*/ 0 h 494"/>
                <a:gd name="T65" fmla="*/ 197 w 197"/>
                <a:gd name="T66" fmla="*/ 494 h 494"/>
              </a:gdLst>
              <a:ahLst/>
              <a:cxnLst>
                <a:cxn ang="T42">
                  <a:pos x="T0" y="T1"/>
                </a:cxn>
                <a:cxn ang="T43">
                  <a:pos x="T2" y="T3"/>
                </a:cxn>
                <a:cxn ang="T44">
                  <a:pos x="T4" y="T5"/>
                </a:cxn>
                <a:cxn ang="T45">
                  <a:pos x="T6" y="T7"/>
                </a:cxn>
                <a:cxn ang="T46">
                  <a:pos x="T8" y="T9"/>
                </a:cxn>
                <a:cxn ang="T47">
                  <a:pos x="T10" y="T11"/>
                </a:cxn>
                <a:cxn ang="T48">
                  <a:pos x="T12" y="T13"/>
                </a:cxn>
                <a:cxn ang="T49">
                  <a:pos x="T14" y="T15"/>
                </a:cxn>
                <a:cxn ang="T50">
                  <a:pos x="T16" y="T17"/>
                </a:cxn>
                <a:cxn ang="T51">
                  <a:pos x="T18" y="T19"/>
                </a:cxn>
                <a:cxn ang="T52">
                  <a:pos x="T20" y="T21"/>
                </a:cxn>
                <a:cxn ang="T53">
                  <a:pos x="T22" y="T23"/>
                </a:cxn>
                <a:cxn ang="T54">
                  <a:pos x="T24" y="T25"/>
                </a:cxn>
                <a:cxn ang="T55">
                  <a:pos x="T26" y="T27"/>
                </a:cxn>
                <a:cxn ang="T56">
                  <a:pos x="T28" y="T29"/>
                </a:cxn>
                <a:cxn ang="T57">
                  <a:pos x="T30" y="T31"/>
                </a:cxn>
                <a:cxn ang="T58">
                  <a:pos x="T32" y="T33"/>
                </a:cxn>
                <a:cxn ang="T59">
                  <a:pos x="T34" y="T35"/>
                </a:cxn>
                <a:cxn ang="T60">
                  <a:pos x="T36" y="T37"/>
                </a:cxn>
                <a:cxn ang="T61">
                  <a:pos x="T38" y="T39"/>
                </a:cxn>
                <a:cxn ang="T62">
                  <a:pos x="T40" y="T41"/>
                </a:cxn>
              </a:cxnLst>
              <a:rect l="T63" t="T64" r="T65" b="T66"/>
              <a:pathLst>
                <a:path w="197" h="494">
                  <a:moveTo>
                    <a:pt x="0" y="188"/>
                  </a:moveTo>
                  <a:lnTo>
                    <a:pt x="0" y="172"/>
                  </a:lnTo>
                  <a:lnTo>
                    <a:pt x="0" y="121"/>
                  </a:lnTo>
                  <a:lnTo>
                    <a:pt x="1" y="109"/>
                  </a:lnTo>
                  <a:lnTo>
                    <a:pt x="8" y="106"/>
                  </a:lnTo>
                  <a:lnTo>
                    <a:pt x="23" y="97"/>
                  </a:lnTo>
                  <a:lnTo>
                    <a:pt x="77" y="67"/>
                  </a:lnTo>
                  <a:lnTo>
                    <a:pt x="120" y="42"/>
                  </a:lnTo>
                  <a:lnTo>
                    <a:pt x="146" y="27"/>
                  </a:lnTo>
                  <a:lnTo>
                    <a:pt x="172" y="13"/>
                  </a:lnTo>
                  <a:lnTo>
                    <a:pt x="186" y="4"/>
                  </a:lnTo>
                  <a:lnTo>
                    <a:pt x="194" y="0"/>
                  </a:lnTo>
                  <a:lnTo>
                    <a:pt x="197" y="0"/>
                  </a:lnTo>
                  <a:lnTo>
                    <a:pt x="196" y="72"/>
                  </a:lnTo>
                  <a:lnTo>
                    <a:pt x="196" y="343"/>
                  </a:lnTo>
                  <a:lnTo>
                    <a:pt x="196" y="393"/>
                  </a:lnTo>
                  <a:lnTo>
                    <a:pt x="190" y="397"/>
                  </a:lnTo>
                  <a:lnTo>
                    <a:pt x="18" y="491"/>
                  </a:lnTo>
                  <a:lnTo>
                    <a:pt x="5" y="494"/>
                  </a:lnTo>
                  <a:lnTo>
                    <a:pt x="1" y="492"/>
                  </a:lnTo>
                  <a:lnTo>
                    <a:pt x="0" y="188"/>
                  </a:lnTo>
                  <a:close/>
                </a:path>
              </a:pathLst>
            </a:custGeom>
            <a:gradFill rotWithShape="1">
              <a:gsLst>
                <a:gs pos="0">
                  <a:srgbClr val="FFFFFF"/>
                </a:gs>
                <a:gs pos="100000">
                  <a:srgbClr val="69FFFF"/>
                </a:gs>
              </a:gsLst>
              <a:lin ang="2700000" scaled="1"/>
            </a:gradFill>
            <a:ln w="57150" cmpd="sng">
              <a:solidFill>
                <a:srgbClr val="A6CAF0"/>
              </a:solidFill>
              <a:round/>
              <a:headEnd/>
              <a:tailEnd/>
            </a:ln>
          </xdr:spPr>
        </xdr:sp>
      </xdr:grpSp>
      <xdr:sp macro="" textlink="">
        <xdr:nvSpPr>
          <xdr:cNvPr id="119238" name="Text Box 454"/>
          <xdr:cNvSpPr txBox="1">
            <a:spLocks noChangeArrowheads="1"/>
          </xdr:cNvSpPr>
        </xdr:nvSpPr>
        <xdr:spPr bwMode="auto">
          <a:xfrm>
            <a:off x="7448550" y="428625"/>
            <a:ext cx="2828925" cy="428625"/>
          </a:xfrm>
          <a:prstGeom prst="rect">
            <a:avLst/>
          </a:prstGeom>
          <a:solidFill>
            <a:srgbClr val="FFFFFF"/>
          </a:solidFill>
          <a:ln>
            <a:noFill/>
          </a:ln>
          <a:extLst/>
        </xdr:spPr>
        <xdr:txBody>
          <a:bodyPr vertOverflow="clip" wrap="square" lIns="45720" tIns="41148" rIns="45720" bIns="0" anchor="t" upright="1"/>
          <a:lstStyle/>
          <a:p>
            <a:pPr algn="ctr" rtl="0">
              <a:defRPr sz="1000"/>
            </a:pPr>
            <a:r>
              <a:rPr lang="en-US" sz="2000" b="1" i="0" u="none" strike="noStrike" baseline="0">
                <a:solidFill>
                  <a:srgbClr val="993366"/>
                </a:solidFill>
                <a:latin typeface="Arial"/>
                <a:cs typeface="Arial"/>
              </a:rPr>
              <a:t>Cell Cross-Sections</a:t>
            </a:r>
          </a:p>
        </xdr:txBody>
      </xdr:sp>
      <xdr:grpSp>
        <xdr:nvGrpSpPr>
          <xdr:cNvPr id="10277" name="Group 455"/>
          <xdr:cNvGrpSpPr>
            <a:grpSpLocks/>
          </xdr:cNvGrpSpPr>
        </xdr:nvGrpSpPr>
        <xdr:grpSpPr bwMode="auto">
          <a:xfrm>
            <a:off x="7486650" y="1238250"/>
            <a:ext cx="2838450" cy="352425"/>
            <a:chOff x="87" y="208"/>
            <a:chExt cx="298" cy="37"/>
          </a:xfrm>
        </xdr:grpSpPr>
        <xdr:sp macro="" textlink="">
          <xdr:nvSpPr>
            <xdr:cNvPr id="10415" name="Freeform 456"/>
            <xdr:cNvSpPr>
              <a:spLocks/>
            </xdr:cNvSpPr>
          </xdr:nvSpPr>
          <xdr:spPr bwMode="auto">
            <a:xfrm>
              <a:off x="90" y="208"/>
              <a:ext cx="148" cy="31"/>
            </a:xfrm>
            <a:custGeom>
              <a:avLst/>
              <a:gdLst>
                <a:gd name="T0" fmla="*/ 0 w 148"/>
                <a:gd name="T1" fmla="*/ 10 h 31"/>
                <a:gd name="T2" fmla="*/ 9 w 148"/>
                <a:gd name="T3" fmla="*/ 21 h 31"/>
                <a:gd name="T4" fmla="*/ 13 w 148"/>
                <a:gd name="T5" fmla="*/ 27 h 31"/>
                <a:gd name="T6" fmla="*/ 16 w 148"/>
                <a:gd name="T7" fmla="*/ 30 h 31"/>
                <a:gd name="T8" fmla="*/ 21 w 148"/>
                <a:gd name="T9" fmla="*/ 31 h 31"/>
                <a:gd name="T10" fmla="*/ 20 w 148"/>
                <a:gd name="T11" fmla="*/ 7 h 31"/>
                <a:gd name="T12" fmla="*/ 22 w 148"/>
                <a:gd name="T13" fmla="*/ 2 h 31"/>
                <a:gd name="T14" fmla="*/ 27 w 148"/>
                <a:gd name="T15" fmla="*/ 0 h 31"/>
                <a:gd name="T16" fmla="*/ 148 w 148"/>
                <a:gd name="T17" fmla="*/ 0 h 31"/>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48"/>
                <a:gd name="T28" fmla="*/ 0 h 31"/>
                <a:gd name="T29" fmla="*/ 148 w 148"/>
                <a:gd name="T30" fmla="*/ 31 h 31"/>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48" h="31">
                  <a:moveTo>
                    <a:pt x="0" y="10"/>
                  </a:moveTo>
                  <a:lnTo>
                    <a:pt x="9" y="21"/>
                  </a:lnTo>
                  <a:lnTo>
                    <a:pt x="13" y="27"/>
                  </a:lnTo>
                  <a:lnTo>
                    <a:pt x="16" y="30"/>
                  </a:lnTo>
                  <a:lnTo>
                    <a:pt x="21" y="31"/>
                  </a:lnTo>
                  <a:lnTo>
                    <a:pt x="20" y="7"/>
                  </a:lnTo>
                  <a:lnTo>
                    <a:pt x="22" y="2"/>
                  </a:lnTo>
                  <a:lnTo>
                    <a:pt x="27" y="0"/>
                  </a:lnTo>
                  <a:lnTo>
                    <a:pt x="148" y="0"/>
                  </a:lnTo>
                </a:path>
              </a:pathLst>
            </a:custGeom>
            <a:noFill/>
            <a:ln w="28575" cmpd="sng">
              <a:solidFill>
                <a:srgbClr val="0000FF"/>
              </a:solidFill>
              <a:round/>
              <a:headEnd/>
              <a:tailEnd/>
            </a:ln>
          </xdr:spPr>
        </xdr:sp>
        <xdr:sp macro="" textlink="">
          <xdr:nvSpPr>
            <xdr:cNvPr id="10416" name="Rectangle 457" descr="Light horizontal"/>
            <xdr:cNvSpPr>
              <a:spLocks noChangeArrowheads="1"/>
            </xdr:cNvSpPr>
          </xdr:nvSpPr>
          <xdr:spPr bwMode="auto">
            <a:xfrm>
              <a:off x="113" y="210"/>
              <a:ext cx="246" cy="33"/>
            </a:xfrm>
            <a:prstGeom prst="rect">
              <a:avLst/>
            </a:prstGeom>
            <a:pattFill prst="ltHorz">
              <a:fgClr>
                <a:srgbClr val="000000"/>
              </a:fgClr>
              <a:bgClr>
                <a:srgbClr val="FFFFFF"/>
              </a:bgClr>
            </a:pattFill>
            <a:ln w="9525">
              <a:solidFill>
                <a:srgbClr val="000000"/>
              </a:solidFill>
              <a:miter lim="800000"/>
              <a:headEnd/>
              <a:tailEnd/>
            </a:ln>
          </xdr:spPr>
        </xdr:sp>
        <xdr:sp macro="" textlink="">
          <xdr:nvSpPr>
            <xdr:cNvPr id="10417" name="Freeform 458"/>
            <xdr:cNvSpPr>
              <a:spLocks/>
            </xdr:cNvSpPr>
          </xdr:nvSpPr>
          <xdr:spPr bwMode="auto">
            <a:xfrm>
              <a:off x="87" y="219"/>
              <a:ext cx="149" cy="26"/>
            </a:xfrm>
            <a:custGeom>
              <a:avLst/>
              <a:gdLst>
                <a:gd name="T0" fmla="*/ 0 w 149"/>
                <a:gd name="T1" fmla="*/ 0 h 26"/>
                <a:gd name="T2" fmla="*/ 18 w 149"/>
                <a:gd name="T3" fmla="*/ 22 h 26"/>
                <a:gd name="T4" fmla="*/ 23 w 149"/>
                <a:gd name="T5" fmla="*/ 26 h 26"/>
                <a:gd name="T6" fmla="*/ 30 w 149"/>
                <a:gd name="T7" fmla="*/ 26 h 26"/>
                <a:gd name="T8" fmla="*/ 149 w 149"/>
                <a:gd name="T9" fmla="*/ 26 h 26"/>
                <a:gd name="T10" fmla="*/ 0 60000 65536"/>
                <a:gd name="T11" fmla="*/ 0 60000 65536"/>
                <a:gd name="T12" fmla="*/ 0 60000 65536"/>
                <a:gd name="T13" fmla="*/ 0 60000 65536"/>
                <a:gd name="T14" fmla="*/ 0 60000 65536"/>
                <a:gd name="T15" fmla="*/ 0 w 149"/>
                <a:gd name="T16" fmla="*/ 0 h 26"/>
                <a:gd name="T17" fmla="*/ 149 w 149"/>
                <a:gd name="T18" fmla="*/ 26 h 26"/>
              </a:gdLst>
              <a:ahLst/>
              <a:cxnLst>
                <a:cxn ang="T10">
                  <a:pos x="T0" y="T1"/>
                </a:cxn>
                <a:cxn ang="T11">
                  <a:pos x="T2" y="T3"/>
                </a:cxn>
                <a:cxn ang="T12">
                  <a:pos x="T4" y="T5"/>
                </a:cxn>
                <a:cxn ang="T13">
                  <a:pos x="T6" y="T7"/>
                </a:cxn>
                <a:cxn ang="T14">
                  <a:pos x="T8" y="T9"/>
                </a:cxn>
              </a:cxnLst>
              <a:rect l="T15" t="T16" r="T17" b="T18"/>
              <a:pathLst>
                <a:path w="149" h="26">
                  <a:moveTo>
                    <a:pt x="0" y="0"/>
                  </a:moveTo>
                  <a:lnTo>
                    <a:pt x="18" y="22"/>
                  </a:lnTo>
                  <a:lnTo>
                    <a:pt x="23" y="26"/>
                  </a:lnTo>
                  <a:lnTo>
                    <a:pt x="30" y="26"/>
                  </a:lnTo>
                  <a:lnTo>
                    <a:pt x="149" y="26"/>
                  </a:lnTo>
                </a:path>
              </a:pathLst>
            </a:custGeom>
            <a:noFill/>
            <a:ln w="28575" cmpd="sng">
              <a:solidFill>
                <a:srgbClr val="0000FF"/>
              </a:solidFill>
              <a:round/>
              <a:headEnd/>
              <a:tailEnd/>
            </a:ln>
          </xdr:spPr>
        </xdr:sp>
        <xdr:sp macro="" textlink="">
          <xdr:nvSpPr>
            <xdr:cNvPr id="10418" name="Freeform 459"/>
            <xdr:cNvSpPr>
              <a:spLocks/>
            </xdr:cNvSpPr>
          </xdr:nvSpPr>
          <xdr:spPr bwMode="auto">
            <a:xfrm flipH="1">
              <a:off x="236" y="219"/>
              <a:ext cx="149" cy="26"/>
            </a:xfrm>
            <a:custGeom>
              <a:avLst/>
              <a:gdLst>
                <a:gd name="T0" fmla="*/ 0 w 149"/>
                <a:gd name="T1" fmla="*/ 0 h 26"/>
                <a:gd name="T2" fmla="*/ 18 w 149"/>
                <a:gd name="T3" fmla="*/ 22 h 26"/>
                <a:gd name="T4" fmla="*/ 23 w 149"/>
                <a:gd name="T5" fmla="*/ 26 h 26"/>
                <a:gd name="T6" fmla="*/ 30 w 149"/>
                <a:gd name="T7" fmla="*/ 26 h 26"/>
                <a:gd name="T8" fmla="*/ 149 w 149"/>
                <a:gd name="T9" fmla="*/ 26 h 26"/>
                <a:gd name="T10" fmla="*/ 0 60000 65536"/>
                <a:gd name="T11" fmla="*/ 0 60000 65536"/>
                <a:gd name="T12" fmla="*/ 0 60000 65536"/>
                <a:gd name="T13" fmla="*/ 0 60000 65536"/>
                <a:gd name="T14" fmla="*/ 0 60000 65536"/>
                <a:gd name="T15" fmla="*/ 0 w 149"/>
                <a:gd name="T16" fmla="*/ 0 h 26"/>
                <a:gd name="T17" fmla="*/ 149 w 149"/>
                <a:gd name="T18" fmla="*/ 26 h 26"/>
              </a:gdLst>
              <a:ahLst/>
              <a:cxnLst>
                <a:cxn ang="T10">
                  <a:pos x="T0" y="T1"/>
                </a:cxn>
                <a:cxn ang="T11">
                  <a:pos x="T2" y="T3"/>
                </a:cxn>
                <a:cxn ang="T12">
                  <a:pos x="T4" y="T5"/>
                </a:cxn>
                <a:cxn ang="T13">
                  <a:pos x="T6" y="T7"/>
                </a:cxn>
                <a:cxn ang="T14">
                  <a:pos x="T8" y="T9"/>
                </a:cxn>
              </a:cxnLst>
              <a:rect l="T15" t="T16" r="T17" b="T18"/>
              <a:pathLst>
                <a:path w="149" h="26">
                  <a:moveTo>
                    <a:pt x="0" y="0"/>
                  </a:moveTo>
                  <a:lnTo>
                    <a:pt x="18" y="22"/>
                  </a:lnTo>
                  <a:lnTo>
                    <a:pt x="23" y="26"/>
                  </a:lnTo>
                  <a:lnTo>
                    <a:pt x="30" y="26"/>
                  </a:lnTo>
                  <a:lnTo>
                    <a:pt x="149" y="26"/>
                  </a:lnTo>
                </a:path>
              </a:pathLst>
            </a:custGeom>
            <a:noFill/>
            <a:ln w="28575" cmpd="sng">
              <a:solidFill>
                <a:srgbClr val="0000FF"/>
              </a:solidFill>
              <a:round/>
              <a:headEnd/>
              <a:tailEnd/>
            </a:ln>
          </xdr:spPr>
        </xdr:sp>
        <xdr:sp macro="" textlink="">
          <xdr:nvSpPr>
            <xdr:cNvPr id="10419" name="Freeform 460"/>
            <xdr:cNvSpPr>
              <a:spLocks/>
            </xdr:cNvSpPr>
          </xdr:nvSpPr>
          <xdr:spPr bwMode="auto">
            <a:xfrm flipH="1">
              <a:off x="234" y="208"/>
              <a:ext cx="148" cy="31"/>
            </a:xfrm>
            <a:custGeom>
              <a:avLst/>
              <a:gdLst>
                <a:gd name="T0" fmla="*/ 0 w 148"/>
                <a:gd name="T1" fmla="*/ 10 h 31"/>
                <a:gd name="T2" fmla="*/ 9 w 148"/>
                <a:gd name="T3" fmla="*/ 21 h 31"/>
                <a:gd name="T4" fmla="*/ 13 w 148"/>
                <a:gd name="T5" fmla="*/ 27 h 31"/>
                <a:gd name="T6" fmla="*/ 16 w 148"/>
                <a:gd name="T7" fmla="*/ 30 h 31"/>
                <a:gd name="T8" fmla="*/ 21 w 148"/>
                <a:gd name="T9" fmla="*/ 31 h 31"/>
                <a:gd name="T10" fmla="*/ 20 w 148"/>
                <a:gd name="T11" fmla="*/ 7 h 31"/>
                <a:gd name="T12" fmla="*/ 22 w 148"/>
                <a:gd name="T13" fmla="*/ 2 h 31"/>
                <a:gd name="T14" fmla="*/ 27 w 148"/>
                <a:gd name="T15" fmla="*/ 0 h 31"/>
                <a:gd name="T16" fmla="*/ 148 w 148"/>
                <a:gd name="T17" fmla="*/ 0 h 31"/>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48"/>
                <a:gd name="T28" fmla="*/ 0 h 31"/>
                <a:gd name="T29" fmla="*/ 148 w 148"/>
                <a:gd name="T30" fmla="*/ 31 h 31"/>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48" h="31">
                  <a:moveTo>
                    <a:pt x="0" y="10"/>
                  </a:moveTo>
                  <a:lnTo>
                    <a:pt x="9" y="21"/>
                  </a:lnTo>
                  <a:lnTo>
                    <a:pt x="13" y="27"/>
                  </a:lnTo>
                  <a:lnTo>
                    <a:pt x="16" y="30"/>
                  </a:lnTo>
                  <a:lnTo>
                    <a:pt x="21" y="31"/>
                  </a:lnTo>
                  <a:lnTo>
                    <a:pt x="20" y="7"/>
                  </a:lnTo>
                  <a:lnTo>
                    <a:pt x="22" y="2"/>
                  </a:lnTo>
                  <a:lnTo>
                    <a:pt x="27" y="0"/>
                  </a:lnTo>
                  <a:lnTo>
                    <a:pt x="148" y="0"/>
                  </a:lnTo>
                </a:path>
              </a:pathLst>
            </a:custGeom>
            <a:noFill/>
            <a:ln w="28575" cmpd="sng">
              <a:solidFill>
                <a:srgbClr val="0000FF"/>
              </a:solidFill>
              <a:round/>
              <a:headEnd/>
              <a:tailEnd/>
            </a:ln>
          </xdr:spPr>
        </xdr:sp>
      </xdr:grpSp>
      <xdr:grpSp>
        <xdr:nvGrpSpPr>
          <xdr:cNvPr id="10278" name="Group 461"/>
          <xdr:cNvGrpSpPr>
            <a:grpSpLocks/>
          </xdr:cNvGrpSpPr>
        </xdr:nvGrpSpPr>
        <xdr:grpSpPr bwMode="auto">
          <a:xfrm>
            <a:off x="7581900" y="2390775"/>
            <a:ext cx="2524125" cy="390525"/>
            <a:chOff x="109" y="387"/>
            <a:chExt cx="265" cy="41"/>
          </a:xfrm>
        </xdr:grpSpPr>
        <xdr:sp macro="" textlink="">
          <xdr:nvSpPr>
            <xdr:cNvPr id="10408" name="Rectangle 462" descr="Light horizontal"/>
            <xdr:cNvSpPr>
              <a:spLocks noChangeArrowheads="1"/>
            </xdr:cNvSpPr>
          </xdr:nvSpPr>
          <xdr:spPr bwMode="auto">
            <a:xfrm>
              <a:off x="119" y="389"/>
              <a:ext cx="246" cy="33"/>
            </a:xfrm>
            <a:prstGeom prst="rect">
              <a:avLst/>
            </a:prstGeom>
            <a:pattFill prst="ltHorz">
              <a:fgClr>
                <a:srgbClr val="000000"/>
              </a:fgClr>
              <a:bgClr>
                <a:srgbClr val="FFFFFF"/>
              </a:bgClr>
            </a:pattFill>
            <a:ln w="9525">
              <a:solidFill>
                <a:srgbClr val="000000"/>
              </a:solidFill>
              <a:miter lim="800000"/>
              <a:headEnd/>
              <a:tailEnd/>
            </a:ln>
          </xdr:spPr>
        </xdr:sp>
        <xdr:grpSp>
          <xdr:nvGrpSpPr>
            <xdr:cNvPr id="10409" name="Group 463"/>
            <xdr:cNvGrpSpPr>
              <a:grpSpLocks/>
            </xdr:cNvGrpSpPr>
          </xdr:nvGrpSpPr>
          <xdr:grpSpPr bwMode="auto">
            <a:xfrm>
              <a:off x="112" y="387"/>
              <a:ext cx="133" cy="37"/>
              <a:chOff x="112" y="387"/>
              <a:chExt cx="154" cy="37"/>
            </a:xfrm>
          </xdr:grpSpPr>
          <xdr:sp macro="" textlink="">
            <xdr:nvSpPr>
              <xdr:cNvPr id="10413" name="Freeform 464"/>
              <xdr:cNvSpPr>
                <a:spLocks/>
              </xdr:cNvSpPr>
            </xdr:nvSpPr>
            <xdr:spPr bwMode="auto">
              <a:xfrm>
                <a:off x="115" y="387"/>
                <a:ext cx="149" cy="34"/>
              </a:xfrm>
              <a:custGeom>
                <a:avLst/>
                <a:gdLst>
                  <a:gd name="T0" fmla="*/ 0 w 149"/>
                  <a:gd name="T1" fmla="*/ 1 h 34"/>
                  <a:gd name="T2" fmla="*/ 0 w 149"/>
                  <a:gd name="T3" fmla="*/ 18 h 34"/>
                  <a:gd name="T4" fmla="*/ 0 w 149"/>
                  <a:gd name="T5" fmla="*/ 27 h 34"/>
                  <a:gd name="T6" fmla="*/ 0 w 149"/>
                  <a:gd name="T7" fmla="*/ 34 h 34"/>
                  <a:gd name="T8" fmla="*/ 3 w 149"/>
                  <a:gd name="T9" fmla="*/ 32 h 34"/>
                  <a:gd name="T10" fmla="*/ 3 w 149"/>
                  <a:gd name="T11" fmla="*/ 8 h 34"/>
                  <a:gd name="T12" fmla="*/ 3 w 149"/>
                  <a:gd name="T13" fmla="*/ 1 h 34"/>
                  <a:gd name="T14" fmla="*/ 9 w 149"/>
                  <a:gd name="T15" fmla="*/ 0 h 34"/>
                  <a:gd name="T16" fmla="*/ 149 w 149"/>
                  <a:gd name="T17" fmla="*/ 0 h 34"/>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49"/>
                  <a:gd name="T28" fmla="*/ 0 h 34"/>
                  <a:gd name="T29" fmla="*/ 149 w 149"/>
                  <a:gd name="T30" fmla="*/ 34 h 34"/>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49" h="34">
                    <a:moveTo>
                      <a:pt x="0" y="1"/>
                    </a:moveTo>
                    <a:lnTo>
                      <a:pt x="0" y="18"/>
                    </a:lnTo>
                    <a:lnTo>
                      <a:pt x="0" y="27"/>
                    </a:lnTo>
                    <a:lnTo>
                      <a:pt x="0" y="34"/>
                    </a:lnTo>
                    <a:lnTo>
                      <a:pt x="3" y="32"/>
                    </a:lnTo>
                    <a:lnTo>
                      <a:pt x="3" y="8"/>
                    </a:lnTo>
                    <a:lnTo>
                      <a:pt x="3" y="1"/>
                    </a:lnTo>
                    <a:lnTo>
                      <a:pt x="9" y="0"/>
                    </a:lnTo>
                    <a:lnTo>
                      <a:pt x="149" y="0"/>
                    </a:lnTo>
                  </a:path>
                </a:pathLst>
              </a:custGeom>
              <a:noFill/>
              <a:ln w="28575" cmpd="sng">
                <a:solidFill>
                  <a:srgbClr val="0000FF"/>
                </a:solidFill>
                <a:round/>
                <a:headEnd/>
                <a:tailEnd/>
              </a:ln>
            </xdr:spPr>
          </xdr:sp>
          <xdr:sp macro="" textlink="">
            <xdr:nvSpPr>
              <xdr:cNvPr id="10414" name="Freeform 465"/>
              <xdr:cNvSpPr>
                <a:spLocks/>
              </xdr:cNvSpPr>
            </xdr:nvSpPr>
            <xdr:spPr bwMode="auto">
              <a:xfrm>
                <a:off x="112" y="390"/>
                <a:ext cx="154" cy="34"/>
              </a:xfrm>
              <a:custGeom>
                <a:avLst/>
                <a:gdLst>
                  <a:gd name="T0" fmla="*/ 0 w 154"/>
                  <a:gd name="T1" fmla="*/ 0 h 34"/>
                  <a:gd name="T2" fmla="*/ 0 w 154"/>
                  <a:gd name="T3" fmla="*/ 18 h 34"/>
                  <a:gd name="T4" fmla="*/ 0 w 154"/>
                  <a:gd name="T5" fmla="*/ 32 h 34"/>
                  <a:gd name="T6" fmla="*/ 6 w 154"/>
                  <a:gd name="T7" fmla="*/ 34 h 34"/>
                  <a:gd name="T8" fmla="*/ 154 w 154"/>
                  <a:gd name="T9" fmla="*/ 34 h 34"/>
                  <a:gd name="T10" fmla="*/ 0 60000 65536"/>
                  <a:gd name="T11" fmla="*/ 0 60000 65536"/>
                  <a:gd name="T12" fmla="*/ 0 60000 65536"/>
                  <a:gd name="T13" fmla="*/ 0 60000 65536"/>
                  <a:gd name="T14" fmla="*/ 0 60000 65536"/>
                  <a:gd name="T15" fmla="*/ 0 w 154"/>
                  <a:gd name="T16" fmla="*/ 0 h 34"/>
                  <a:gd name="T17" fmla="*/ 154 w 154"/>
                  <a:gd name="T18" fmla="*/ 34 h 34"/>
                </a:gdLst>
                <a:ahLst/>
                <a:cxnLst>
                  <a:cxn ang="T10">
                    <a:pos x="T0" y="T1"/>
                  </a:cxn>
                  <a:cxn ang="T11">
                    <a:pos x="T2" y="T3"/>
                  </a:cxn>
                  <a:cxn ang="T12">
                    <a:pos x="T4" y="T5"/>
                  </a:cxn>
                  <a:cxn ang="T13">
                    <a:pos x="T6" y="T7"/>
                  </a:cxn>
                  <a:cxn ang="T14">
                    <a:pos x="T8" y="T9"/>
                  </a:cxn>
                </a:cxnLst>
                <a:rect l="T15" t="T16" r="T17" b="T18"/>
                <a:pathLst>
                  <a:path w="154" h="34">
                    <a:moveTo>
                      <a:pt x="0" y="0"/>
                    </a:moveTo>
                    <a:lnTo>
                      <a:pt x="0" y="18"/>
                    </a:lnTo>
                    <a:lnTo>
                      <a:pt x="0" y="32"/>
                    </a:lnTo>
                    <a:lnTo>
                      <a:pt x="6" y="34"/>
                    </a:lnTo>
                    <a:lnTo>
                      <a:pt x="154" y="34"/>
                    </a:lnTo>
                  </a:path>
                </a:pathLst>
              </a:custGeom>
              <a:noFill/>
              <a:ln w="28575" cmpd="sng">
                <a:solidFill>
                  <a:srgbClr val="0000FF"/>
                </a:solidFill>
                <a:round/>
                <a:headEnd/>
                <a:tailEnd/>
              </a:ln>
            </xdr:spPr>
          </xdr:sp>
        </xdr:grpSp>
        <xdr:sp macro="" textlink="">
          <xdr:nvSpPr>
            <xdr:cNvPr id="10410" name="Freeform 466"/>
            <xdr:cNvSpPr>
              <a:spLocks/>
            </xdr:cNvSpPr>
          </xdr:nvSpPr>
          <xdr:spPr bwMode="auto">
            <a:xfrm flipH="1">
              <a:off x="243" y="387"/>
              <a:ext cx="124" cy="34"/>
            </a:xfrm>
            <a:custGeom>
              <a:avLst/>
              <a:gdLst>
                <a:gd name="T0" fmla="*/ 0 w 149"/>
                <a:gd name="T1" fmla="*/ 1 h 34"/>
                <a:gd name="T2" fmla="*/ 0 w 149"/>
                <a:gd name="T3" fmla="*/ 18 h 34"/>
                <a:gd name="T4" fmla="*/ 0 w 149"/>
                <a:gd name="T5" fmla="*/ 27 h 34"/>
                <a:gd name="T6" fmla="*/ 0 w 149"/>
                <a:gd name="T7" fmla="*/ 34 h 34"/>
                <a:gd name="T8" fmla="*/ 2 w 149"/>
                <a:gd name="T9" fmla="*/ 32 h 34"/>
                <a:gd name="T10" fmla="*/ 2 w 149"/>
                <a:gd name="T11" fmla="*/ 8 h 34"/>
                <a:gd name="T12" fmla="*/ 2 w 149"/>
                <a:gd name="T13" fmla="*/ 1 h 34"/>
                <a:gd name="T14" fmla="*/ 2 w 149"/>
                <a:gd name="T15" fmla="*/ 0 h 34"/>
                <a:gd name="T16" fmla="*/ 2 w 149"/>
                <a:gd name="T17" fmla="*/ 0 h 34"/>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49"/>
                <a:gd name="T28" fmla="*/ 0 h 34"/>
                <a:gd name="T29" fmla="*/ 149 w 149"/>
                <a:gd name="T30" fmla="*/ 34 h 34"/>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49" h="34">
                  <a:moveTo>
                    <a:pt x="0" y="1"/>
                  </a:moveTo>
                  <a:lnTo>
                    <a:pt x="0" y="18"/>
                  </a:lnTo>
                  <a:lnTo>
                    <a:pt x="0" y="27"/>
                  </a:lnTo>
                  <a:lnTo>
                    <a:pt x="0" y="34"/>
                  </a:lnTo>
                  <a:lnTo>
                    <a:pt x="3" y="32"/>
                  </a:lnTo>
                  <a:lnTo>
                    <a:pt x="3" y="8"/>
                  </a:lnTo>
                  <a:lnTo>
                    <a:pt x="3" y="1"/>
                  </a:lnTo>
                  <a:lnTo>
                    <a:pt x="9" y="0"/>
                  </a:lnTo>
                  <a:lnTo>
                    <a:pt x="149" y="0"/>
                  </a:lnTo>
                </a:path>
              </a:pathLst>
            </a:custGeom>
            <a:noFill/>
            <a:ln w="28575" cmpd="sng">
              <a:solidFill>
                <a:srgbClr val="0000FF"/>
              </a:solidFill>
              <a:round/>
              <a:headEnd/>
              <a:tailEnd/>
            </a:ln>
          </xdr:spPr>
        </xdr:sp>
        <xdr:sp macro="" textlink="">
          <xdr:nvSpPr>
            <xdr:cNvPr id="10411" name="Freeform 467"/>
            <xdr:cNvSpPr>
              <a:spLocks/>
            </xdr:cNvSpPr>
          </xdr:nvSpPr>
          <xdr:spPr bwMode="auto">
            <a:xfrm flipH="1">
              <a:off x="244" y="390"/>
              <a:ext cx="126" cy="34"/>
            </a:xfrm>
            <a:custGeom>
              <a:avLst/>
              <a:gdLst>
                <a:gd name="T0" fmla="*/ 0 w 154"/>
                <a:gd name="T1" fmla="*/ 0 h 34"/>
                <a:gd name="T2" fmla="*/ 0 w 154"/>
                <a:gd name="T3" fmla="*/ 18 h 34"/>
                <a:gd name="T4" fmla="*/ 0 w 154"/>
                <a:gd name="T5" fmla="*/ 32 h 34"/>
                <a:gd name="T6" fmla="*/ 2 w 154"/>
                <a:gd name="T7" fmla="*/ 34 h 34"/>
                <a:gd name="T8" fmla="*/ 2 w 154"/>
                <a:gd name="T9" fmla="*/ 34 h 34"/>
                <a:gd name="T10" fmla="*/ 0 60000 65536"/>
                <a:gd name="T11" fmla="*/ 0 60000 65536"/>
                <a:gd name="T12" fmla="*/ 0 60000 65536"/>
                <a:gd name="T13" fmla="*/ 0 60000 65536"/>
                <a:gd name="T14" fmla="*/ 0 60000 65536"/>
                <a:gd name="T15" fmla="*/ 0 w 154"/>
                <a:gd name="T16" fmla="*/ 0 h 34"/>
                <a:gd name="T17" fmla="*/ 154 w 154"/>
                <a:gd name="T18" fmla="*/ 34 h 34"/>
              </a:gdLst>
              <a:ahLst/>
              <a:cxnLst>
                <a:cxn ang="T10">
                  <a:pos x="T0" y="T1"/>
                </a:cxn>
                <a:cxn ang="T11">
                  <a:pos x="T2" y="T3"/>
                </a:cxn>
                <a:cxn ang="T12">
                  <a:pos x="T4" y="T5"/>
                </a:cxn>
                <a:cxn ang="T13">
                  <a:pos x="T6" y="T7"/>
                </a:cxn>
                <a:cxn ang="T14">
                  <a:pos x="T8" y="T9"/>
                </a:cxn>
              </a:cxnLst>
              <a:rect l="T15" t="T16" r="T17" b="T18"/>
              <a:pathLst>
                <a:path w="154" h="34">
                  <a:moveTo>
                    <a:pt x="0" y="0"/>
                  </a:moveTo>
                  <a:lnTo>
                    <a:pt x="0" y="18"/>
                  </a:lnTo>
                  <a:lnTo>
                    <a:pt x="0" y="32"/>
                  </a:lnTo>
                  <a:lnTo>
                    <a:pt x="6" y="34"/>
                  </a:lnTo>
                  <a:lnTo>
                    <a:pt x="154" y="34"/>
                  </a:lnTo>
                </a:path>
              </a:pathLst>
            </a:custGeom>
            <a:noFill/>
            <a:ln w="28575" cmpd="sng">
              <a:solidFill>
                <a:srgbClr val="0000FF"/>
              </a:solidFill>
              <a:round/>
              <a:headEnd/>
              <a:tailEnd/>
            </a:ln>
          </xdr:spPr>
        </xdr:sp>
        <xdr:sp macro="" textlink="">
          <xdr:nvSpPr>
            <xdr:cNvPr id="10412" name="Freeform 468"/>
            <xdr:cNvSpPr>
              <a:spLocks/>
            </xdr:cNvSpPr>
          </xdr:nvSpPr>
          <xdr:spPr bwMode="auto">
            <a:xfrm>
              <a:off x="109" y="388"/>
              <a:ext cx="265" cy="40"/>
            </a:xfrm>
            <a:custGeom>
              <a:avLst/>
              <a:gdLst>
                <a:gd name="T0" fmla="*/ 0 w 269"/>
                <a:gd name="T1" fmla="*/ 0 h 40"/>
                <a:gd name="T2" fmla="*/ 0 w 269"/>
                <a:gd name="T3" fmla="*/ 40 h 40"/>
                <a:gd name="T4" fmla="*/ 191 w 269"/>
                <a:gd name="T5" fmla="*/ 40 h 40"/>
                <a:gd name="T6" fmla="*/ 191 w 269"/>
                <a:gd name="T7" fmla="*/ 0 h 40"/>
                <a:gd name="T8" fmla="*/ 0 60000 65536"/>
                <a:gd name="T9" fmla="*/ 0 60000 65536"/>
                <a:gd name="T10" fmla="*/ 0 60000 65536"/>
                <a:gd name="T11" fmla="*/ 0 60000 65536"/>
                <a:gd name="T12" fmla="*/ 0 w 269"/>
                <a:gd name="T13" fmla="*/ 0 h 40"/>
                <a:gd name="T14" fmla="*/ 269 w 269"/>
                <a:gd name="T15" fmla="*/ 40 h 40"/>
              </a:gdLst>
              <a:ahLst/>
              <a:cxnLst>
                <a:cxn ang="T8">
                  <a:pos x="T0" y="T1"/>
                </a:cxn>
                <a:cxn ang="T9">
                  <a:pos x="T2" y="T3"/>
                </a:cxn>
                <a:cxn ang="T10">
                  <a:pos x="T4" y="T5"/>
                </a:cxn>
                <a:cxn ang="T11">
                  <a:pos x="T6" y="T7"/>
                </a:cxn>
              </a:cxnLst>
              <a:rect l="T12" t="T13" r="T14" b="T15"/>
              <a:pathLst>
                <a:path w="269" h="40">
                  <a:moveTo>
                    <a:pt x="0" y="0"/>
                  </a:moveTo>
                  <a:lnTo>
                    <a:pt x="0" y="40"/>
                  </a:lnTo>
                  <a:lnTo>
                    <a:pt x="269" y="40"/>
                  </a:lnTo>
                  <a:lnTo>
                    <a:pt x="269" y="0"/>
                  </a:lnTo>
                </a:path>
              </a:pathLst>
            </a:custGeom>
            <a:noFill/>
            <a:ln w="47625" cap="flat" cmpd="sng">
              <a:pattFill prst="dkUpDiag">
                <a:fgClr>
                  <a:srgbClr val="000000"/>
                </a:fgClr>
                <a:bgClr>
                  <a:srgbClr val="A6CAF0"/>
                </a:bgClr>
              </a:pattFill>
              <a:prstDash val="solid"/>
              <a:round/>
              <a:headEnd type="none" w="med" len="med"/>
              <a:tailEnd type="none" w="med" len="med"/>
            </a:ln>
          </xdr:spPr>
        </xdr:sp>
      </xdr:grpSp>
      <xdr:sp macro="" textlink="">
        <xdr:nvSpPr>
          <xdr:cNvPr id="119253" name="Text Box 469"/>
          <xdr:cNvSpPr txBox="1">
            <a:spLocks noChangeArrowheads="1"/>
          </xdr:cNvSpPr>
        </xdr:nvSpPr>
        <xdr:spPr bwMode="auto">
          <a:xfrm>
            <a:off x="7781925" y="1628775"/>
            <a:ext cx="2190750" cy="476250"/>
          </a:xfrm>
          <a:prstGeom prst="rect">
            <a:avLst/>
          </a:prstGeom>
          <a:solidFill>
            <a:srgbClr val="FFFFFF"/>
          </a:solidFill>
          <a:ln>
            <a:noFill/>
          </a:ln>
          <a:extLst/>
        </xdr:spPr>
        <xdr:txBody>
          <a:bodyPr vertOverflow="clip" wrap="square" lIns="45720" tIns="36576" rIns="0" bIns="0" anchor="t" upright="1"/>
          <a:lstStyle/>
          <a:p>
            <a:pPr algn="l" rtl="0">
              <a:defRPr sz="1000"/>
            </a:pPr>
            <a:r>
              <a:rPr lang="en-US" sz="1800" b="1" i="0" u="none" strike="noStrike" baseline="0">
                <a:solidFill>
                  <a:srgbClr val="000000"/>
                </a:solidFill>
                <a:latin typeface="Arial"/>
                <a:cs typeface="Arial"/>
              </a:rPr>
              <a:t>After Edge Sealing</a:t>
            </a:r>
          </a:p>
        </xdr:txBody>
      </xdr:sp>
      <xdr:sp macro="" textlink="">
        <xdr:nvSpPr>
          <xdr:cNvPr id="119254" name="Text Box 470"/>
          <xdr:cNvSpPr txBox="1">
            <a:spLocks noChangeArrowheads="1"/>
          </xdr:cNvSpPr>
        </xdr:nvSpPr>
        <xdr:spPr bwMode="auto">
          <a:xfrm>
            <a:off x="7439025" y="2952750"/>
            <a:ext cx="2886075" cy="904875"/>
          </a:xfrm>
          <a:prstGeom prst="rect">
            <a:avLst/>
          </a:prstGeom>
          <a:solidFill>
            <a:srgbClr val="FFFFFF"/>
          </a:solidFill>
          <a:ln>
            <a:noFill/>
          </a:ln>
          <a:extLst/>
        </xdr:spPr>
        <xdr:txBody>
          <a:bodyPr vertOverflow="clip" wrap="square" lIns="45720" tIns="36576" rIns="45720" bIns="0" anchor="t" upright="1"/>
          <a:lstStyle/>
          <a:p>
            <a:pPr algn="ctr" rtl="0">
              <a:defRPr sz="1000"/>
            </a:pPr>
            <a:r>
              <a:rPr lang="en-US" sz="1800" b="1" i="0" u="none" strike="noStrike" baseline="0">
                <a:solidFill>
                  <a:srgbClr val="000000"/>
                </a:solidFill>
                <a:latin typeface="Arial"/>
                <a:cs typeface="Arial"/>
              </a:rPr>
              <a:t>After Edge Shaping and Addition of Aluminum Conduction Channel</a:t>
            </a:r>
          </a:p>
        </xdr:txBody>
      </xdr:sp>
      <xdr:sp macro="" textlink="">
        <xdr:nvSpPr>
          <xdr:cNvPr id="10281" name="Rectangle 471"/>
          <xdr:cNvSpPr>
            <a:spLocks noChangeArrowheads="1"/>
          </xdr:cNvSpPr>
        </xdr:nvSpPr>
        <xdr:spPr bwMode="auto">
          <a:xfrm>
            <a:off x="4314825" y="1838325"/>
            <a:ext cx="485775" cy="3749040"/>
          </a:xfrm>
          <a:prstGeom prst="rect">
            <a:avLst/>
          </a:prstGeom>
          <a:solidFill>
            <a:srgbClr val="99CCFF"/>
          </a:solidFill>
          <a:ln w="9525">
            <a:solidFill>
              <a:srgbClr val="000000"/>
            </a:solidFill>
            <a:miter lim="800000"/>
            <a:headEnd/>
            <a:tailEnd/>
          </a:ln>
        </xdr:spPr>
      </xdr:sp>
      <xdr:sp macro="" textlink="">
        <xdr:nvSpPr>
          <xdr:cNvPr id="10282" name="Freeform 472"/>
          <xdr:cNvSpPr>
            <a:spLocks/>
          </xdr:cNvSpPr>
        </xdr:nvSpPr>
        <xdr:spPr bwMode="auto">
          <a:xfrm>
            <a:off x="4314825" y="1743075"/>
            <a:ext cx="523875" cy="95250"/>
          </a:xfrm>
          <a:custGeom>
            <a:avLst/>
            <a:gdLst>
              <a:gd name="T0" fmla="*/ 2147483647 w 55"/>
              <a:gd name="T1" fmla="*/ 2147483647 h 10"/>
              <a:gd name="T2" fmla="*/ 2147483647 w 55"/>
              <a:gd name="T3" fmla="*/ 2147483647 h 10"/>
              <a:gd name="T4" fmla="*/ 2147483647 w 55"/>
              <a:gd name="T5" fmla="*/ 2147483647 h 10"/>
              <a:gd name="T6" fmla="*/ 2147483647 w 55"/>
              <a:gd name="T7" fmla="*/ 0 h 10"/>
              <a:gd name="T8" fmla="*/ 2147483647 w 55"/>
              <a:gd name="T9" fmla="*/ 2147483647 h 10"/>
              <a:gd name="T10" fmla="*/ 0 w 55"/>
              <a:gd name="T11" fmla="*/ 2147483647 h 10"/>
              <a:gd name="T12" fmla="*/ 2147483647 w 55"/>
              <a:gd name="T13" fmla="*/ 2147483647 h 10"/>
              <a:gd name="T14" fmla="*/ 0 60000 65536"/>
              <a:gd name="T15" fmla="*/ 0 60000 65536"/>
              <a:gd name="T16" fmla="*/ 0 60000 65536"/>
              <a:gd name="T17" fmla="*/ 0 60000 65536"/>
              <a:gd name="T18" fmla="*/ 0 60000 65536"/>
              <a:gd name="T19" fmla="*/ 0 60000 65536"/>
              <a:gd name="T20" fmla="*/ 0 60000 65536"/>
              <a:gd name="T21" fmla="*/ 0 w 55"/>
              <a:gd name="T22" fmla="*/ 0 h 10"/>
              <a:gd name="T23" fmla="*/ 55 w 55"/>
              <a:gd name="T24" fmla="*/ 10 h 10"/>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5" h="10">
                <a:moveTo>
                  <a:pt x="51" y="10"/>
                </a:moveTo>
                <a:lnTo>
                  <a:pt x="55" y="6"/>
                </a:lnTo>
                <a:lnTo>
                  <a:pt x="14" y="6"/>
                </a:lnTo>
                <a:lnTo>
                  <a:pt x="14" y="0"/>
                </a:lnTo>
                <a:lnTo>
                  <a:pt x="7" y="5"/>
                </a:lnTo>
                <a:lnTo>
                  <a:pt x="0" y="10"/>
                </a:lnTo>
                <a:lnTo>
                  <a:pt x="51" y="10"/>
                </a:lnTo>
                <a:close/>
              </a:path>
            </a:pathLst>
          </a:custGeom>
          <a:solidFill>
            <a:srgbClr val="99CCFF"/>
          </a:solidFill>
          <a:ln w="9525">
            <a:solidFill>
              <a:srgbClr val="000000"/>
            </a:solidFill>
            <a:round/>
            <a:headEnd/>
            <a:tailEnd/>
          </a:ln>
        </xdr:spPr>
      </xdr:sp>
      <xdr:sp macro="" textlink="">
        <xdr:nvSpPr>
          <xdr:cNvPr id="10283" name="Freeform 473"/>
          <xdr:cNvSpPr>
            <a:spLocks/>
          </xdr:cNvSpPr>
        </xdr:nvSpPr>
        <xdr:spPr bwMode="auto">
          <a:xfrm>
            <a:off x="4800600" y="1800225"/>
            <a:ext cx="28575" cy="3794760"/>
          </a:xfrm>
          <a:custGeom>
            <a:avLst/>
            <a:gdLst>
              <a:gd name="T0" fmla="*/ 0 w 3"/>
              <a:gd name="T1" fmla="*/ 2147483647 h 416"/>
              <a:gd name="T2" fmla="*/ 2147483647 w 3"/>
              <a:gd name="T3" fmla="*/ 2147483647 h 416"/>
              <a:gd name="T4" fmla="*/ 2147483647 w 3"/>
              <a:gd name="T5" fmla="*/ 0 h 416"/>
              <a:gd name="T6" fmla="*/ 2147483647 w 3"/>
              <a:gd name="T7" fmla="*/ 2147483647 h 416"/>
              <a:gd name="T8" fmla="*/ 0 w 3"/>
              <a:gd name="T9" fmla="*/ 2147483647 h 416"/>
              <a:gd name="T10" fmla="*/ 0 60000 65536"/>
              <a:gd name="T11" fmla="*/ 0 60000 65536"/>
              <a:gd name="T12" fmla="*/ 0 60000 65536"/>
              <a:gd name="T13" fmla="*/ 0 60000 65536"/>
              <a:gd name="T14" fmla="*/ 0 60000 65536"/>
              <a:gd name="T15" fmla="*/ 0 w 3"/>
              <a:gd name="T16" fmla="*/ 0 h 416"/>
              <a:gd name="T17" fmla="*/ 3 w 3"/>
              <a:gd name="T18" fmla="*/ 416 h 416"/>
            </a:gdLst>
            <a:ahLst/>
            <a:cxnLst>
              <a:cxn ang="T10">
                <a:pos x="T0" y="T1"/>
              </a:cxn>
              <a:cxn ang="T11">
                <a:pos x="T2" y="T3"/>
              </a:cxn>
              <a:cxn ang="T12">
                <a:pos x="T4" y="T5"/>
              </a:cxn>
              <a:cxn ang="T13">
                <a:pos x="T6" y="T7"/>
              </a:cxn>
              <a:cxn ang="T14">
                <a:pos x="T8" y="T9"/>
              </a:cxn>
            </a:cxnLst>
            <a:rect l="T15" t="T16" r="T17" b="T18"/>
            <a:pathLst>
              <a:path w="3" h="416">
                <a:moveTo>
                  <a:pt x="0" y="416"/>
                </a:moveTo>
                <a:lnTo>
                  <a:pt x="1" y="4"/>
                </a:lnTo>
                <a:lnTo>
                  <a:pt x="3" y="0"/>
                </a:lnTo>
                <a:lnTo>
                  <a:pt x="3" y="412"/>
                </a:lnTo>
                <a:lnTo>
                  <a:pt x="0" y="416"/>
                </a:lnTo>
                <a:close/>
              </a:path>
            </a:pathLst>
          </a:custGeom>
          <a:solidFill>
            <a:srgbClr val="99CCFF"/>
          </a:solidFill>
          <a:ln w="9525">
            <a:solidFill>
              <a:srgbClr val="000000"/>
            </a:solidFill>
            <a:round/>
            <a:headEnd/>
            <a:tailEnd/>
          </a:ln>
        </xdr:spPr>
      </xdr:sp>
      <xdr:sp macro="" textlink="">
        <xdr:nvSpPr>
          <xdr:cNvPr id="119258" name="AutoShape 474"/>
          <xdr:cNvSpPr>
            <a:spLocks/>
          </xdr:cNvSpPr>
        </xdr:nvSpPr>
        <xdr:spPr bwMode="auto">
          <a:xfrm>
            <a:off x="819150" y="5000625"/>
            <a:ext cx="1733550" cy="847725"/>
          </a:xfrm>
          <a:prstGeom prst="callout2">
            <a:avLst>
              <a:gd name="adj1" fmla="val 13481"/>
              <a:gd name="adj2" fmla="val 104394"/>
              <a:gd name="adj3" fmla="val 13481"/>
              <a:gd name="adj4" fmla="val 148903"/>
              <a:gd name="adj5" fmla="val -101125"/>
              <a:gd name="adj6" fmla="val 214833"/>
            </a:avLst>
          </a:prstGeom>
          <a:solidFill>
            <a:srgbClr val="FFFFFF"/>
          </a:solidFill>
          <a:ln w="12700">
            <a:solidFill>
              <a:srgbClr val="000000"/>
            </a:solidFill>
            <a:miter lim="800000"/>
            <a:headEnd/>
            <a:tailEnd type="triangle" w="lg" len="lg"/>
          </a:ln>
        </xdr:spPr>
        <xdr:txBody>
          <a:bodyPr vertOverflow="clip" wrap="square" lIns="0" tIns="32004" rIns="36576" bIns="0" anchor="t" upright="1"/>
          <a:lstStyle/>
          <a:p>
            <a:pPr algn="r" rtl="0">
              <a:defRPr sz="1000"/>
            </a:pPr>
            <a:r>
              <a:rPr lang="en-US" sz="1600" b="1" i="0" u="none" strike="noStrike" baseline="0">
                <a:solidFill>
                  <a:srgbClr val="000000"/>
                </a:solidFill>
                <a:latin typeface="Arial"/>
                <a:cs typeface="Arial"/>
              </a:rPr>
              <a:t>Aluminum Conduction Channel</a:t>
            </a:r>
          </a:p>
        </xdr:txBody>
      </xdr:sp>
    </xdr:grpSp>
    <xdr:clientData/>
  </xdr:twoCellAnchor>
  <xdr:twoCellAnchor>
    <xdr:from>
      <xdr:col>2</xdr:col>
      <xdr:colOff>371475</xdr:colOff>
      <xdr:row>92</xdr:row>
      <xdr:rowOff>38100</xdr:rowOff>
    </xdr:from>
    <xdr:to>
      <xdr:col>13</xdr:col>
      <xdr:colOff>333375</xdr:colOff>
      <xdr:row>112</xdr:row>
      <xdr:rowOff>47625</xdr:rowOff>
    </xdr:to>
    <xdr:grpSp>
      <xdr:nvGrpSpPr>
        <xdr:cNvPr id="10293" name="Group 294"/>
        <xdr:cNvGrpSpPr>
          <a:grpSpLocks/>
        </xdr:cNvGrpSpPr>
      </xdr:nvGrpSpPr>
      <xdr:grpSpPr bwMode="auto">
        <a:xfrm>
          <a:off x="1590675" y="14935200"/>
          <a:ext cx="6667500" cy="3248025"/>
          <a:chOff x="0" y="0"/>
          <a:chExt cx="700" cy="341"/>
        </a:xfrm>
      </xdr:grpSpPr>
      <xdr:sp macro="" textlink="">
        <xdr:nvSpPr>
          <xdr:cNvPr id="10308" name="Rectangle 296"/>
          <xdr:cNvSpPr>
            <a:spLocks noChangeArrowheads="1"/>
          </xdr:cNvSpPr>
        </xdr:nvSpPr>
        <xdr:spPr bwMode="auto">
          <a:xfrm>
            <a:off x="0" y="0"/>
            <a:ext cx="448" cy="340"/>
          </a:xfrm>
          <a:prstGeom prst="rect">
            <a:avLst/>
          </a:prstGeom>
          <a:solidFill>
            <a:srgbClr val="FF9933"/>
          </a:solidFill>
          <a:ln w="9525">
            <a:solidFill>
              <a:srgbClr val="000000"/>
            </a:solidFill>
            <a:miter lim="800000"/>
            <a:headEnd/>
            <a:tailEnd/>
          </a:ln>
        </xdr:spPr>
      </xdr:sp>
      <xdr:sp macro="" textlink="">
        <xdr:nvSpPr>
          <xdr:cNvPr id="10309" name="Rectangle 297" descr="Granite"/>
          <xdr:cNvSpPr>
            <a:spLocks noChangeArrowheads="1"/>
          </xdr:cNvSpPr>
        </xdr:nvSpPr>
        <xdr:spPr bwMode="auto">
          <a:xfrm>
            <a:off x="0" y="9"/>
            <a:ext cx="448" cy="153"/>
          </a:xfrm>
          <a:prstGeom prst="rect">
            <a:avLst/>
          </a:prstGeom>
          <a:blipFill dpi="0" rotWithShape="1">
            <a:blip xmlns:r="http://schemas.openxmlformats.org/officeDocument/2006/relationships" r:embed="rId1" cstate="print"/>
            <a:srcRect/>
            <a:tile tx="0" ty="0" sx="100000" sy="100000" flip="none" algn="tl"/>
          </a:blipFill>
          <a:ln w="9525">
            <a:solidFill>
              <a:srgbClr val="000000"/>
            </a:solidFill>
            <a:miter lim="800000"/>
            <a:headEnd/>
            <a:tailEnd/>
          </a:ln>
        </xdr:spPr>
      </xdr:sp>
      <xdr:sp macro="" textlink="">
        <xdr:nvSpPr>
          <xdr:cNvPr id="10310" name="Rectangle 298" descr="Granite"/>
          <xdr:cNvSpPr>
            <a:spLocks noChangeArrowheads="1"/>
          </xdr:cNvSpPr>
        </xdr:nvSpPr>
        <xdr:spPr bwMode="auto">
          <a:xfrm>
            <a:off x="0" y="179"/>
            <a:ext cx="448" cy="154"/>
          </a:xfrm>
          <a:prstGeom prst="rect">
            <a:avLst/>
          </a:prstGeom>
          <a:blipFill dpi="0" rotWithShape="1">
            <a:blip xmlns:r="http://schemas.openxmlformats.org/officeDocument/2006/relationships" r:embed="rId1" cstate="print"/>
            <a:srcRect/>
            <a:tile tx="0" ty="0" sx="100000" sy="100000" flip="none" algn="tl"/>
          </a:blipFill>
          <a:ln w="9525">
            <a:solidFill>
              <a:srgbClr val="000000"/>
            </a:solidFill>
            <a:miter lim="800000"/>
            <a:headEnd/>
            <a:tailEnd/>
          </a:ln>
        </xdr:spPr>
      </xdr:sp>
      <xdr:sp macro="" textlink="">
        <xdr:nvSpPr>
          <xdr:cNvPr id="10311" name="Line 370"/>
          <xdr:cNvSpPr>
            <a:spLocks noChangeShapeType="1"/>
          </xdr:cNvSpPr>
        </xdr:nvSpPr>
        <xdr:spPr bwMode="auto">
          <a:xfrm>
            <a:off x="64" y="0"/>
            <a:ext cx="0" cy="340"/>
          </a:xfrm>
          <a:prstGeom prst="line">
            <a:avLst/>
          </a:prstGeom>
          <a:noFill/>
          <a:ln w="19050">
            <a:solidFill>
              <a:srgbClr val="000000"/>
            </a:solidFill>
            <a:prstDash val="dash"/>
            <a:round/>
            <a:headEnd/>
            <a:tailEnd/>
          </a:ln>
        </xdr:spPr>
      </xdr:sp>
      <xdr:sp macro="" textlink="">
        <xdr:nvSpPr>
          <xdr:cNvPr id="10312" name="Line 371"/>
          <xdr:cNvSpPr>
            <a:spLocks noChangeShapeType="1"/>
          </xdr:cNvSpPr>
        </xdr:nvSpPr>
        <xdr:spPr bwMode="auto">
          <a:xfrm>
            <a:off x="128" y="0"/>
            <a:ext cx="0" cy="340"/>
          </a:xfrm>
          <a:prstGeom prst="line">
            <a:avLst/>
          </a:prstGeom>
          <a:noFill/>
          <a:ln w="19050">
            <a:solidFill>
              <a:srgbClr val="000000"/>
            </a:solidFill>
            <a:prstDash val="dash"/>
            <a:round/>
            <a:headEnd/>
            <a:tailEnd/>
          </a:ln>
        </xdr:spPr>
      </xdr:sp>
      <xdr:sp macro="" textlink="">
        <xdr:nvSpPr>
          <xdr:cNvPr id="10313" name="Line 372"/>
          <xdr:cNvSpPr>
            <a:spLocks noChangeShapeType="1"/>
          </xdr:cNvSpPr>
        </xdr:nvSpPr>
        <xdr:spPr bwMode="auto">
          <a:xfrm>
            <a:off x="192" y="1"/>
            <a:ext cx="0" cy="340"/>
          </a:xfrm>
          <a:prstGeom prst="line">
            <a:avLst/>
          </a:prstGeom>
          <a:noFill/>
          <a:ln w="19050">
            <a:solidFill>
              <a:srgbClr val="000000"/>
            </a:solidFill>
            <a:prstDash val="dash"/>
            <a:round/>
            <a:headEnd/>
            <a:tailEnd/>
          </a:ln>
        </xdr:spPr>
      </xdr:sp>
      <xdr:sp macro="" textlink="">
        <xdr:nvSpPr>
          <xdr:cNvPr id="10314" name="Line 373"/>
          <xdr:cNvSpPr>
            <a:spLocks noChangeShapeType="1"/>
          </xdr:cNvSpPr>
        </xdr:nvSpPr>
        <xdr:spPr bwMode="auto">
          <a:xfrm>
            <a:off x="256" y="1"/>
            <a:ext cx="0" cy="340"/>
          </a:xfrm>
          <a:prstGeom prst="line">
            <a:avLst/>
          </a:prstGeom>
          <a:noFill/>
          <a:ln w="19050">
            <a:solidFill>
              <a:srgbClr val="000000"/>
            </a:solidFill>
            <a:prstDash val="dash"/>
            <a:round/>
            <a:headEnd/>
            <a:tailEnd/>
          </a:ln>
        </xdr:spPr>
      </xdr:sp>
      <xdr:sp macro="" textlink="">
        <xdr:nvSpPr>
          <xdr:cNvPr id="10315" name="Line 374"/>
          <xdr:cNvSpPr>
            <a:spLocks noChangeShapeType="1"/>
          </xdr:cNvSpPr>
        </xdr:nvSpPr>
        <xdr:spPr bwMode="auto">
          <a:xfrm>
            <a:off x="320" y="0"/>
            <a:ext cx="0" cy="340"/>
          </a:xfrm>
          <a:prstGeom prst="line">
            <a:avLst/>
          </a:prstGeom>
          <a:noFill/>
          <a:ln w="19050">
            <a:solidFill>
              <a:srgbClr val="000000"/>
            </a:solidFill>
            <a:prstDash val="dash"/>
            <a:round/>
            <a:headEnd/>
            <a:tailEnd/>
          </a:ln>
        </xdr:spPr>
      </xdr:sp>
      <xdr:sp macro="" textlink="">
        <xdr:nvSpPr>
          <xdr:cNvPr id="10316" name="Line 375"/>
          <xdr:cNvSpPr>
            <a:spLocks noChangeShapeType="1"/>
          </xdr:cNvSpPr>
        </xdr:nvSpPr>
        <xdr:spPr bwMode="auto">
          <a:xfrm>
            <a:off x="384" y="0"/>
            <a:ext cx="0" cy="340"/>
          </a:xfrm>
          <a:prstGeom prst="line">
            <a:avLst/>
          </a:prstGeom>
          <a:noFill/>
          <a:ln w="19050">
            <a:solidFill>
              <a:srgbClr val="000000"/>
            </a:solidFill>
            <a:prstDash val="dash"/>
            <a:round/>
            <a:headEnd/>
            <a:tailEnd/>
          </a:ln>
        </xdr:spPr>
      </xdr:sp>
      <xdr:sp macro="" textlink="">
        <xdr:nvSpPr>
          <xdr:cNvPr id="10317" name="Line 376"/>
          <xdr:cNvSpPr>
            <a:spLocks noChangeShapeType="1"/>
          </xdr:cNvSpPr>
        </xdr:nvSpPr>
        <xdr:spPr bwMode="auto">
          <a:xfrm>
            <a:off x="0" y="85"/>
            <a:ext cx="448" cy="0"/>
          </a:xfrm>
          <a:prstGeom prst="line">
            <a:avLst/>
          </a:prstGeom>
          <a:noFill/>
          <a:ln w="19050">
            <a:solidFill>
              <a:srgbClr val="000000"/>
            </a:solidFill>
            <a:prstDash val="dash"/>
            <a:round/>
            <a:headEnd/>
            <a:tailEnd/>
          </a:ln>
        </xdr:spPr>
      </xdr:sp>
      <xdr:sp macro="" textlink="">
        <xdr:nvSpPr>
          <xdr:cNvPr id="10318" name="Line 377"/>
          <xdr:cNvSpPr>
            <a:spLocks noChangeShapeType="1"/>
          </xdr:cNvSpPr>
        </xdr:nvSpPr>
        <xdr:spPr bwMode="auto">
          <a:xfrm>
            <a:off x="0" y="171"/>
            <a:ext cx="448" cy="0"/>
          </a:xfrm>
          <a:prstGeom prst="line">
            <a:avLst/>
          </a:prstGeom>
          <a:noFill/>
          <a:ln w="19050">
            <a:solidFill>
              <a:srgbClr val="000000"/>
            </a:solidFill>
            <a:prstDash val="dash"/>
            <a:round/>
            <a:headEnd/>
            <a:tailEnd/>
          </a:ln>
        </xdr:spPr>
      </xdr:sp>
      <xdr:sp macro="" textlink="">
        <xdr:nvSpPr>
          <xdr:cNvPr id="10319" name="Line 378"/>
          <xdr:cNvSpPr>
            <a:spLocks noChangeShapeType="1"/>
          </xdr:cNvSpPr>
        </xdr:nvSpPr>
        <xdr:spPr bwMode="auto">
          <a:xfrm>
            <a:off x="0" y="256"/>
            <a:ext cx="448" cy="0"/>
          </a:xfrm>
          <a:prstGeom prst="line">
            <a:avLst/>
          </a:prstGeom>
          <a:noFill/>
          <a:ln w="19050">
            <a:solidFill>
              <a:srgbClr val="000000"/>
            </a:solidFill>
            <a:prstDash val="dash"/>
            <a:round/>
            <a:headEnd/>
            <a:tailEnd/>
          </a:ln>
        </xdr:spPr>
      </xdr:sp>
      <xdr:sp macro="" textlink="">
        <xdr:nvSpPr>
          <xdr:cNvPr id="309" name="AutoShape 379"/>
          <xdr:cNvSpPr>
            <a:spLocks/>
          </xdr:cNvSpPr>
        </xdr:nvSpPr>
        <xdr:spPr bwMode="auto">
          <a:xfrm>
            <a:off x="527" y="20"/>
            <a:ext cx="122" cy="64"/>
          </a:xfrm>
          <a:prstGeom prst="callout2">
            <a:avLst>
              <a:gd name="adj1" fmla="val 18750"/>
              <a:gd name="adj2" fmla="val -6556"/>
              <a:gd name="adj3" fmla="val 18750"/>
              <a:gd name="adj4" fmla="val -50000"/>
              <a:gd name="adj5" fmla="val 45315"/>
              <a:gd name="adj6" fmla="val -85245"/>
            </a:avLst>
          </a:prstGeom>
          <a:solidFill>
            <a:srgbClr val="FFFFFF"/>
          </a:solidFill>
          <a:ln w="9525">
            <a:solidFill>
              <a:srgbClr val="000000"/>
            </a:solidFill>
            <a:miter lim="800000"/>
            <a:headEnd/>
            <a:tailEnd type="triangle" w="lg" len="lg"/>
          </a:ln>
        </xdr:spPr>
        <xdr:txBody>
          <a:bodyPr wrap="square" lIns="45720" tIns="36576" rIns="0" bIns="0" anchor="t"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r>
              <a:rPr lang="en-US" sz="1800" b="1" i="0" u="none" strike="noStrike" baseline="0">
                <a:solidFill>
                  <a:srgbClr val="000000"/>
                </a:solidFill>
                <a:latin typeface="Arial"/>
                <a:cs typeface="Arial"/>
              </a:rPr>
              <a:t>Electrode Coating</a:t>
            </a:r>
          </a:p>
        </xdr:txBody>
      </xdr:sp>
      <xdr:sp macro="" textlink="">
        <xdr:nvSpPr>
          <xdr:cNvPr id="310" name="AutoShape 380"/>
          <xdr:cNvSpPr>
            <a:spLocks/>
          </xdr:cNvSpPr>
        </xdr:nvSpPr>
        <xdr:spPr bwMode="auto">
          <a:xfrm>
            <a:off x="500" y="238"/>
            <a:ext cx="200" cy="99"/>
          </a:xfrm>
          <a:prstGeom prst="callout2">
            <a:avLst>
              <a:gd name="adj1" fmla="val 12120"/>
              <a:gd name="adj2" fmla="val -4000"/>
              <a:gd name="adj3" fmla="val 12120"/>
              <a:gd name="adj4" fmla="val -20500"/>
              <a:gd name="adj5" fmla="val 57574"/>
              <a:gd name="adj6" fmla="val -58500"/>
            </a:avLst>
          </a:prstGeom>
          <a:solidFill>
            <a:srgbClr val="FFFFFF"/>
          </a:solidFill>
          <a:ln w="9525">
            <a:solidFill>
              <a:srgbClr val="000000"/>
            </a:solidFill>
            <a:miter lim="800000"/>
            <a:headEnd/>
            <a:tailEnd type="triangle" w="lg" len="lg"/>
          </a:ln>
        </xdr:spPr>
        <xdr:txBody>
          <a:bodyPr wrap="square" lIns="45720" tIns="36576" rIns="0" bIns="0" anchor="t"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r>
              <a:rPr lang="en-US" sz="1800" b="1" i="0" u="none" strike="noStrike" baseline="0">
                <a:solidFill>
                  <a:srgbClr val="000000"/>
                </a:solidFill>
                <a:latin typeface="Arial"/>
                <a:cs typeface="Arial"/>
              </a:rPr>
              <a:t>Lines Showing Places to Cut for Electrodes</a:t>
            </a:r>
          </a:p>
        </xdr:txBody>
      </xdr:sp>
      <xdr:sp macro="" textlink="">
        <xdr:nvSpPr>
          <xdr:cNvPr id="311" name="AutoShape 381"/>
          <xdr:cNvSpPr>
            <a:spLocks/>
          </xdr:cNvSpPr>
        </xdr:nvSpPr>
        <xdr:spPr bwMode="auto">
          <a:xfrm>
            <a:off x="519" y="140"/>
            <a:ext cx="178" cy="58"/>
          </a:xfrm>
          <a:prstGeom prst="callout2">
            <a:avLst>
              <a:gd name="adj1" fmla="val 20690"/>
              <a:gd name="adj2" fmla="val -4495"/>
              <a:gd name="adj3" fmla="val 20690"/>
              <a:gd name="adj4" fmla="val -24718"/>
              <a:gd name="adj5" fmla="val 46551"/>
              <a:gd name="adj6" fmla="val -41009"/>
            </a:avLst>
          </a:prstGeom>
          <a:solidFill>
            <a:srgbClr val="FFFFFF"/>
          </a:solidFill>
          <a:ln w="9525">
            <a:solidFill>
              <a:srgbClr val="000000"/>
            </a:solidFill>
            <a:miter lim="800000"/>
            <a:headEnd/>
            <a:tailEnd type="triangle" w="lg" len="lg"/>
          </a:ln>
        </xdr:spPr>
        <xdr:txBody>
          <a:bodyPr wrap="square" lIns="45720" tIns="36576" rIns="0" bIns="0" anchor="t"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r>
              <a:rPr lang="en-US" sz="1800" b="1" i="0" u="none" strike="noStrike" baseline="0">
                <a:solidFill>
                  <a:srgbClr val="000000"/>
                </a:solidFill>
                <a:latin typeface="Arial"/>
                <a:cs typeface="Arial"/>
              </a:rPr>
              <a:t>Uncoated Area for CC Tabs</a:t>
            </a:r>
          </a:p>
        </xdr:txBody>
      </xdr:sp>
      <xdr:sp macro="" textlink="">
        <xdr:nvSpPr>
          <xdr:cNvPr id="10323" name="Line 382"/>
          <xdr:cNvSpPr>
            <a:spLocks noChangeShapeType="1"/>
          </xdr:cNvSpPr>
        </xdr:nvSpPr>
        <xdr:spPr bwMode="auto">
          <a:xfrm flipH="1" flipV="1">
            <a:off x="408" y="170"/>
            <a:ext cx="51" cy="80"/>
          </a:xfrm>
          <a:prstGeom prst="line">
            <a:avLst/>
          </a:prstGeom>
          <a:noFill/>
          <a:ln w="9525">
            <a:solidFill>
              <a:srgbClr val="000000"/>
            </a:solidFill>
            <a:round/>
            <a:headEnd/>
            <a:tailEnd type="triangle" w="lg" len="lg"/>
          </a:ln>
        </xdr:spPr>
      </xdr:sp>
    </xdr:grpSp>
    <xdr:clientData/>
  </xdr:twoCellAnchor>
  <xdr:twoCellAnchor>
    <xdr:from>
      <xdr:col>2</xdr:col>
      <xdr:colOff>400050</xdr:colOff>
      <xdr:row>114</xdr:row>
      <xdr:rowOff>114300</xdr:rowOff>
    </xdr:from>
    <xdr:to>
      <xdr:col>10</xdr:col>
      <xdr:colOff>161925</xdr:colOff>
      <xdr:row>119</xdr:row>
      <xdr:rowOff>19050</xdr:rowOff>
    </xdr:to>
    <xdr:sp macro="" textlink="">
      <xdr:nvSpPr>
        <xdr:cNvPr id="296" name="Text Box 385"/>
        <xdr:cNvSpPr txBox="1">
          <a:spLocks noChangeArrowheads="1"/>
        </xdr:cNvSpPr>
      </xdr:nvSpPr>
      <xdr:spPr bwMode="auto">
        <a:xfrm>
          <a:off x="1619250" y="18249900"/>
          <a:ext cx="4638675" cy="714375"/>
        </a:xfrm>
        <a:prstGeom prst="rect">
          <a:avLst/>
        </a:prstGeom>
        <a:solidFill>
          <a:srgbClr val="FFFFFF"/>
        </a:solidFill>
        <a:ln>
          <a:noFill/>
        </a:ln>
        <a:extLst/>
      </xdr:spPr>
      <xdr:txBody>
        <a:bodyPr wrap="square" lIns="45720" tIns="41148" rIns="45720" bIns="0" anchor="t"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rtl="0">
            <a:defRPr sz="1000"/>
          </a:pPr>
          <a:r>
            <a:rPr lang="en-US" sz="2000" b="1" i="0" u="none" strike="noStrike" baseline="0">
              <a:solidFill>
                <a:srgbClr val="993366"/>
              </a:solidFill>
              <a:latin typeface="Arial"/>
              <a:cs typeface="Arial"/>
            </a:rPr>
            <a:t>Sample Layout of Electrode Coating on Cell Current Collector Foil</a:t>
          </a:r>
        </a:p>
      </xdr:txBody>
    </xdr:sp>
    <xdr:clientData/>
  </xdr:twoCellAnchor>
  <xdr:twoCellAnchor>
    <xdr:from>
      <xdr:col>2</xdr:col>
      <xdr:colOff>488949</xdr:colOff>
      <xdr:row>80</xdr:row>
      <xdr:rowOff>139701</xdr:rowOff>
    </xdr:from>
    <xdr:to>
      <xdr:col>11</xdr:col>
      <xdr:colOff>517524</xdr:colOff>
      <xdr:row>83</xdr:row>
      <xdr:rowOff>120650</xdr:rowOff>
    </xdr:to>
    <xdr:sp macro="" textlink="">
      <xdr:nvSpPr>
        <xdr:cNvPr id="230" name="Text Box 387"/>
        <xdr:cNvSpPr txBox="1">
          <a:spLocks noChangeArrowheads="1"/>
        </xdr:cNvSpPr>
      </xdr:nvSpPr>
      <xdr:spPr bwMode="auto">
        <a:xfrm>
          <a:off x="1708149" y="13093701"/>
          <a:ext cx="5514975" cy="466724"/>
        </a:xfrm>
        <a:prstGeom prst="rect">
          <a:avLst/>
        </a:prstGeom>
        <a:solidFill>
          <a:srgbClr val="FFFFFF"/>
        </a:solidFill>
        <a:ln>
          <a:noFill/>
        </a:ln>
        <a:extLst/>
      </xdr:spPr>
      <xdr:txBody>
        <a:bodyPr vertOverflow="clip" wrap="square" lIns="45720" tIns="41148" rIns="45720" bIns="0" anchor="t" upright="1"/>
        <a:lstStyle/>
        <a:p>
          <a:pPr algn="ctr" rtl="0">
            <a:defRPr sz="1000"/>
          </a:pPr>
          <a:r>
            <a:rPr lang="en-US" sz="2000" b="1" i="0" u="none" strike="noStrike" baseline="0">
              <a:solidFill>
                <a:srgbClr val="993366"/>
              </a:solidFill>
              <a:latin typeface="Arial"/>
              <a:cs typeface="Arial"/>
            </a:rPr>
            <a:t>Provisions for Cooling Cells With Cabin Air</a:t>
          </a:r>
        </a:p>
      </xdr:txBody>
    </xdr:sp>
    <xdr:clientData/>
  </xdr:twoCellAnchor>
  <xdr:twoCellAnchor>
    <xdr:from>
      <xdr:col>0</xdr:col>
      <xdr:colOff>114300</xdr:colOff>
      <xdr:row>47</xdr:row>
      <xdr:rowOff>104775</xdr:rowOff>
    </xdr:from>
    <xdr:to>
      <xdr:col>0</xdr:col>
      <xdr:colOff>114300</xdr:colOff>
      <xdr:row>47</xdr:row>
      <xdr:rowOff>104775</xdr:rowOff>
    </xdr:to>
    <xdr:sp macro="" textlink="">
      <xdr:nvSpPr>
        <xdr:cNvPr id="10376" name="Line 446"/>
        <xdr:cNvSpPr>
          <a:spLocks noChangeShapeType="1"/>
        </xdr:cNvSpPr>
      </xdr:nvSpPr>
      <xdr:spPr bwMode="auto">
        <a:xfrm>
          <a:off x="114300" y="7715250"/>
          <a:ext cx="0" cy="0"/>
        </a:xfrm>
        <a:prstGeom prst="line">
          <a:avLst/>
        </a:prstGeom>
        <a:noFill/>
        <a:ln w="9525">
          <a:solidFill>
            <a:srgbClr val="000000"/>
          </a:solidFill>
          <a:round/>
          <a:headEnd/>
          <a:tailEnd/>
        </a:ln>
      </xdr:spPr>
    </xdr:sp>
    <xdr:clientData/>
  </xdr:twoCellAnchor>
  <xdr:twoCellAnchor>
    <xdr:from>
      <xdr:col>0</xdr:col>
      <xdr:colOff>466725</xdr:colOff>
      <xdr:row>40</xdr:row>
      <xdr:rowOff>47625</xdr:rowOff>
    </xdr:from>
    <xdr:to>
      <xdr:col>13</xdr:col>
      <xdr:colOff>600076</xdr:colOff>
      <xdr:row>77</xdr:row>
      <xdr:rowOff>86299</xdr:rowOff>
    </xdr:to>
    <xdr:grpSp>
      <xdr:nvGrpSpPr>
        <xdr:cNvPr id="5" name="Group 4"/>
        <xdr:cNvGrpSpPr/>
      </xdr:nvGrpSpPr>
      <xdr:grpSpPr>
        <a:xfrm>
          <a:off x="466725" y="6524625"/>
          <a:ext cx="8058151" cy="6029899"/>
          <a:chOff x="276225" y="6477000"/>
          <a:chExt cx="7530407" cy="6029959"/>
        </a:xfrm>
      </xdr:grpSpPr>
      <xdr:sp macro="" textlink="">
        <xdr:nvSpPr>
          <xdr:cNvPr id="217" name="TextBox 216"/>
          <xdr:cNvSpPr txBox="1"/>
        </xdr:nvSpPr>
        <xdr:spPr>
          <a:xfrm>
            <a:off x="6758881" y="10963275"/>
            <a:ext cx="1047751" cy="314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ln>
                  <a:noFill/>
                </a:ln>
              </a:rPr>
              <a:t>6 </a:t>
            </a:r>
            <a:r>
              <a:rPr lang="en-US" sz="1600" b="1" baseline="0">
                <a:ln>
                  <a:noFill/>
                </a:ln>
              </a:rPr>
              <a:t>mm</a:t>
            </a:r>
            <a:endParaRPr lang="en-US" sz="1600" b="1">
              <a:ln>
                <a:noFill/>
              </a:ln>
            </a:endParaRPr>
          </a:p>
        </xdr:txBody>
      </xdr:sp>
      <xdr:sp macro="" textlink="">
        <xdr:nvSpPr>
          <xdr:cNvPr id="10368" name="Rectangle 168"/>
          <xdr:cNvSpPr>
            <a:spLocks noChangeArrowheads="1"/>
          </xdr:cNvSpPr>
        </xdr:nvSpPr>
        <xdr:spPr bwMode="auto">
          <a:xfrm>
            <a:off x="2152650" y="6600825"/>
            <a:ext cx="371475" cy="4505325"/>
          </a:xfrm>
          <a:prstGeom prst="rect">
            <a:avLst/>
          </a:prstGeom>
          <a:solidFill>
            <a:srgbClr val="69FFFF"/>
          </a:solidFill>
          <a:ln w="19050">
            <a:solidFill>
              <a:srgbClr val="000000"/>
            </a:solidFill>
            <a:miter lim="800000"/>
            <a:headEnd/>
            <a:tailEnd/>
          </a:ln>
        </xdr:spPr>
      </xdr:sp>
      <xdr:sp macro="" textlink="">
        <xdr:nvSpPr>
          <xdr:cNvPr id="10369" name="Line 423"/>
          <xdr:cNvSpPr>
            <a:spLocks noChangeShapeType="1"/>
          </xdr:cNvSpPr>
        </xdr:nvSpPr>
        <xdr:spPr bwMode="auto">
          <a:xfrm>
            <a:off x="619125" y="8477250"/>
            <a:ext cx="0" cy="3009900"/>
          </a:xfrm>
          <a:prstGeom prst="line">
            <a:avLst/>
          </a:prstGeom>
          <a:noFill/>
          <a:ln w="9525">
            <a:solidFill>
              <a:srgbClr val="000000"/>
            </a:solidFill>
            <a:round/>
            <a:headEnd/>
            <a:tailEnd/>
          </a:ln>
        </xdr:spPr>
      </xdr:sp>
      <xdr:sp macro="" textlink="">
        <xdr:nvSpPr>
          <xdr:cNvPr id="10370" name="Line 425"/>
          <xdr:cNvSpPr>
            <a:spLocks noChangeShapeType="1"/>
          </xdr:cNvSpPr>
        </xdr:nvSpPr>
        <xdr:spPr bwMode="auto">
          <a:xfrm flipV="1">
            <a:off x="628650" y="7400925"/>
            <a:ext cx="1885950" cy="1085850"/>
          </a:xfrm>
          <a:prstGeom prst="line">
            <a:avLst/>
          </a:prstGeom>
          <a:noFill/>
          <a:ln w="9525">
            <a:solidFill>
              <a:srgbClr val="000000"/>
            </a:solidFill>
            <a:round/>
            <a:headEnd/>
            <a:tailEnd/>
          </a:ln>
        </xdr:spPr>
      </xdr:sp>
      <xdr:sp macro="" textlink="">
        <xdr:nvSpPr>
          <xdr:cNvPr id="10371" name="Line 426"/>
          <xdr:cNvSpPr>
            <a:spLocks noChangeShapeType="1"/>
          </xdr:cNvSpPr>
        </xdr:nvSpPr>
        <xdr:spPr bwMode="auto">
          <a:xfrm flipV="1">
            <a:off x="619125" y="10401300"/>
            <a:ext cx="1885950" cy="1085850"/>
          </a:xfrm>
          <a:prstGeom prst="line">
            <a:avLst/>
          </a:prstGeom>
          <a:noFill/>
          <a:ln w="9525">
            <a:solidFill>
              <a:srgbClr val="000000"/>
            </a:solidFill>
            <a:round/>
            <a:headEnd/>
            <a:tailEnd/>
          </a:ln>
        </xdr:spPr>
      </xdr:sp>
      <xdr:sp macro="" textlink="">
        <xdr:nvSpPr>
          <xdr:cNvPr id="10372" name="Line 427"/>
          <xdr:cNvSpPr>
            <a:spLocks noChangeShapeType="1"/>
          </xdr:cNvSpPr>
        </xdr:nvSpPr>
        <xdr:spPr bwMode="auto">
          <a:xfrm>
            <a:off x="2514600" y="7400925"/>
            <a:ext cx="0" cy="3009900"/>
          </a:xfrm>
          <a:prstGeom prst="line">
            <a:avLst/>
          </a:prstGeom>
          <a:noFill/>
          <a:ln w="9525">
            <a:solidFill>
              <a:srgbClr val="000000"/>
            </a:solidFill>
            <a:round/>
            <a:headEnd/>
            <a:tailEnd/>
          </a:ln>
        </xdr:spPr>
      </xdr:sp>
      <xdr:sp macro="" textlink="">
        <xdr:nvSpPr>
          <xdr:cNvPr id="10373" name="Line 433"/>
          <xdr:cNvSpPr>
            <a:spLocks noChangeShapeType="1"/>
          </xdr:cNvSpPr>
        </xdr:nvSpPr>
        <xdr:spPr bwMode="auto">
          <a:xfrm flipV="1">
            <a:off x="2152650" y="6638925"/>
            <a:ext cx="0" cy="247650"/>
          </a:xfrm>
          <a:prstGeom prst="line">
            <a:avLst/>
          </a:prstGeom>
          <a:noFill/>
          <a:ln w="9525">
            <a:solidFill>
              <a:srgbClr val="000000"/>
            </a:solidFill>
            <a:round/>
            <a:headEnd/>
            <a:tailEnd/>
          </a:ln>
        </xdr:spPr>
      </xdr:sp>
      <xdr:sp macro="" textlink="">
        <xdr:nvSpPr>
          <xdr:cNvPr id="10374" name="Line 435"/>
          <xdr:cNvSpPr>
            <a:spLocks noChangeShapeType="1"/>
          </xdr:cNvSpPr>
        </xdr:nvSpPr>
        <xdr:spPr bwMode="auto">
          <a:xfrm flipV="1">
            <a:off x="2152650" y="10382250"/>
            <a:ext cx="381000" cy="514350"/>
          </a:xfrm>
          <a:prstGeom prst="line">
            <a:avLst/>
          </a:prstGeom>
          <a:noFill/>
          <a:ln w="9525">
            <a:solidFill>
              <a:srgbClr val="000000"/>
            </a:solidFill>
            <a:round/>
            <a:headEnd/>
            <a:tailEnd/>
          </a:ln>
        </xdr:spPr>
      </xdr:sp>
      <xdr:sp macro="" textlink="">
        <xdr:nvSpPr>
          <xdr:cNvPr id="10375" name="Line 445"/>
          <xdr:cNvSpPr>
            <a:spLocks noChangeShapeType="1"/>
          </xdr:cNvSpPr>
        </xdr:nvSpPr>
        <xdr:spPr bwMode="auto">
          <a:xfrm flipH="1">
            <a:off x="2524125" y="7353300"/>
            <a:ext cx="0" cy="3086100"/>
          </a:xfrm>
          <a:prstGeom prst="line">
            <a:avLst/>
          </a:prstGeom>
          <a:noFill/>
          <a:ln w="19050">
            <a:solidFill>
              <a:srgbClr val="000000"/>
            </a:solidFill>
            <a:round/>
            <a:headEnd/>
            <a:tailEnd/>
          </a:ln>
        </xdr:spPr>
      </xdr:sp>
      <xdr:sp macro="" textlink="">
        <xdr:nvSpPr>
          <xdr:cNvPr id="10377" name="Freeform 192"/>
          <xdr:cNvSpPr>
            <a:spLocks/>
          </xdr:cNvSpPr>
        </xdr:nvSpPr>
        <xdr:spPr bwMode="auto">
          <a:xfrm>
            <a:off x="609600" y="7058025"/>
            <a:ext cx="1876425" cy="4705350"/>
          </a:xfrm>
          <a:custGeom>
            <a:avLst/>
            <a:gdLst>
              <a:gd name="T0" fmla="*/ 0 w 197"/>
              <a:gd name="T1" fmla="*/ 2147483647 h 494"/>
              <a:gd name="T2" fmla="*/ 0 w 197"/>
              <a:gd name="T3" fmla="*/ 2147483647 h 494"/>
              <a:gd name="T4" fmla="*/ 0 w 197"/>
              <a:gd name="T5" fmla="*/ 2147483647 h 494"/>
              <a:gd name="T6" fmla="*/ 90725634 w 197"/>
              <a:gd name="T7" fmla="*/ 2147483647 h 494"/>
              <a:gd name="T8" fmla="*/ 725805073 w 197"/>
              <a:gd name="T9" fmla="*/ 2147483647 h 494"/>
              <a:gd name="T10" fmla="*/ 2086689324 w 197"/>
              <a:gd name="T11" fmla="*/ 2147483647 h 494"/>
              <a:gd name="T12" fmla="*/ 2147483647 w 197"/>
              <a:gd name="T13" fmla="*/ 2147483647 h 494"/>
              <a:gd name="T14" fmla="*/ 2147483647 w 197"/>
              <a:gd name="T15" fmla="*/ 2147483647 h 494"/>
              <a:gd name="T16" fmla="*/ 2147483647 w 197"/>
              <a:gd name="T17" fmla="*/ 2147483647 h 494"/>
              <a:gd name="T18" fmla="*/ 2147483647 w 197"/>
              <a:gd name="T19" fmla="*/ 1179433131 h 494"/>
              <a:gd name="T20" fmla="*/ 2147483647 w 197"/>
              <a:gd name="T21" fmla="*/ 362902559 h 494"/>
              <a:gd name="T22" fmla="*/ 2147483647 w 197"/>
              <a:gd name="T23" fmla="*/ 0 h 494"/>
              <a:gd name="T24" fmla="*/ 2147483647 w 197"/>
              <a:gd name="T25" fmla="*/ 0 h 494"/>
              <a:gd name="T26" fmla="*/ 2147483647 w 197"/>
              <a:gd name="T27" fmla="*/ 2147483647 h 494"/>
              <a:gd name="T28" fmla="*/ 2147483647 w 197"/>
              <a:gd name="T29" fmla="*/ 2147483647 h 494"/>
              <a:gd name="T30" fmla="*/ 2147483647 w 197"/>
              <a:gd name="T31" fmla="*/ 2147483647 h 494"/>
              <a:gd name="T32" fmla="*/ 2147483647 w 197"/>
              <a:gd name="T33" fmla="*/ 2147483647 h 494"/>
              <a:gd name="T34" fmla="*/ 1633061339 w 197"/>
              <a:gd name="T35" fmla="*/ 2147483647 h 494"/>
              <a:gd name="T36" fmla="*/ 453628133 w 197"/>
              <a:gd name="T37" fmla="*/ 2147483647 h 494"/>
              <a:gd name="T38" fmla="*/ 90725634 w 197"/>
              <a:gd name="T39" fmla="*/ 2147483647 h 494"/>
              <a:gd name="T40" fmla="*/ 0 w 197"/>
              <a:gd name="T41" fmla="*/ 2147483647 h 494"/>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w 197"/>
              <a:gd name="T64" fmla="*/ 0 h 494"/>
              <a:gd name="T65" fmla="*/ 197 w 197"/>
              <a:gd name="T66" fmla="*/ 494 h 494"/>
            </a:gdLst>
            <a:ahLst/>
            <a:cxnLst>
              <a:cxn ang="T42">
                <a:pos x="T0" y="T1"/>
              </a:cxn>
              <a:cxn ang="T43">
                <a:pos x="T2" y="T3"/>
              </a:cxn>
              <a:cxn ang="T44">
                <a:pos x="T4" y="T5"/>
              </a:cxn>
              <a:cxn ang="T45">
                <a:pos x="T6" y="T7"/>
              </a:cxn>
              <a:cxn ang="T46">
                <a:pos x="T8" y="T9"/>
              </a:cxn>
              <a:cxn ang="T47">
                <a:pos x="T10" y="T11"/>
              </a:cxn>
              <a:cxn ang="T48">
                <a:pos x="T12" y="T13"/>
              </a:cxn>
              <a:cxn ang="T49">
                <a:pos x="T14" y="T15"/>
              </a:cxn>
              <a:cxn ang="T50">
                <a:pos x="T16" y="T17"/>
              </a:cxn>
              <a:cxn ang="T51">
                <a:pos x="T18" y="T19"/>
              </a:cxn>
              <a:cxn ang="T52">
                <a:pos x="T20" y="T21"/>
              </a:cxn>
              <a:cxn ang="T53">
                <a:pos x="T22" y="T23"/>
              </a:cxn>
              <a:cxn ang="T54">
                <a:pos x="T24" y="T25"/>
              </a:cxn>
              <a:cxn ang="T55">
                <a:pos x="T26" y="T27"/>
              </a:cxn>
              <a:cxn ang="T56">
                <a:pos x="T28" y="T29"/>
              </a:cxn>
              <a:cxn ang="T57">
                <a:pos x="T30" y="T31"/>
              </a:cxn>
              <a:cxn ang="T58">
                <a:pos x="T32" y="T33"/>
              </a:cxn>
              <a:cxn ang="T59">
                <a:pos x="T34" y="T35"/>
              </a:cxn>
              <a:cxn ang="T60">
                <a:pos x="T36" y="T37"/>
              </a:cxn>
              <a:cxn ang="T61">
                <a:pos x="T38" y="T39"/>
              </a:cxn>
              <a:cxn ang="T62">
                <a:pos x="T40" y="T41"/>
              </a:cxn>
            </a:cxnLst>
            <a:rect l="T63" t="T64" r="T65" b="T66"/>
            <a:pathLst>
              <a:path w="197" h="494">
                <a:moveTo>
                  <a:pt x="0" y="188"/>
                </a:moveTo>
                <a:lnTo>
                  <a:pt x="0" y="172"/>
                </a:lnTo>
                <a:lnTo>
                  <a:pt x="0" y="121"/>
                </a:lnTo>
                <a:lnTo>
                  <a:pt x="1" y="109"/>
                </a:lnTo>
                <a:lnTo>
                  <a:pt x="8" y="106"/>
                </a:lnTo>
                <a:lnTo>
                  <a:pt x="23" y="97"/>
                </a:lnTo>
                <a:lnTo>
                  <a:pt x="77" y="67"/>
                </a:lnTo>
                <a:lnTo>
                  <a:pt x="120" y="42"/>
                </a:lnTo>
                <a:lnTo>
                  <a:pt x="146" y="27"/>
                </a:lnTo>
                <a:lnTo>
                  <a:pt x="172" y="13"/>
                </a:lnTo>
                <a:lnTo>
                  <a:pt x="186" y="4"/>
                </a:lnTo>
                <a:lnTo>
                  <a:pt x="194" y="0"/>
                </a:lnTo>
                <a:lnTo>
                  <a:pt x="197" y="0"/>
                </a:lnTo>
                <a:lnTo>
                  <a:pt x="196" y="72"/>
                </a:lnTo>
                <a:lnTo>
                  <a:pt x="196" y="343"/>
                </a:lnTo>
                <a:lnTo>
                  <a:pt x="196" y="393"/>
                </a:lnTo>
                <a:lnTo>
                  <a:pt x="190" y="397"/>
                </a:lnTo>
                <a:lnTo>
                  <a:pt x="18" y="491"/>
                </a:lnTo>
                <a:lnTo>
                  <a:pt x="5" y="494"/>
                </a:lnTo>
                <a:lnTo>
                  <a:pt x="1" y="492"/>
                </a:lnTo>
                <a:lnTo>
                  <a:pt x="0" y="188"/>
                </a:lnTo>
                <a:close/>
              </a:path>
            </a:pathLst>
          </a:custGeom>
          <a:gradFill rotWithShape="1">
            <a:gsLst>
              <a:gs pos="0">
                <a:srgbClr val="FFFFFF"/>
              </a:gs>
              <a:gs pos="100000">
                <a:srgbClr val="69FFFF"/>
              </a:gs>
            </a:gsLst>
            <a:lin ang="2700000" scaled="1"/>
          </a:gradFill>
          <a:ln w="57150" cmpd="sng">
            <a:solidFill>
              <a:srgbClr val="A6CAF0"/>
            </a:solidFill>
            <a:round/>
            <a:headEnd/>
            <a:tailEnd/>
          </a:ln>
        </xdr:spPr>
      </xdr:sp>
      <xdr:sp macro="" textlink="">
        <xdr:nvSpPr>
          <xdr:cNvPr id="10378" name="Rectangle 193"/>
          <xdr:cNvSpPr>
            <a:spLocks noChangeArrowheads="1"/>
          </xdr:cNvSpPr>
        </xdr:nvSpPr>
        <xdr:spPr bwMode="auto">
          <a:xfrm>
            <a:off x="2590800" y="6657975"/>
            <a:ext cx="371475" cy="4572000"/>
          </a:xfrm>
          <a:prstGeom prst="rect">
            <a:avLst/>
          </a:prstGeom>
          <a:solidFill>
            <a:srgbClr val="69FFFF"/>
          </a:solidFill>
          <a:ln w="19050">
            <a:solidFill>
              <a:srgbClr val="000000"/>
            </a:solidFill>
            <a:miter lim="800000"/>
            <a:headEnd/>
            <a:tailEnd/>
          </a:ln>
        </xdr:spPr>
      </xdr:sp>
      <xdr:sp macro="" textlink="">
        <xdr:nvSpPr>
          <xdr:cNvPr id="10379" name="Line 423"/>
          <xdr:cNvSpPr>
            <a:spLocks noChangeShapeType="1"/>
          </xdr:cNvSpPr>
        </xdr:nvSpPr>
        <xdr:spPr bwMode="auto">
          <a:xfrm>
            <a:off x="1057275" y="8534400"/>
            <a:ext cx="0" cy="3009900"/>
          </a:xfrm>
          <a:prstGeom prst="line">
            <a:avLst/>
          </a:prstGeom>
          <a:noFill/>
          <a:ln w="9525">
            <a:solidFill>
              <a:srgbClr val="000000"/>
            </a:solidFill>
            <a:round/>
            <a:headEnd/>
            <a:tailEnd/>
          </a:ln>
        </xdr:spPr>
      </xdr:sp>
      <xdr:sp macro="" textlink="">
        <xdr:nvSpPr>
          <xdr:cNvPr id="10380" name="Line 424"/>
          <xdr:cNvSpPr>
            <a:spLocks noChangeShapeType="1"/>
          </xdr:cNvSpPr>
        </xdr:nvSpPr>
        <xdr:spPr bwMode="auto">
          <a:xfrm>
            <a:off x="609600" y="7991475"/>
            <a:ext cx="0" cy="4248150"/>
          </a:xfrm>
          <a:prstGeom prst="line">
            <a:avLst/>
          </a:prstGeom>
          <a:noFill/>
          <a:ln w="9525">
            <a:solidFill>
              <a:srgbClr val="000000"/>
            </a:solidFill>
            <a:round/>
            <a:headEnd/>
            <a:tailEnd/>
          </a:ln>
        </xdr:spPr>
      </xdr:sp>
      <xdr:sp macro="" textlink="">
        <xdr:nvSpPr>
          <xdr:cNvPr id="10381" name="Line 425"/>
          <xdr:cNvSpPr>
            <a:spLocks noChangeShapeType="1"/>
          </xdr:cNvSpPr>
        </xdr:nvSpPr>
        <xdr:spPr bwMode="auto">
          <a:xfrm flipV="1">
            <a:off x="1066800" y="7458075"/>
            <a:ext cx="1885950" cy="1085850"/>
          </a:xfrm>
          <a:prstGeom prst="line">
            <a:avLst/>
          </a:prstGeom>
          <a:noFill/>
          <a:ln w="9525">
            <a:solidFill>
              <a:srgbClr val="000000"/>
            </a:solidFill>
            <a:round/>
            <a:headEnd/>
            <a:tailEnd/>
          </a:ln>
        </xdr:spPr>
      </xdr:sp>
      <xdr:sp macro="" textlink="">
        <xdr:nvSpPr>
          <xdr:cNvPr id="10382" name="Line 426"/>
          <xdr:cNvSpPr>
            <a:spLocks noChangeShapeType="1"/>
          </xdr:cNvSpPr>
        </xdr:nvSpPr>
        <xdr:spPr bwMode="auto">
          <a:xfrm flipV="1">
            <a:off x="1057275" y="10458450"/>
            <a:ext cx="1885950" cy="1085850"/>
          </a:xfrm>
          <a:prstGeom prst="line">
            <a:avLst/>
          </a:prstGeom>
          <a:noFill/>
          <a:ln w="9525">
            <a:solidFill>
              <a:srgbClr val="000000"/>
            </a:solidFill>
            <a:round/>
            <a:headEnd/>
            <a:tailEnd/>
          </a:ln>
        </xdr:spPr>
      </xdr:sp>
      <xdr:sp macro="" textlink="">
        <xdr:nvSpPr>
          <xdr:cNvPr id="10383" name="Line 427"/>
          <xdr:cNvSpPr>
            <a:spLocks noChangeShapeType="1"/>
          </xdr:cNvSpPr>
        </xdr:nvSpPr>
        <xdr:spPr bwMode="auto">
          <a:xfrm>
            <a:off x="2952750" y="7458075"/>
            <a:ext cx="0" cy="3009900"/>
          </a:xfrm>
          <a:prstGeom prst="line">
            <a:avLst/>
          </a:prstGeom>
          <a:noFill/>
          <a:ln w="9525">
            <a:solidFill>
              <a:srgbClr val="000000"/>
            </a:solidFill>
            <a:round/>
            <a:headEnd/>
            <a:tailEnd/>
          </a:ln>
        </xdr:spPr>
      </xdr:sp>
      <xdr:sp macro="" textlink="">
        <xdr:nvSpPr>
          <xdr:cNvPr id="10384" name="Line 428"/>
          <xdr:cNvSpPr>
            <a:spLocks noChangeShapeType="1"/>
          </xdr:cNvSpPr>
        </xdr:nvSpPr>
        <xdr:spPr bwMode="auto">
          <a:xfrm flipV="1">
            <a:off x="714375" y="6943725"/>
            <a:ext cx="1885950" cy="1085850"/>
          </a:xfrm>
          <a:prstGeom prst="line">
            <a:avLst/>
          </a:prstGeom>
          <a:noFill/>
          <a:ln w="9525">
            <a:solidFill>
              <a:srgbClr val="000000"/>
            </a:solidFill>
            <a:round/>
            <a:headEnd/>
            <a:tailEnd/>
          </a:ln>
        </xdr:spPr>
      </xdr:sp>
      <xdr:sp macro="" textlink="">
        <xdr:nvSpPr>
          <xdr:cNvPr id="10385" name="Line 429"/>
          <xdr:cNvSpPr>
            <a:spLocks noChangeShapeType="1"/>
          </xdr:cNvSpPr>
        </xdr:nvSpPr>
        <xdr:spPr bwMode="auto">
          <a:xfrm flipH="1" flipV="1">
            <a:off x="704850" y="8039100"/>
            <a:ext cx="352425" cy="495300"/>
          </a:xfrm>
          <a:prstGeom prst="line">
            <a:avLst/>
          </a:prstGeom>
          <a:noFill/>
          <a:ln w="9525">
            <a:solidFill>
              <a:srgbClr val="000000"/>
            </a:solidFill>
            <a:round/>
            <a:headEnd/>
            <a:tailEnd/>
          </a:ln>
        </xdr:spPr>
      </xdr:sp>
      <xdr:sp macro="" textlink="">
        <xdr:nvSpPr>
          <xdr:cNvPr id="10386" name="Line 430"/>
          <xdr:cNvSpPr>
            <a:spLocks noChangeShapeType="1"/>
          </xdr:cNvSpPr>
        </xdr:nvSpPr>
        <xdr:spPr bwMode="auto">
          <a:xfrm flipV="1">
            <a:off x="704850" y="7762875"/>
            <a:ext cx="0" cy="266700"/>
          </a:xfrm>
          <a:prstGeom prst="line">
            <a:avLst/>
          </a:prstGeom>
          <a:noFill/>
          <a:ln w="9525">
            <a:solidFill>
              <a:srgbClr val="000000"/>
            </a:solidFill>
            <a:round/>
            <a:headEnd/>
            <a:tailEnd/>
          </a:ln>
        </xdr:spPr>
      </xdr:sp>
      <xdr:sp macro="" textlink="">
        <xdr:nvSpPr>
          <xdr:cNvPr id="10387" name="Line 431"/>
          <xdr:cNvSpPr>
            <a:spLocks noChangeShapeType="1"/>
          </xdr:cNvSpPr>
        </xdr:nvSpPr>
        <xdr:spPr bwMode="auto">
          <a:xfrm flipV="1">
            <a:off x="609600" y="7772400"/>
            <a:ext cx="0" cy="266700"/>
          </a:xfrm>
          <a:prstGeom prst="line">
            <a:avLst/>
          </a:prstGeom>
          <a:noFill/>
          <a:ln w="9525">
            <a:solidFill>
              <a:srgbClr val="000000"/>
            </a:solidFill>
            <a:round/>
            <a:headEnd/>
            <a:tailEnd/>
          </a:ln>
        </xdr:spPr>
      </xdr:sp>
      <xdr:sp macro="" textlink="">
        <xdr:nvSpPr>
          <xdr:cNvPr id="10388" name="Line 432"/>
          <xdr:cNvSpPr>
            <a:spLocks noChangeShapeType="1"/>
          </xdr:cNvSpPr>
        </xdr:nvSpPr>
        <xdr:spPr bwMode="auto">
          <a:xfrm flipV="1">
            <a:off x="714375" y="6686550"/>
            <a:ext cx="1885950" cy="1085850"/>
          </a:xfrm>
          <a:prstGeom prst="line">
            <a:avLst/>
          </a:prstGeom>
          <a:noFill/>
          <a:ln w="9525">
            <a:solidFill>
              <a:srgbClr val="000000"/>
            </a:solidFill>
            <a:round/>
            <a:headEnd/>
            <a:tailEnd/>
          </a:ln>
        </xdr:spPr>
      </xdr:sp>
      <xdr:sp macro="" textlink="">
        <xdr:nvSpPr>
          <xdr:cNvPr id="10389" name="Line 433"/>
          <xdr:cNvSpPr>
            <a:spLocks noChangeShapeType="1"/>
          </xdr:cNvSpPr>
        </xdr:nvSpPr>
        <xdr:spPr bwMode="auto">
          <a:xfrm flipV="1">
            <a:off x="2590800" y="6696075"/>
            <a:ext cx="0" cy="247650"/>
          </a:xfrm>
          <a:prstGeom prst="line">
            <a:avLst/>
          </a:prstGeom>
          <a:noFill/>
          <a:ln w="9525">
            <a:solidFill>
              <a:srgbClr val="000000"/>
            </a:solidFill>
            <a:round/>
            <a:headEnd/>
            <a:tailEnd/>
          </a:ln>
        </xdr:spPr>
      </xdr:sp>
      <xdr:sp macro="" textlink="">
        <xdr:nvSpPr>
          <xdr:cNvPr id="10390" name="Line 434"/>
          <xdr:cNvSpPr>
            <a:spLocks noChangeShapeType="1"/>
          </xdr:cNvSpPr>
        </xdr:nvSpPr>
        <xdr:spPr bwMode="auto">
          <a:xfrm flipV="1">
            <a:off x="695325" y="10953750"/>
            <a:ext cx="1885950" cy="1085850"/>
          </a:xfrm>
          <a:prstGeom prst="line">
            <a:avLst/>
          </a:prstGeom>
          <a:noFill/>
          <a:ln w="9525">
            <a:solidFill>
              <a:srgbClr val="000000"/>
            </a:solidFill>
            <a:round/>
            <a:headEnd/>
            <a:tailEnd/>
          </a:ln>
        </xdr:spPr>
      </xdr:sp>
      <xdr:sp macro="" textlink="">
        <xdr:nvSpPr>
          <xdr:cNvPr id="10391" name="Line 435"/>
          <xdr:cNvSpPr>
            <a:spLocks noChangeShapeType="1"/>
          </xdr:cNvSpPr>
        </xdr:nvSpPr>
        <xdr:spPr bwMode="auto">
          <a:xfrm flipV="1">
            <a:off x="2562225" y="10439400"/>
            <a:ext cx="381000" cy="514350"/>
          </a:xfrm>
          <a:prstGeom prst="line">
            <a:avLst/>
          </a:prstGeom>
          <a:noFill/>
          <a:ln w="9525">
            <a:solidFill>
              <a:srgbClr val="000000"/>
            </a:solidFill>
            <a:round/>
            <a:headEnd/>
            <a:tailEnd/>
          </a:ln>
        </xdr:spPr>
      </xdr:sp>
      <xdr:sp macro="" textlink="">
        <xdr:nvSpPr>
          <xdr:cNvPr id="10392" name="Freeform 207"/>
          <xdr:cNvSpPr>
            <a:spLocks/>
          </xdr:cNvSpPr>
        </xdr:nvSpPr>
        <xdr:spPr bwMode="auto">
          <a:xfrm>
            <a:off x="771525" y="6953250"/>
            <a:ext cx="2105025" cy="1190625"/>
          </a:xfrm>
          <a:custGeom>
            <a:avLst/>
            <a:gdLst>
              <a:gd name="T0" fmla="*/ 2147483647 w 221"/>
              <a:gd name="T1" fmla="*/ 2147483647 h 125"/>
              <a:gd name="T2" fmla="*/ 2147483647 w 221"/>
              <a:gd name="T3" fmla="*/ 2147483647 h 125"/>
              <a:gd name="T4" fmla="*/ 2147483647 w 221"/>
              <a:gd name="T5" fmla="*/ 2086689461 h 125"/>
              <a:gd name="T6" fmla="*/ 2147483647 w 221"/>
              <a:gd name="T7" fmla="*/ 1542335844 h 125"/>
              <a:gd name="T8" fmla="*/ 2147483647 w 221"/>
              <a:gd name="T9" fmla="*/ 1179433135 h 125"/>
              <a:gd name="T10" fmla="*/ 2147483647 w 221"/>
              <a:gd name="T11" fmla="*/ 725805120 h 125"/>
              <a:gd name="T12" fmla="*/ 2147483647 w 221"/>
              <a:gd name="T13" fmla="*/ 0 h 125"/>
              <a:gd name="T14" fmla="*/ 0 w 221"/>
              <a:gd name="T15" fmla="*/ 2147483647 h 125"/>
              <a:gd name="T16" fmla="*/ 2147483647 w 221"/>
              <a:gd name="T17" fmla="*/ 2147483647 h 125"/>
              <a:gd name="T18" fmla="*/ 2147483647 w 221"/>
              <a:gd name="T19" fmla="*/ 2147483647 h 125"/>
              <a:gd name="T20" fmla="*/ 2147483647 w 221"/>
              <a:gd name="T21" fmla="*/ 2147483647 h 125"/>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221"/>
              <a:gd name="T34" fmla="*/ 0 h 125"/>
              <a:gd name="T35" fmla="*/ 221 w 221"/>
              <a:gd name="T36" fmla="*/ 125 h 125"/>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221" h="125">
                <a:moveTo>
                  <a:pt x="45" y="117"/>
                </a:moveTo>
                <a:lnTo>
                  <a:pt x="198" y="30"/>
                </a:lnTo>
                <a:lnTo>
                  <a:pt x="211" y="23"/>
                </a:lnTo>
                <a:lnTo>
                  <a:pt x="221" y="17"/>
                </a:lnTo>
                <a:lnTo>
                  <a:pt x="212" y="13"/>
                </a:lnTo>
                <a:lnTo>
                  <a:pt x="192" y="8"/>
                </a:lnTo>
                <a:lnTo>
                  <a:pt x="192" y="0"/>
                </a:lnTo>
                <a:lnTo>
                  <a:pt x="0" y="107"/>
                </a:lnTo>
                <a:lnTo>
                  <a:pt x="30" y="125"/>
                </a:lnTo>
                <a:lnTo>
                  <a:pt x="36" y="122"/>
                </a:lnTo>
                <a:lnTo>
                  <a:pt x="45" y="117"/>
                </a:lnTo>
                <a:close/>
              </a:path>
            </a:pathLst>
          </a:custGeom>
          <a:gradFill rotWithShape="1">
            <a:gsLst>
              <a:gs pos="0">
                <a:srgbClr val="FFFFFF"/>
              </a:gs>
              <a:gs pos="100000">
                <a:srgbClr val="69FFFF"/>
              </a:gs>
            </a:gsLst>
            <a:lin ang="5400000" scaled="1"/>
          </a:gradFill>
          <a:ln w="57150" cmpd="sng">
            <a:solidFill>
              <a:srgbClr val="A6CAF0"/>
            </a:solidFill>
            <a:round/>
            <a:headEnd/>
            <a:tailEnd/>
          </a:ln>
        </xdr:spPr>
      </xdr:sp>
      <xdr:sp macro="" textlink="">
        <xdr:nvSpPr>
          <xdr:cNvPr id="10393" name="Freeform 208"/>
          <xdr:cNvSpPr>
            <a:spLocks/>
          </xdr:cNvSpPr>
        </xdr:nvSpPr>
        <xdr:spPr bwMode="auto">
          <a:xfrm>
            <a:off x="571500" y="6686550"/>
            <a:ext cx="2019300" cy="1276350"/>
          </a:xfrm>
          <a:custGeom>
            <a:avLst/>
            <a:gdLst>
              <a:gd name="T0" fmla="*/ 1270158980 w 212"/>
              <a:gd name="T1" fmla="*/ 2147483647 h 134"/>
              <a:gd name="T2" fmla="*/ 2147483647 w 212"/>
              <a:gd name="T3" fmla="*/ 2147483647 h 134"/>
              <a:gd name="T4" fmla="*/ 2147483647 w 212"/>
              <a:gd name="T5" fmla="*/ 2147483647 h 134"/>
              <a:gd name="T6" fmla="*/ 2147483647 w 212"/>
              <a:gd name="T7" fmla="*/ 0 h 134"/>
              <a:gd name="T8" fmla="*/ 0 w 212"/>
              <a:gd name="T9" fmla="*/ 2147483647 h 134"/>
              <a:gd name="T10" fmla="*/ 1270158980 w 212"/>
              <a:gd name="T11" fmla="*/ 2147483647 h 134"/>
              <a:gd name="T12" fmla="*/ 0 60000 65536"/>
              <a:gd name="T13" fmla="*/ 0 60000 65536"/>
              <a:gd name="T14" fmla="*/ 0 60000 65536"/>
              <a:gd name="T15" fmla="*/ 0 60000 65536"/>
              <a:gd name="T16" fmla="*/ 0 60000 65536"/>
              <a:gd name="T17" fmla="*/ 0 60000 65536"/>
              <a:gd name="T18" fmla="*/ 0 w 212"/>
              <a:gd name="T19" fmla="*/ 0 h 134"/>
              <a:gd name="T20" fmla="*/ 212 w 212"/>
              <a:gd name="T21" fmla="*/ 134 h 134"/>
            </a:gdLst>
            <a:ahLst/>
            <a:cxnLst>
              <a:cxn ang="T12">
                <a:pos x="T0" y="T1"/>
              </a:cxn>
              <a:cxn ang="T13">
                <a:pos x="T2" y="T3"/>
              </a:cxn>
              <a:cxn ang="T14">
                <a:pos x="T4" y="T5"/>
              </a:cxn>
              <a:cxn ang="T15">
                <a:pos x="T6" y="T7"/>
              </a:cxn>
              <a:cxn ang="T16">
                <a:pos x="T8" y="T9"/>
              </a:cxn>
              <a:cxn ang="T17">
                <a:pos x="T10" y="T11"/>
              </a:cxn>
            </a:cxnLst>
            <a:rect l="T18" t="T19" r="T20" b="T21"/>
            <a:pathLst>
              <a:path w="212" h="134">
                <a:moveTo>
                  <a:pt x="14" y="134"/>
                </a:moveTo>
                <a:lnTo>
                  <a:pt x="38" y="125"/>
                </a:lnTo>
                <a:lnTo>
                  <a:pt x="212" y="27"/>
                </a:lnTo>
                <a:lnTo>
                  <a:pt x="212" y="0"/>
                </a:lnTo>
                <a:lnTo>
                  <a:pt x="0" y="117"/>
                </a:lnTo>
                <a:lnTo>
                  <a:pt x="14" y="134"/>
                </a:lnTo>
                <a:close/>
              </a:path>
            </a:pathLst>
          </a:custGeom>
          <a:gradFill rotWithShape="1">
            <a:gsLst>
              <a:gs pos="0">
                <a:srgbClr val="69FFFF"/>
              </a:gs>
              <a:gs pos="100000">
                <a:srgbClr val="FFFFFF"/>
              </a:gs>
            </a:gsLst>
            <a:lin ang="5400000" scaled="1"/>
          </a:gradFill>
          <a:ln w="38100" cmpd="sng">
            <a:solidFill>
              <a:srgbClr val="A6CAF0"/>
            </a:solidFill>
            <a:round/>
            <a:headEnd/>
            <a:tailEnd/>
          </a:ln>
        </xdr:spPr>
      </xdr:sp>
      <xdr:sp macro="" textlink="">
        <xdr:nvSpPr>
          <xdr:cNvPr id="10394" name="Freeform 209"/>
          <xdr:cNvSpPr>
            <a:spLocks/>
          </xdr:cNvSpPr>
        </xdr:nvSpPr>
        <xdr:spPr bwMode="auto">
          <a:xfrm>
            <a:off x="885825" y="8058150"/>
            <a:ext cx="161925" cy="3838575"/>
          </a:xfrm>
          <a:custGeom>
            <a:avLst/>
            <a:gdLst>
              <a:gd name="T0" fmla="*/ 1360884360 w 17"/>
              <a:gd name="T1" fmla="*/ 2147483647 h 403"/>
              <a:gd name="T2" fmla="*/ 0 w 17"/>
              <a:gd name="T3" fmla="*/ 2147483647 h 403"/>
              <a:gd name="T4" fmla="*/ 90725621 w 17"/>
              <a:gd name="T5" fmla="*/ 0 h 403"/>
              <a:gd name="T6" fmla="*/ 1542335528 w 17"/>
              <a:gd name="T7" fmla="*/ 997981870 h 403"/>
              <a:gd name="T8" fmla="*/ 1451609944 w 17"/>
              <a:gd name="T9" fmla="*/ 2147483647 h 403"/>
              <a:gd name="T10" fmla="*/ 1360884360 w 17"/>
              <a:gd name="T11" fmla="*/ 2147483647 h 403"/>
              <a:gd name="T12" fmla="*/ 1360884360 w 17"/>
              <a:gd name="T13" fmla="*/ 2147483647 h 403"/>
              <a:gd name="T14" fmla="*/ 1360884360 w 17"/>
              <a:gd name="T15" fmla="*/ 2147483647 h 403"/>
              <a:gd name="T16" fmla="*/ 0 60000 65536"/>
              <a:gd name="T17" fmla="*/ 0 60000 65536"/>
              <a:gd name="T18" fmla="*/ 0 60000 65536"/>
              <a:gd name="T19" fmla="*/ 0 60000 65536"/>
              <a:gd name="T20" fmla="*/ 0 60000 65536"/>
              <a:gd name="T21" fmla="*/ 0 60000 65536"/>
              <a:gd name="T22" fmla="*/ 0 60000 65536"/>
              <a:gd name="T23" fmla="*/ 0 60000 65536"/>
              <a:gd name="T24" fmla="*/ 0 w 17"/>
              <a:gd name="T25" fmla="*/ 0 h 403"/>
              <a:gd name="T26" fmla="*/ 17 w 17"/>
              <a:gd name="T27" fmla="*/ 403 h 403"/>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17" h="403">
                <a:moveTo>
                  <a:pt x="15" y="395"/>
                </a:moveTo>
                <a:lnTo>
                  <a:pt x="0" y="403"/>
                </a:lnTo>
                <a:lnTo>
                  <a:pt x="1" y="0"/>
                </a:lnTo>
                <a:lnTo>
                  <a:pt x="17" y="11"/>
                </a:lnTo>
                <a:lnTo>
                  <a:pt x="16" y="60"/>
                </a:lnTo>
                <a:lnTo>
                  <a:pt x="15" y="351"/>
                </a:lnTo>
                <a:lnTo>
                  <a:pt x="15" y="367"/>
                </a:lnTo>
                <a:lnTo>
                  <a:pt x="15" y="395"/>
                </a:lnTo>
                <a:close/>
              </a:path>
            </a:pathLst>
          </a:custGeom>
          <a:gradFill rotWithShape="1">
            <a:gsLst>
              <a:gs pos="0">
                <a:srgbClr val="FFFFFF"/>
              </a:gs>
              <a:gs pos="100000">
                <a:srgbClr val="69FFFF"/>
              </a:gs>
            </a:gsLst>
            <a:lin ang="18900000" scaled="1"/>
          </a:gradFill>
          <a:ln w="38100" cmpd="sng">
            <a:solidFill>
              <a:srgbClr val="A6CAF0"/>
            </a:solidFill>
            <a:round/>
            <a:headEnd/>
            <a:tailEnd/>
          </a:ln>
        </xdr:spPr>
      </xdr:sp>
      <xdr:sp macro="" textlink="">
        <xdr:nvSpPr>
          <xdr:cNvPr id="10395" name="Freeform 210"/>
          <xdr:cNvSpPr>
            <a:spLocks/>
          </xdr:cNvSpPr>
        </xdr:nvSpPr>
        <xdr:spPr bwMode="auto">
          <a:xfrm>
            <a:off x="790594" y="10906125"/>
            <a:ext cx="1847831" cy="1304887"/>
          </a:xfrm>
          <a:custGeom>
            <a:avLst/>
            <a:gdLst>
              <a:gd name="T0" fmla="*/ 19002 w 9238"/>
              <a:gd name="T1" fmla="*/ 1047721 h 9448"/>
              <a:gd name="T2" fmla="*/ 1847831 w 9238"/>
              <a:gd name="T3" fmla="*/ 0 h 9448"/>
              <a:gd name="T4" fmla="*/ 1847831 w 9238"/>
              <a:gd name="T5" fmla="*/ 276225 h 9448"/>
              <a:gd name="T6" fmla="*/ 0 w 9238"/>
              <a:gd name="T7" fmla="*/ 1304887 h 9448"/>
              <a:gd name="T8" fmla="*/ 19002 w 9238"/>
              <a:gd name="T9" fmla="*/ 1047721 h 9448"/>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9238" h="9448">
                <a:moveTo>
                  <a:pt x="95" y="7586"/>
                </a:moveTo>
                <a:lnTo>
                  <a:pt x="9238" y="0"/>
                </a:lnTo>
                <a:lnTo>
                  <a:pt x="9238" y="2000"/>
                </a:lnTo>
                <a:lnTo>
                  <a:pt x="0" y="9448"/>
                </a:lnTo>
                <a:cubicBezTo>
                  <a:pt x="32" y="8827"/>
                  <a:pt x="63" y="8207"/>
                  <a:pt x="95" y="7586"/>
                </a:cubicBezTo>
                <a:close/>
              </a:path>
            </a:pathLst>
          </a:custGeom>
          <a:gradFill rotWithShape="1">
            <a:gsLst>
              <a:gs pos="0">
                <a:srgbClr val="FFFFFF"/>
              </a:gs>
              <a:gs pos="100000">
                <a:srgbClr val="00FFFF"/>
              </a:gs>
            </a:gsLst>
            <a:lin ang="2700000" scaled="1"/>
          </a:gradFill>
          <a:ln w="38100" cmpd="sng">
            <a:solidFill>
              <a:srgbClr val="A6CAF0"/>
            </a:solidFill>
            <a:round/>
            <a:headEnd/>
            <a:tailEnd/>
          </a:ln>
        </xdr:spPr>
      </xdr:sp>
      <xdr:sp macro="" textlink="">
        <xdr:nvSpPr>
          <xdr:cNvPr id="10396" name="Freeform 211"/>
          <xdr:cNvSpPr>
            <a:spLocks/>
          </xdr:cNvSpPr>
        </xdr:nvSpPr>
        <xdr:spPr bwMode="auto">
          <a:xfrm>
            <a:off x="771525" y="11439525"/>
            <a:ext cx="2181225" cy="1019175"/>
          </a:xfrm>
          <a:custGeom>
            <a:avLst/>
            <a:gdLst>
              <a:gd name="T0" fmla="*/ 2147483647 w 229"/>
              <a:gd name="T1" fmla="*/ 2147483647 h 107"/>
              <a:gd name="T2" fmla="*/ 0 w 229"/>
              <a:gd name="T3" fmla="*/ 2147483647 h 107"/>
              <a:gd name="T4" fmla="*/ 2147483647 w 229"/>
              <a:gd name="T5" fmla="*/ 0 h 107"/>
              <a:gd name="T6" fmla="*/ 2147483647 w 229"/>
              <a:gd name="T7" fmla="*/ 0 h 107"/>
              <a:gd name="T8" fmla="*/ 2147483647 w 229"/>
              <a:gd name="T9" fmla="*/ 2147483647 h 107"/>
              <a:gd name="T10" fmla="*/ 0 60000 65536"/>
              <a:gd name="T11" fmla="*/ 0 60000 65536"/>
              <a:gd name="T12" fmla="*/ 0 60000 65536"/>
              <a:gd name="T13" fmla="*/ 0 60000 65536"/>
              <a:gd name="T14" fmla="*/ 0 60000 65536"/>
              <a:gd name="T15" fmla="*/ 0 w 229"/>
              <a:gd name="T16" fmla="*/ 0 h 107"/>
              <a:gd name="T17" fmla="*/ 229 w 229"/>
              <a:gd name="T18" fmla="*/ 107 h 107"/>
            </a:gdLst>
            <a:ahLst/>
            <a:cxnLst>
              <a:cxn ang="T10">
                <a:pos x="T0" y="T1"/>
              </a:cxn>
              <a:cxn ang="T11">
                <a:pos x="T2" y="T3"/>
              </a:cxn>
              <a:cxn ang="T12">
                <a:pos x="T4" y="T5"/>
              </a:cxn>
              <a:cxn ang="T13">
                <a:pos x="T6" y="T7"/>
              </a:cxn>
              <a:cxn ang="T14">
                <a:pos x="T8" y="T9"/>
              </a:cxn>
            </a:cxnLst>
            <a:rect l="T15" t="T16" r="T17" b="T18"/>
            <a:pathLst>
              <a:path w="229" h="107">
                <a:moveTo>
                  <a:pt x="37" y="107"/>
                </a:moveTo>
                <a:lnTo>
                  <a:pt x="0" y="107"/>
                </a:lnTo>
                <a:lnTo>
                  <a:pt x="192" y="0"/>
                </a:lnTo>
                <a:lnTo>
                  <a:pt x="229" y="0"/>
                </a:lnTo>
                <a:lnTo>
                  <a:pt x="37" y="107"/>
                </a:lnTo>
                <a:close/>
              </a:path>
            </a:pathLst>
          </a:custGeom>
          <a:gradFill rotWithShape="1">
            <a:gsLst>
              <a:gs pos="0">
                <a:srgbClr val="FFFFFF"/>
              </a:gs>
              <a:gs pos="100000">
                <a:srgbClr val="C0C0C0"/>
              </a:gs>
            </a:gsLst>
            <a:lin ang="5400000" scaled="1"/>
          </a:gradFill>
          <a:ln w="9525">
            <a:solidFill>
              <a:srgbClr val="000000"/>
            </a:solidFill>
            <a:round/>
            <a:headEnd/>
            <a:tailEnd/>
          </a:ln>
        </xdr:spPr>
      </xdr:sp>
      <xdr:sp macro="" textlink="">
        <xdr:nvSpPr>
          <xdr:cNvPr id="10397" name="Freeform 212"/>
          <xdr:cNvSpPr>
            <a:spLocks/>
          </xdr:cNvSpPr>
        </xdr:nvSpPr>
        <xdr:spPr bwMode="auto">
          <a:xfrm>
            <a:off x="790575" y="11210925"/>
            <a:ext cx="1819275" cy="1238250"/>
          </a:xfrm>
          <a:custGeom>
            <a:avLst/>
            <a:gdLst>
              <a:gd name="T0" fmla="*/ 0 w 191"/>
              <a:gd name="T1" fmla="*/ 2147483647 h 130"/>
              <a:gd name="T2" fmla="*/ 2147483647 w 191"/>
              <a:gd name="T3" fmla="*/ 0 h 130"/>
              <a:gd name="T4" fmla="*/ 2147483647 w 191"/>
              <a:gd name="T5" fmla="*/ 2147483647 h 130"/>
              <a:gd name="T6" fmla="*/ 0 w 191"/>
              <a:gd name="T7" fmla="*/ 2147483647 h 130"/>
              <a:gd name="T8" fmla="*/ 0 w 191"/>
              <a:gd name="T9" fmla="*/ 2147483647 h 130"/>
              <a:gd name="T10" fmla="*/ 0 60000 65536"/>
              <a:gd name="T11" fmla="*/ 0 60000 65536"/>
              <a:gd name="T12" fmla="*/ 0 60000 65536"/>
              <a:gd name="T13" fmla="*/ 0 60000 65536"/>
              <a:gd name="T14" fmla="*/ 0 60000 65536"/>
              <a:gd name="T15" fmla="*/ 0 w 191"/>
              <a:gd name="T16" fmla="*/ 0 h 130"/>
              <a:gd name="T17" fmla="*/ 191 w 191"/>
              <a:gd name="T18" fmla="*/ 130 h 130"/>
            </a:gdLst>
            <a:ahLst/>
            <a:cxnLst>
              <a:cxn ang="T10">
                <a:pos x="T0" y="T1"/>
              </a:cxn>
              <a:cxn ang="T11">
                <a:pos x="T2" y="T3"/>
              </a:cxn>
              <a:cxn ang="T12">
                <a:pos x="T4" y="T5"/>
              </a:cxn>
              <a:cxn ang="T13">
                <a:pos x="T6" y="T7"/>
              </a:cxn>
              <a:cxn ang="T14">
                <a:pos x="T8" y="T9"/>
              </a:cxn>
            </a:cxnLst>
            <a:rect l="T15" t="T16" r="T17" b="T18"/>
            <a:pathLst>
              <a:path w="191" h="130">
                <a:moveTo>
                  <a:pt x="0" y="106"/>
                </a:moveTo>
                <a:lnTo>
                  <a:pt x="191" y="0"/>
                </a:lnTo>
                <a:lnTo>
                  <a:pt x="191" y="24"/>
                </a:lnTo>
                <a:lnTo>
                  <a:pt x="0" y="130"/>
                </a:lnTo>
                <a:lnTo>
                  <a:pt x="0" y="106"/>
                </a:lnTo>
                <a:close/>
              </a:path>
            </a:pathLst>
          </a:custGeom>
          <a:gradFill rotWithShape="1">
            <a:gsLst>
              <a:gs pos="0">
                <a:srgbClr val="FFFFFF"/>
              </a:gs>
              <a:gs pos="100000">
                <a:srgbClr val="C0C0C0"/>
              </a:gs>
            </a:gsLst>
            <a:lin ang="2700000" scaled="1"/>
          </a:gradFill>
          <a:ln w="9525">
            <a:solidFill>
              <a:srgbClr val="000000"/>
            </a:solidFill>
            <a:round/>
            <a:headEnd/>
            <a:tailEnd/>
          </a:ln>
        </xdr:spPr>
      </xdr:sp>
      <xdr:sp macro="" textlink="">
        <xdr:nvSpPr>
          <xdr:cNvPr id="10398" name="Freeform 213"/>
          <xdr:cNvSpPr>
            <a:spLocks/>
          </xdr:cNvSpPr>
        </xdr:nvSpPr>
        <xdr:spPr bwMode="auto">
          <a:xfrm>
            <a:off x="1123950" y="11439525"/>
            <a:ext cx="1828800" cy="1057275"/>
          </a:xfrm>
          <a:custGeom>
            <a:avLst/>
            <a:gdLst>
              <a:gd name="T0" fmla="*/ 0 w 192"/>
              <a:gd name="T1" fmla="*/ 2147483647 h 111"/>
              <a:gd name="T2" fmla="*/ 2147483647 w 192"/>
              <a:gd name="T3" fmla="*/ 0 h 111"/>
              <a:gd name="T4" fmla="*/ 2147483647 w 192"/>
              <a:gd name="T5" fmla="*/ 362902549 h 111"/>
              <a:gd name="T6" fmla="*/ 0 w 192"/>
              <a:gd name="T7" fmla="*/ 2147483647 h 111"/>
              <a:gd name="T8" fmla="*/ 0 w 192"/>
              <a:gd name="T9" fmla="*/ 2147483647 h 111"/>
              <a:gd name="T10" fmla="*/ 0 60000 65536"/>
              <a:gd name="T11" fmla="*/ 0 60000 65536"/>
              <a:gd name="T12" fmla="*/ 0 60000 65536"/>
              <a:gd name="T13" fmla="*/ 0 60000 65536"/>
              <a:gd name="T14" fmla="*/ 0 60000 65536"/>
              <a:gd name="T15" fmla="*/ 0 w 192"/>
              <a:gd name="T16" fmla="*/ 0 h 111"/>
              <a:gd name="T17" fmla="*/ 192 w 192"/>
              <a:gd name="T18" fmla="*/ 111 h 111"/>
            </a:gdLst>
            <a:ahLst/>
            <a:cxnLst>
              <a:cxn ang="T10">
                <a:pos x="T0" y="T1"/>
              </a:cxn>
              <a:cxn ang="T11">
                <a:pos x="T2" y="T3"/>
              </a:cxn>
              <a:cxn ang="T12">
                <a:pos x="T4" y="T5"/>
              </a:cxn>
              <a:cxn ang="T13">
                <a:pos x="T6" y="T7"/>
              </a:cxn>
              <a:cxn ang="T14">
                <a:pos x="T8" y="T9"/>
              </a:cxn>
            </a:cxnLst>
            <a:rect l="T15" t="T16" r="T17" b="T18"/>
            <a:pathLst>
              <a:path w="192" h="111">
                <a:moveTo>
                  <a:pt x="0" y="107"/>
                </a:moveTo>
                <a:lnTo>
                  <a:pt x="192" y="0"/>
                </a:lnTo>
                <a:lnTo>
                  <a:pt x="192" y="4"/>
                </a:lnTo>
                <a:lnTo>
                  <a:pt x="0" y="111"/>
                </a:lnTo>
                <a:lnTo>
                  <a:pt x="0" y="107"/>
                </a:lnTo>
                <a:close/>
              </a:path>
            </a:pathLst>
          </a:custGeom>
          <a:solidFill>
            <a:srgbClr val="969696"/>
          </a:solidFill>
          <a:ln w="9525">
            <a:solidFill>
              <a:srgbClr val="000000"/>
            </a:solidFill>
            <a:round/>
            <a:headEnd/>
            <a:tailEnd/>
          </a:ln>
        </xdr:spPr>
      </xdr:sp>
      <xdr:sp macro="" textlink="">
        <xdr:nvSpPr>
          <xdr:cNvPr id="10399" name="Freeform 214"/>
          <xdr:cNvSpPr>
            <a:spLocks/>
          </xdr:cNvSpPr>
        </xdr:nvSpPr>
        <xdr:spPr bwMode="auto">
          <a:xfrm>
            <a:off x="752475" y="12230100"/>
            <a:ext cx="381000" cy="266700"/>
          </a:xfrm>
          <a:custGeom>
            <a:avLst/>
            <a:gdLst>
              <a:gd name="T0" fmla="*/ 362902510 w 40"/>
              <a:gd name="T1" fmla="*/ 0 h 28"/>
              <a:gd name="T2" fmla="*/ 362902510 w 40"/>
              <a:gd name="T3" fmla="*/ 2147483647 h 28"/>
              <a:gd name="T4" fmla="*/ 2147483647 w 40"/>
              <a:gd name="T5" fmla="*/ 2147483647 h 28"/>
              <a:gd name="T6" fmla="*/ 2147483647 w 40"/>
              <a:gd name="T7" fmla="*/ 2147483647 h 28"/>
              <a:gd name="T8" fmla="*/ 0 w 40"/>
              <a:gd name="T9" fmla="*/ 2147483647 h 28"/>
              <a:gd name="T10" fmla="*/ 0 w 40"/>
              <a:gd name="T11" fmla="*/ 0 h 28"/>
              <a:gd name="T12" fmla="*/ 362902510 w 40"/>
              <a:gd name="T13" fmla="*/ 0 h 28"/>
              <a:gd name="T14" fmla="*/ 0 60000 65536"/>
              <a:gd name="T15" fmla="*/ 0 60000 65536"/>
              <a:gd name="T16" fmla="*/ 0 60000 65536"/>
              <a:gd name="T17" fmla="*/ 0 60000 65536"/>
              <a:gd name="T18" fmla="*/ 0 60000 65536"/>
              <a:gd name="T19" fmla="*/ 0 60000 65536"/>
              <a:gd name="T20" fmla="*/ 0 60000 65536"/>
              <a:gd name="T21" fmla="*/ 0 w 40"/>
              <a:gd name="T22" fmla="*/ 0 h 28"/>
              <a:gd name="T23" fmla="*/ 40 w 40"/>
              <a:gd name="T24" fmla="*/ 28 h 28"/>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0" h="28">
                <a:moveTo>
                  <a:pt x="4" y="0"/>
                </a:moveTo>
                <a:lnTo>
                  <a:pt x="4" y="24"/>
                </a:lnTo>
                <a:lnTo>
                  <a:pt x="40" y="24"/>
                </a:lnTo>
                <a:lnTo>
                  <a:pt x="40" y="28"/>
                </a:lnTo>
                <a:lnTo>
                  <a:pt x="0" y="28"/>
                </a:lnTo>
                <a:lnTo>
                  <a:pt x="0" y="0"/>
                </a:lnTo>
                <a:lnTo>
                  <a:pt x="4" y="0"/>
                </a:lnTo>
                <a:close/>
              </a:path>
            </a:pathLst>
          </a:custGeom>
          <a:solidFill>
            <a:srgbClr val="969696"/>
          </a:solidFill>
          <a:ln w="9525">
            <a:solidFill>
              <a:srgbClr val="000000"/>
            </a:solidFill>
            <a:round/>
            <a:headEnd/>
            <a:tailEnd/>
          </a:ln>
        </xdr:spPr>
      </xdr:sp>
      <xdr:sp macro="" textlink="">
        <xdr:nvSpPr>
          <xdr:cNvPr id="10400" name="Line 446"/>
          <xdr:cNvSpPr>
            <a:spLocks noChangeShapeType="1"/>
          </xdr:cNvSpPr>
        </xdr:nvSpPr>
        <xdr:spPr bwMode="auto">
          <a:xfrm>
            <a:off x="552450" y="7772400"/>
            <a:ext cx="0" cy="0"/>
          </a:xfrm>
          <a:prstGeom prst="line">
            <a:avLst/>
          </a:prstGeom>
          <a:noFill/>
          <a:ln w="9525">
            <a:solidFill>
              <a:srgbClr val="000000"/>
            </a:solidFill>
            <a:round/>
            <a:headEnd/>
            <a:tailEnd/>
          </a:ln>
        </xdr:spPr>
      </xdr:sp>
      <xdr:sp macro="" textlink="">
        <xdr:nvSpPr>
          <xdr:cNvPr id="10401" name="Line 447"/>
          <xdr:cNvSpPr>
            <a:spLocks noChangeShapeType="1"/>
          </xdr:cNvSpPr>
        </xdr:nvSpPr>
        <xdr:spPr bwMode="auto">
          <a:xfrm flipV="1">
            <a:off x="561975" y="6657975"/>
            <a:ext cx="2038350" cy="1123950"/>
          </a:xfrm>
          <a:prstGeom prst="line">
            <a:avLst/>
          </a:prstGeom>
          <a:noFill/>
          <a:ln w="19050">
            <a:solidFill>
              <a:srgbClr val="000000"/>
            </a:solidFill>
            <a:round/>
            <a:headEnd/>
            <a:tailEnd/>
          </a:ln>
        </xdr:spPr>
      </xdr:sp>
      <xdr:grpSp>
        <xdr:nvGrpSpPr>
          <xdr:cNvPr id="10402" name="Group 217"/>
          <xdr:cNvGrpSpPr>
            <a:grpSpLocks/>
          </xdr:cNvGrpSpPr>
        </xdr:nvGrpSpPr>
        <xdr:grpSpPr bwMode="auto">
          <a:xfrm>
            <a:off x="276225" y="6477000"/>
            <a:ext cx="2247900" cy="1285875"/>
            <a:chOff x="304800" y="57150"/>
            <a:chExt cx="236" cy="135"/>
          </a:xfrm>
        </xdr:grpSpPr>
        <xdr:sp macro="" textlink="">
          <xdr:nvSpPr>
            <xdr:cNvPr id="10405" name="Freeform 226"/>
            <xdr:cNvSpPr>
              <a:spLocks/>
            </xdr:cNvSpPr>
          </xdr:nvSpPr>
          <xdr:spPr bwMode="auto">
            <a:xfrm>
              <a:off x="304844" y="57150"/>
              <a:ext cx="192" cy="134"/>
            </a:xfrm>
            <a:custGeom>
              <a:avLst/>
              <a:gdLst>
                <a:gd name="T0" fmla="*/ 0 w 192"/>
                <a:gd name="T1" fmla="*/ 107 h 134"/>
                <a:gd name="T2" fmla="*/ 192 w 192"/>
                <a:gd name="T3" fmla="*/ 0 h 134"/>
                <a:gd name="T4" fmla="*/ 192 w 192"/>
                <a:gd name="T5" fmla="*/ 28 h 134"/>
                <a:gd name="T6" fmla="*/ 0 w 192"/>
                <a:gd name="T7" fmla="*/ 134 h 134"/>
                <a:gd name="T8" fmla="*/ 0 w 192"/>
                <a:gd name="T9" fmla="*/ 107 h 134"/>
                <a:gd name="T10" fmla="*/ 0 60000 65536"/>
                <a:gd name="T11" fmla="*/ 0 60000 65536"/>
                <a:gd name="T12" fmla="*/ 0 60000 65536"/>
                <a:gd name="T13" fmla="*/ 0 60000 65536"/>
                <a:gd name="T14" fmla="*/ 0 60000 65536"/>
                <a:gd name="T15" fmla="*/ 0 w 192"/>
                <a:gd name="T16" fmla="*/ 0 h 134"/>
                <a:gd name="T17" fmla="*/ 192 w 192"/>
                <a:gd name="T18" fmla="*/ 134 h 134"/>
              </a:gdLst>
              <a:ahLst/>
              <a:cxnLst>
                <a:cxn ang="T10">
                  <a:pos x="T0" y="T1"/>
                </a:cxn>
                <a:cxn ang="T11">
                  <a:pos x="T2" y="T3"/>
                </a:cxn>
                <a:cxn ang="T12">
                  <a:pos x="T4" y="T5"/>
                </a:cxn>
                <a:cxn ang="T13">
                  <a:pos x="T6" y="T7"/>
                </a:cxn>
                <a:cxn ang="T14">
                  <a:pos x="T8" y="T9"/>
                </a:cxn>
              </a:cxnLst>
              <a:rect l="T15" t="T16" r="T17" b="T18"/>
              <a:pathLst>
                <a:path w="192" h="134">
                  <a:moveTo>
                    <a:pt x="0" y="107"/>
                  </a:moveTo>
                  <a:lnTo>
                    <a:pt x="192" y="0"/>
                  </a:lnTo>
                  <a:lnTo>
                    <a:pt x="192" y="28"/>
                  </a:lnTo>
                  <a:lnTo>
                    <a:pt x="0" y="134"/>
                  </a:lnTo>
                  <a:lnTo>
                    <a:pt x="0" y="107"/>
                  </a:lnTo>
                  <a:close/>
                </a:path>
              </a:pathLst>
            </a:custGeom>
            <a:gradFill rotWithShape="1">
              <a:gsLst>
                <a:gs pos="0">
                  <a:srgbClr val="C0C0C0"/>
                </a:gs>
                <a:gs pos="100000">
                  <a:srgbClr val="FFFFFF"/>
                </a:gs>
              </a:gsLst>
              <a:lin ang="2700000" scaled="1"/>
            </a:gradFill>
            <a:ln w="9525">
              <a:solidFill>
                <a:srgbClr val="000000"/>
              </a:solidFill>
              <a:round/>
              <a:headEnd/>
              <a:tailEnd/>
            </a:ln>
          </xdr:spPr>
        </xdr:sp>
        <xdr:sp macro="" textlink="">
          <xdr:nvSpPr>
            <xdr:cNvPr id="10406" name="Freeform 227"/>
            <xdr:cNvSpPr>
              <a:spLocks/>
            </xdr:cNvSpPr>
          </xdr:nvSpPr>
          <xdr:spPr bwMode="auto">
            <a:xfrm>
              <a:off x="304800" y="57150"/>
              <a:ext cx="236" cy="107"/>
            </a:xfrm>
            <a:custGeom>
              <a:avLst/>
              <a:gdLst>
                <a:gd name="T0" fmla="*/ 44 w 236"/>
                <a:gd name="T1" fmla="*/ 107 h 107"/>
                <a:gd name="T2" fmla="*/ 0 w 236"/>
                <a:gd name="T3" fmla="*/ 107 h 107"/>
                <a:gd name="T4" fmla="*/ 195 w 236"/>
                <a:gd name="T5" fmla="*/ 0 h 107"/>
                <a:gd name="T6" fmla="*/ 236 w 236"/>
                <a:gd name="T7" fmla="*/ 0 h 107"/>
                <a:gd name="T8" fmla="*/ 44 w 236"/>
                <a:gd name="T9" fmla="*/ 107 h 107"/>
                <a:gd name="T10" fmla="*/ 0 60000 65536"/>
                <a:gd name="T11" fmla="*/ 0 60000 65536"/>
                <a:gd name="T12" fmla="*/ 0 60000 65536"/>
                <a:gd name="T13" fmla="*/ 0 60000 65536"/>
                <a:gd name="T14" fmla="*/ 0 60000 65536"/>
                <a:gd name="T15" fmla="*/ 0 w 236"/>
                <a:gd name="T16" fmla="*/ 0 h 107"/>
                <a:gd name="T17" fmla="*/ 236 w 236"/>
                <a:gd name="T18" fmla="*/ 107 h 107"/>
              </a:gdLst>
              <a:ahLst/>
              <a:cxnLst>
                <a:cxn ang="T10">
                  <a:pos x="T0" y="T1"/>
                </a:cxn>
                <a:cxn ang="T11">
                  <a:pos x="T2" y="T3"/>
                </a:cxn>
                <a:cxn ang="T12">
                  <a:pos x="T4" y="T5"/>
                </a:cxn>
                <a:cxn ang="T13">
                  <a:pos x="T6" y="T7"/>
                </a:cxn>
                <a:cxn ang="T14">
                  <a:pos x="T8" y="T9"/>
                </a:cxn>
              </a:cxnLst>
              <a:rect l="T15" t="T16" r="T17" b="T18"/>
              <a:pathLst>
                <a:path w="236" h="107">
                  <a:moveTo>
                    <a:pt x="44" y="107"/>
                  </a:moveTo>
                  <a:lnTo>
                    <a:pt x="0" y="107"/>
                  </a:lnTo>
                  <a:lnTo>
                    <a:pt x="195" y="0"/>
                  </a:lnTo>
                  <a:lnTo>
                    <a:pt x="236" y="0"/>
                  </a:lnTo>
                  <a:lnTo>
                    <a:pt x="44" y="107"/>
                  </a:lnTo>
                  <a:close/>
                </a:path>
              </a:pathLst>
            </a:custGeom>
            <a:gradFill rotWithShape="1">
              <a:gsLst>
                <a:gs pos="0">
                  <a:srgbClr val="FFFFFF"/>
                </a:gs>
                <a:gs pos="100000">
                  <a:srgbClr val="C0C0C0"/>
                </a:gs>
              </a:gsLst>
              <a:lin ang="5400000" scaled="1"/>
            </a:gradFill>
            <a:ln w="9525">
              <a:solidFill>
                <a:srgbClr val="000000"/>
              </a:solidFill>
              <a:round/>
              <a:headEnd/>
              <a:tailEnd/>
            </a:ln>
          </xdr:spPr>
        </xdr:sp>
        <xdr:sp macro="" textlink="">
          <xdr:nvSpPr>
            <xdr:cNvPr id="10407" name="Freeform 228"/>
            <xdr:cNvSpPr>
              <a:spLocks/>
            </xdr:cNvSpPr>
          </xdr:nvSpPr>
          <xdr:spPr bwMode="auto">
            <a:xfrm>
              <a:off x="304800" y="57257"/>
              <a:ext cx="45" cy="28"/>
            </a:xfrm>
            <a:custGeom>
              <a:avLst/>
              <a:gdLst>
                <a:gd name="T0" fmla="*/ 41 w 45"/>
                <a:gd name="T1" fmla="*/ 28 h 28"/>
                <a:gd name="T2" fmla="*/ 41 w 45"/>
                <a:gd name="T3" fmla="*/ 3 h 28"/>
                <a:gd name="T4" fmla="*/ 0 w 45"/>
                <a:gd name="T5" fmla="*/ 3 h 28"/>
                <a:gd name="T6" fmla="*/ 0 w 45"/>
                <a:gd name="T7" fmla="*/ 0 h 28"/>
                <a:gd name="T8" fmla="*/ 45 w 45"/>
                <a:gd name="T9" fmla="*/ 0 h 28"/>
                <a:gd name="T10" fmla="*/ 45 w 45"/>
                <a:gd name="T11" fmla="*/ 28 h 28"/>
                <a:gd name="T12" fmla="*/ 41 w 45"/>
                <a:gd name="T13" fmla="*/ 28 h 28"/>
                <a:gd name="T14" fmla="*/ 0 60000 65536"/>
                <a:gd name="T15" fmla="*/ 0 60000 65536"/>
                <a:gd name="T16" fmla="*/ 0 60000 65536"/>
                <a:gd name="T17" fmla="*/ 0 60000 65536"/>
                <a:gd name="T18" fmla="*/ 0 60000 65536"/>
                <a:gd name="T19" fmla="*/ 0 60000 65536"/>
                <a:gd name="T20" fmla="*/ 0 60000 65536"/>
                <a:gd name="T21" fmla="*/ 0 w 45"/>
                <a:gd name="T22" fmla="*/ 0 h 28"/>
                <a:gd name="T23" fmla="*/ 45 w 45"/>
                <a:gd name="T24" fmla="*/ 28 h 28"/>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5" h="28">
                  <a:moveTo>
                    <a:pt x="41" y="28"/>
                  </a:moveTo>
                  <a:lnTo>
                    <a:pt x="41" y="3"/>
                  </a:lnTo>
                  <a:lnTo>
                    <a:pt x="0" y="3"/>
                  </a:lnTo>
                  <a:lnTo>
                    <a:pt x="0" y="0"/>
                  </a:lnTo>
                  <a:lnTo>
                    <a:pt x="45" y="0"/>
                  </a:lnTo>
                  <a:lnTo>
                    <a:pt x="45" y="28"/>
                  </a:lnTo>
                  <a:lnTo>
                    <a:pt x="41" y="28"/>
                  </a:lnTo>
                  <a:close/>
                </a:path>
              </a:pathLst>
            </a:custGeom>
            <a:solidFill>
              <a:srgbClr val="969696"/>
            </a:solidFill>
            <a:ln w="9525">
              <a:solidFill>
                <a:srgbClr val="000000"/>
              </a:solidFill>
              <a:round/>
              <a:headEnd/>
              <a:tailEnd/>
            </a:ln>
          </xdr:spPr>
        </xdr:sp>
      </xdr:grpSp>
      <xdr:sp macro="" textlink="">
        <xdr:nvSpPr>
          <xdr:cNvPr id="10403" name="Rectangle 218"/>
          <xdr:cNvSpPr>
            <a:spLocks noChangeArrowheads="1"/>
          </xdr:cNvSpPr>
        </xdr:nvSpPr>
        <xdr:spPr bwMode="auto">
          <a:xfrm>
            <a:off x="561975" y="7734299"/>
            <a:ext cx="390525" cy="4572000"/>
          </a:xfrm>
          <a:prstGeom prst="rect">
            <a:avLst/>
          </a:prstGeom>
          <a:solidFill>
            <a:srgbClr val="69FFFF"/>
          </a:solidFill>
          <a:ln w="19050">
            <a:solidFill>
              <a:srgbClr val="000000"/>
            </a:solidFill>
            <a:miter lim="800000"/>
            <a:headEnd/>
            <a:tailEnd/>
          </a:ln>
        </xdr:spPr>
      </xdr:sp>
      <xdr:sp macro="" textlink="">
        <xdr:nvSpPr>
          <xdr:cNvPr id="10404" name="Freeform 219"/>
          <xdr:cNvSpPr>
            <a:spLocks/>
          </xdr:cNvSpPr>
        </xdr:nvSpPr>
        <xdr:spPr bwMode="auto">
          <a:xfrm>
            <a:off x="1057275" y="7115175"/>
            <a:ext cx="1876425" cy="4705350"/>
          </a:xfrm>
          <a:custGeom>
            <a:avLst/>
            <a:gdLst>
              <a:gd name="T0" fmla="*/ 0 w 197"/>
              <a:gd name="T1" fmla="*/ 2147483647 h 494"/>
              <a:gd name="T2" fmla="*/ 0 w 197"/>
              <a:gd name="T3" fmla="*/ 2147483647 h 494"/>
              <a:gd name="T4" fmla="*/ 0 w 197"/>
              <a:gd name="T5" fmla="*/ 2147483647 h 494"/>
              <a:gd name="T6" fmla="*/ 90725634 w 197"/>
              <a:gd name="T7" fmla="*/ 2147483647 h 494"/>
              <a:gd name="T8" fmla="*/ 725805073 w 197"/>
              <a:gd name="T9" fmla="*/ 2147483647 h 494"/>
              <a:gd name="T10" fmla="*/ 2086689324 w 197"/>
              <a:gd name="T11" fmla="*/ 2147483647 h 494"/>
              <a:gd name="T12" fmla="*/ 2147483647 w 197"/>
              <a:gd name="T13" fmla="*/ 2147483647 h 494"/>
              <a:gd name="T14" fmla="*/ 2147483647 w 197"/>
              <a:gd name="T15" fmla="*/ 2147483647 h 494"/>
              <a:gd name="T16" fmla="*/ 2147483647 w 197"/>
              <a:gd name="T17" fmla="*/ 2147483647 h 494"/>
              <a:gd name="T18" fmla="*/ 2147483647 w 197"/>
              <a:gd name="T19" fmla="*/ 1179433131 h 494"/>
              <a:gd name="T20" fmla="*/ 2147483647 w 197"/>
              <a:gd name="T21" fmla="*/ 362902559 h 494"/>
              <a:gd name="T22" fmla="*/ 2147483647 w 197"/>
              <a:gd name="T23" fmla="*/ 0 h 494"/>
              <a:gd name="T24" fmla="*/ 2147483647 w 197"/>
              <a:gd name="T25" fmla="*/ 0 h 494"/>
              <a:gd name="T26" fmla="*/ 2147483647 w 197"/>
              <a:gd name="T27" fmla="*/ 2147483647 h 494"/>
              <a:gd name="T28" fmla="*/ 2147483647 w 197"/>
              <a:gd name="T29" fmla="*/ 2147483647 h 494"/>
              <a:gd name="T30" fmla="*/ 2147483647 w 197"/>
              <a:gd name="T31" fmla="*/ 2147483647 h 494"/>
              <a:gd name="T32" fmla="*/ 2147483647 w 197"/>
              <a:gd name="T33" fmla="*/ 2147483647 h 494"/>
              <a:gd name="T34" fmla="*/ 1633061339 w 197"/>
              <a:gd name="T35" fmla="*/ 2147483647 h 494"/>
              <a:gd name="T36" fmla="*/ 453628133 w 197"/>
              <a:gd name="T37" fmla="*/ 2147483647 h 494"/>
              <a:gd name="T38" fmla="*/ 90725634 w 197"/>
              <a:gd name="T39" fmla="*/ 2147483647 h 494"/>
              <a:gd name="T40" fmla="*/ 0 w 197"/>
              <a:gd name="T41" fmla="*/ 2147483647 h 494"/>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w 197"/>
              <a:gd name="T64" fmla="*/ 0 h 494"/>
              <a:gd name="T65" fmla="*/ 197 w 197"/>
              <a:gd name="T66" fmla="*/ 494 h 494"/>
            </a:gdLst>
            <a:ahLst/>
            <a:cxnLst>
              <a:cxn ang="T42">
                <a:pos x="T0" y="T1"/>
              </a:cxn>
              <a:cxn ang="T43">
                <a:pos x="T2" y="T3"/>
              </a:cxn>
              <a:cxn ang="T44">
                <a:pos x="T4" y="T5"/>
              </a:cxn>
              <a:cxn ang="T45">
                <a:pos x="T6" y="T7"/>
              </a:cxn>
              <a:cxn ang="T46">
                <a:pos x="T8" y="T9"/>
              </a:cxn>
              <a:cxn ang="T47">
                <a:pos x="T10" y="T11"/>
              </a:cxn>
              <a:cxn ang="T48">
                <a:pos x="T12" y="T13"/>
              </a:cxn>
              <a:cxn ang="T49">
                <a:pos x="T14" y="T15"/>
              </a:cxn>
              <a:cxn ang="T50">
                <a:pos x="T16" y="T17"/>
              </a:cxn>
              <a:cxn ang="T51">
                <a:pos x="T18" y="T19"/>
              </a:cxn>
              <a:cxn ang="T52">
                <a:pos x="T20" y="T21"/>
              </a:cxn>
              <a:cxn ang="T53">
                <a:pos x="T22" y="T23"/>
              </a:cxn>
              <a:cxn ang="T54">
                <a:pos x="T24" y="T25"/>
              </a:cxn>
              <a:cxn ang="T55">
                <a:pos x="T26" y="T27"/>
              </a:cxn>
              <a:cxn ang="T56">
                <a:pos x="T28" y="T29"/>
              </a:cxn>
              <a:cxn ang="T57">
                <a:pos x="T30" y="T31"/>
              </a:cxn>
              <a:cxn ang="T58">
                <a:pos x="T32" y="T33"/>
              </a:cxn>
              <a:cxn ang="T59">
                <a:pos x="T34" y="T35"/>
              </a:cxn>
              <a:cxn ang="T60">
                <a:pos x="T36" y="T37"/>
              </a:cxn>
              <a:cxn ang="T61">
                <a:pos x="T38" y="T39"/>
              </a:cxn>
              <a:cxn ang="T62">
                <a:pos x="T40" y="T41"/>
              </a:cxn>
            </a:cxnLst>
            <a:rect l="T63" t="T64" r="T65" b="T66"/>
            <a:pathLst>
              <a:path w="197" h="494">
                <a:moveTo>
                  <a:pt x="0" y="188"/>
                </a:moveTo>
                <a:lnTo>
                  <a:pt x="0" y="172"/>
                </a:lnTo>
                <a:lnTo>
                  <a:pt x="0" y="121"/>
                </a:lnTo>
                <a:lnTo>
                  <a:pt x="1" y="109"/>
                </a:lnTo>
                <a:lnTo>
                  <a:pt x="8" y="106"/>
                </a:lnTo>
                <a:lnTo>
                  <a:pt x="23" y="97"/>
                </a:lnTo>
                <a:lnTo>
                  <a:pt x="77" y="67"/>
                </a:lnTo>
                <a:lnTo>
                  <a:pt x="120" y="42"/>
                </a:lnTo>
                <a:lnTo>
                  <a:pt x="146" y="27"/>
                </a:lnTo>
                <a:lnTo>
                  <a:pt x="172" y="13"/>
                </a:lnTo>
                <a:lnTo>
                  <a:pt x="186" y="4"/>
                </a:lnTo>
                <a:lnTo>
                  <a:pt x="194" y="0"/>
                </a:lnTo>
                <a:lnTo>
                  <a:pt x="197" y="0"/>
                </a:lnTo>
                <a:lnTo>
                  <a:pt x="196" y="72"/>
                </a:lnTo>
                <a:lnTo>
                  <a:pt x="196" y="343"/>
                </a:lnTo>
                <a:lnTo>
                  <a:pt x="196" y="393"/>
                </a:lnTo>
                <a:lnTo>
                  <a:pt x="190" y="397"/>
                </a:lnTo>
                <a:lnTo>
                  <a:pt x="18" y="491"/>
                </a:lnTo>
                <a:lnTo>
                  <a:pt x="5" y="494"/>
                </a:lnTo>
                <a:lnTo>
                  <a:pt x="1" y="492"/>
                </a:lnTo>
                <a:lnTo>
                  <a:pt x="0" y="188"/>
                </a:lnTo>
                <a:close/>
              </a:path>
            </a:pathLst>
          </a:custGeom>
          <a:gradFill rotWithShape="1">
            <a:gsLst>
              <a:gs pos="0">
                <a:srgbClr val="FFFFFF"/>
              </a:gs>
              <a:gs pos="100000">
                <a:srgbClr val="69FFFF"/>
              </a:gs>
            </a:gsLst>
            <a:lin ang="2700000" scaled="1"/>
          </a:gradFill>
          <a:ln w="57150" cmpd="sng">
            <a:solidFill>
              <a:srgbClr val="A6CAF0"/>
            </a:solidFill>
            <a:round/>
            <a:headEnd/>
            <a:tailEnd/>
          </a:ln>
        </xdr:spPr>
      </xdr:sp>
      <xdr:sp macro="" textlink="">
        <xdr:nvSpPr>
          <xdr:cNvPr id="13" name="Freeform 12"/>
          <xdr:cNvSpPr/>
        </xdr:nvSpPr>
        <xdr:spPr bwMode="auto">
          <a:xfrm>
            <a:off x="3943350" y="7737196"/>
            <a:ext cx="180975" cy="4383405"/>
          </a:xfrm>
          <a:custGeom>
            <a:avLst/>
            <a:gdLst>
              <a:gd name="connsiteX0" fmla="*/ 180975 w 180975"/>
              <a:gd name="connsiteY0" fmla="*/ 0 h 4086225"/>
              <a:gd name="connsiteX1" fmla="*/ 0 w 180975"/>
              <a:gd name="connsiteY1" fmla="*/ 361950 h 4086225"/>
              <a:gd name="connsiteX2" fmla="*/ 0 w 180975"/>
              <a:gd name="connsiteY2" fmla="*/ 4086225 h 4086225"/>
              <a:gd name="connsiteX3" fmla="*/ 180975 w 180975"/>
              <a:gd name="connsiteY3" fmla="*/ 3762375 h 4086225"/>
              <a:gd name="connsiteX4" fmla="*/ 180975 w 180975"/>
              <a:gd name="connsiteY4" fmla="*/ 0 h 4086225"/>
              <a:gd name="connsiteX0" fmla="*/ 171450 w 180975"/>
              <a:gd name="connsiteY0" fmla="*/ 0 h 4619625"/>
              <a:gd name="connsiteX1" fmla="*/ 0 w 180975"/>
              <a:gd name="connsiteY1" fmla="*/ 895350 h 4619625"/>
              <a:gd name="connsiteX2" fmla="*/ 0 w 180975"/>
              <a:gd name="connsiteY2" fmla="*/ 4619625 h 4619625"/>
              <a:gd name="connsiteX3" fmla="*/ 180975 w 180975"/>
              <a:gd name="connsiteY3" fmla="*/ 4295775 h 4619625"/>
              <a:gd name="connsiteX4" fmla="*/ 171450 w 180975"/>
              <a:gd name="connsiteY4" fmla="*/ 0 h 4619625"/>
              <a:gd name="connsiteX0" fmla="*/ 171450 w 180975"/>
              <a:gd name="connsiteY0" fmla="*/ 0 h 4619625"/>
              <a:gd name="connsiteX1" fmla="*/ 0 w 180975"/>
              <a:gd name="connsiteY1" fmla="*/ 381000 h 4619625"/>
              <a:gd name="connsiteX2" fmla="*/ 0 w 180975"/>
              <a:gd name="connsiteY2" fmla="*/ 4619625 h 4619625"/>
              <a:gd name="connsiteX3" fmla="*/ 180975 w 180975"/>
              <a:gd name="connsiteY3" fmla="*/ 4295775 h 4619625"/>
              <a:gd name="connsiteX4" fmla="*/ 171450 w 180975"/>
              <a:gd name="connsiteY4" fmla="*/ 0 h 4619625"/>
              <a:gd name="connsiteX0" fmla="*/ 171450 w 180975"/>
              <a:gd name="connsiteY0" fmla="*/ 0 h 5143500"/>
              <a:gd name="connsiteX1" fmla="*/ 0 w 180975"/>
              <a:gd name="connsiteY1" fmla="*/ 381000 h 5143500"/>
              <a:gd name="connsiteX2" fmla="*/ 0 w 180975"/>
              <a:gd name="connsiteY2" fmla="*/ 5143500 h 5143500"/>
              <a:gd name="connsiteX3" fmla="*/ 180975 w 180975"/>
              <a:gd name="connsiteY3" fmla="*/ 4295775 h 5143500"/>
              <a:gd name="connsiteX4" fmla="*/ 171450 w 180975"/>
              <a:gd name="connsiteY4" fmla="*/ 0 h 5143500"/>
              <a:gd name="connsiteX0" fmla="*/ 171450 w 180975"/>
              <a:gd name="connsiteY0" fmla="*/ 0 h 5143500"/>
              <a:gd name="connsiteX1" fmla="*/ 0 w 180975"/>
              <a:gd name="connsiteY1" fmla="*/ 381000 h 5143500"/>
              <a:gd name="connsiteX2" fmla="*/ 0 w 180975"/>
              <a:gd name="connsiteY2" fmla="*/ 5143500 h 5143500"/>
              <a:gd name="connsiteX3" fmla="*/ 180975 w 180975"/>
              <a:gd name="connsiteY3" fmla="*/ 4819650 h 5143500"/>
              <a:gd name="connsiteX4" fmla="*/ 171450 w 180975"/>
              <a:gd name="connsiteY4" fmla="*/ 0 h 51435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80975" h="5143500">
                <a:moveTo>
                  <a:pt x="171450" y="0"/>
                </a:moveTo>
                <a:lnTo>
                  <a:pt x="0" y="381000"/>
                </a:lnTo>
                <a:lnTo>
                  <a:pt x="0" y="5143500"/>
                </a:lnTo>
                <a:lnTo>
                  <a:pt x="180975" y="4819650"/>
                </a:lnTo>
                <a:lnTo>
                  <a:pt x="171450" y="0"/>
                </a:lnTo>
                <a:close/>
              </a:path>
            </a:pathLst>
          </a:cu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1"/>
            <a:tileRect/>
          </a:gra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12" name="Freeform 11"/>
          <xdr:cNvSpPr/>
        </xdr:nvSpPr>
        <xdr:spPr bwMode="auto">
          <a:xfrm>
            <a:off x="4114801" y="7009245"/>
            <a:ext cx="2159864" cy="4839854"/>
          </a:xfrm>
          <a:custGeom>
            <a:avLst/>
            <a:gdLst>
              <a:gd name="connsiteX0" fmla="*/ 2124075 w 2257425"/>
              <a:gd name="connsiteY0" fmla="*/ 0 h 4152900"/>
              <a:gd name="connsiteX1" fmla="*/ 0 w 2257425"/>
              <a:gd name="connsiteY1" fmla="*/ 390525 h 4152900"/>
              <a:gd name="connsiteX2" fmla="*/ 0 w 2257425"/>
              <a:gd name="connsiteY2" fmla="*/ 4152900 h 4152900"/>
              <a:gd name="connsiteX3" fmla="*/ 2257425 w 2257425"/>
              <a:gd name="connsiteY3" fmla="*/ 3457575 h 4152900"/>
              <a:gd name="connsiteX4" fmla="*/ 2124075 w 2257425"/>
              <a:gd name="connsiteY4" fmla="*/ 0 h 4152900"/>
              <a:gd name="connsiteX0" fmla="*/ 2143125 w 2276475"/>
              <a:gd name="connsiteY0" fmla="*/ 123825 h 4276725"/>
              <a:gd name="connsiteX1" fmla="*/ 0 w 2276475"/>
              <a:gd name="connsiteY1" fmla="*/ 0 h 4276725"/>
              <a:gd name="connsiteX2" fmla="*/ 19050 w 2276475"/>
              <a:gd name="connsiteY2" fmla="*/ 4276725 h 4276725"/>
              <a:gd name="connsiteX3" fmla="*/ 2276475 w 2276475"/>
              <a:gd name="connsiteY3" fmla="*/ 3581400 h 4276725"/>
              <a:gd name="connsiteX4" fmla="*/ 2143125 w 2276475"/>
              <a:gd name="connsiteY4" fmla="*/ 123825 h 4276725"/>
              <a:gd name="connsiteX0" fmla="*/ 2114550 w 2276475"/>
              <a:gd name="connsiteY0" fmla="*/ 0 h 4686300"/>
              <a:gd name="connsiteX1" fmla="*/ 0 w 2276475"/>
              <a:gd name="connsiteY1" fmla="*/ 409575 h 4686300"/>
              <a:gd name="connsiteX2" fmla="*/ 19050 w 2276475"/>
              <a:gd name="connsiteY2" fmla="*/ 4686300 h 4686300"/>
              <a:gd name="connsiteX3" fmla="*/ 2276475 w 2276475"/>
              <a:gd name="connsiteY3" fmla="*/ 3990975 h 4686300"/>
              <a:gd name="connsiteX4" fmla="*/ 2114550 w 2276475"/>
              <a:gd name="connsiteY4" fmla="*/ 0 h 4686300"/>
              <a:gd name="connsiteX0" fmla="*/ 2124075 w 2276475"/>
              <a:gd name="connsiteY0" fmla="*/ 0 h 4686300"/>
              <a:gd name="connsiteX1" fmla="*/ 0 w 2276475"/>
              <a:gd name="connsiteY1" fmla="*/ 409575 h 4686300"/>
              <a:gd name="connsiteX2" fmla="*/ 19050 w 2276475"/>
              <a:gd name="connsiteY2" fmla="*/ 4686300 h 4686300"/>
              <a:gd name="connsiteX3" fmla="*/ 2276475 w 2276475"/>
              <a:gd name="connsiteY3" fmla="*/ 3990975 h 4686300"/>
              <a:gd name="connsiteX4" fmla="*/ 2124075 w 2276475"/>
              <a:gd name="connsiteY4" fmla="*/ 0 h 4686300"/>
              <a:gd name="connsiteX0" fmla="*/ 2124075 w 2124075"/>
              <a:gd name="connsiteY0" fmla="*/ 0 h 4686300"/>
              <a:gd name="connsiteX1" fmla="*/ 0 w 2124075"/>
              <a:gd name="connsiteY1" fmla="*/ 409575 h 4686300"/>
              <a:gd name="connsiteX2" fmla="*/ 19050 w 2124075"/>
              <a:gd name="connsiteY2" fmla="*/ 4686300 h 4686300"/>
              <a:gd name="connsiteX3" fmla="*/ 2124075 w 2124075"/>
              <a:gd name="connsiteY3" fmla="*/ 4048125 h 4686300"/>
              <a:gd name="connsiteX4" fmla="*/ 2124075 w 2124075"/>
              <a:gd name="connsiteY4" fmla="*/ 0 h 4686300"/>
              <a:gd name="connsiteX0" fmla="*/ 2124075 w 2124075"/>
              <a:gd name="connsiteY0" fmla="*/ 0 h 4686300"/>
              <a:gd name="connsiteX1" fmla="*/ 0 w 2124075"/>
              <a:gd name="connsiteY1" fmla="*/ 409575 h 4686300"/>
              <a:gd name="connsiteX2" fmla="*/ 19050 w 2124075"/>
              <a:gd name="connsiteY2" fmla="*/ 4686300 h 4686300"/>
              <a:gd name="connsiteX3" fmla="*/ 2124075 w 2124075"/>
              <a:gd name="connsiteY3" fmla="*/ 4048125 h 4686300"/>
              <a:gd name="connsiteX4" fmla="*/ 2124075 w 2124075"/>
              <a:gd name="connsiteY4" fmla="*/ 0 h 4686300"/>
              <a:gd name="connsiteX0" fmla="*/ 2124075 w 2124075"/>
              <a:gd name="connsiteY0" fmla="*/ 0 h 5210175"/>
              <a:gd name="connsiteX1" fmla="*/ 0 w 2124075"/>
              <a:gd name="connsiteY1" fmla="*/ 409575 h 5210175"/>
              <a:gd name="connsiteX2" fmla="*/ 19050 w 2124075"/>
              <a:gd name="connsiteY2" fmla="*/ 5210175 h 5210175"/>
              <a:gd name="connsiteX3" fmla="*/ 2124075 w 2124075"/>
              <a:gd name="connsiteY3" fmla="*/ 4048125 h 5210175"/>
              <a:gd name="connsiteX4" fmla="*/ 2124075 w 2124075"/>
              <a:gd name="connsiteY4" fmla="*/ 0 h 5210175"/>
              <a:gd name="connsiteX0" fmla="*/ 2124075 w 2124075"/>
              <a:gd name="connsiteY0" fmla="*/ 0 h 5210175"/>
              <a:gd name="connsiteX1" fmla="*/ 0 w 2124075"/>
              <a:gd name="connsiteY1" fmla="*/ 409575 h 5210175"/>
              <a:gd name="connsiteX2" fmla="*/ 19050 w 2124075"/>
              <a:gd name="connsiteY2" fmla="*/ 5210175 h 5210175"/>
              <a:gd name="connsiteX3" fmla="*/ 2124075 w 2124075"/>
              <a:gd name="connsiteY3" fmla="*/ 4543425 h 5210175"/>
              <a:gd name="connsiteX4" fmla="*/ 2124075 w 2124075"/>
              <a:gd name="connsiteY4" fmla="*/ 0 h 5210175"/>
              <a:gd name="connsiteX0" fmla="*/ 2131240 w 2131240"/>
              <a:gd name="connsiteY0" fmla="*/ 0 h 4841975"/>
              <a:gd name="connsiteX1" fmla="*/ 0 w 2131240"/>
              <a:gd name="connsiteY1" fmla="*/ 41375 h 4841975"/>
              <a:gd name="connsiteX2" fmla="*/ 19050 w 2131240"/>
              <a:gd name="connsiteY2" fmla="*/ 4841975 h 4841975"/>
              <a:gd name="connsiteX3" fmla="*/ 2124075 w 2131240"/>
              <a:gd name="connsiteY3" fmla="*/ 4175225 h 4841975"/>
              <a:gd name="connsiteX4" fmla="*/ 2131240 w 2131240"/>
              <a:gd name="connsiteY4" fmla="*/ 0 h 4841975"/>
              <a:gd name="connsiteX0" fmla="*/ 2145572 w 2145572"/>
              <a:gd name="connsiteY0" fmla="*/ 0 h 4841975"/>
              <a:gd name="connsiteX1" fmla="*/ 0 w 2145572"/>
              <a:gd name="connsiteY1" fmla="*/ 777775 h 4841975"/>
              <a:gd name="connsiteX2" fmla="*/ 33382 w 2145572"/>
              <a:gd name="connsiteY2" fmla="*/ 4841975 h 4841975"/>
              <a:gd name="connsiteX3" fmla="*/ 2138407 w 2145572"/>
              <a:gd name="connsiteY3" fmla="*/ 4175225 h 4841975"/>
              <a:gd name="connsiteX4" fmla="*/ 2145572 w 2145572"/>
              <a:gd name="connsiteY4" fmla="*/ 0 h 4841975"/>
              <a:gd name="connsiteX0" fmla="*/ 2131239 w 2131239"/>
              <a:gd name="connsiteY0" fmla="*/ 0 h 4841975"/>
              <a:gd name="connsiteX1" fmla="*/ 0 w 2131239"/>
              <a:gd name="connsiteY1" fmla="*/ 740954 h 4841975"/>
              <a:gd name="connsiteX2" fmla="*/ 19049 w 2131239"/>
              <a:gd name="connsiteY2" fmla="*/ 4841975 h 4841975"/>
              <a:gd name="connsiteX3" fmla="*/ 2124074 w 2131239"/>
              <a:gd name="connsiteY3" fmla="*/ 4175225 h 4841975"/>
              <a:gd name="connsiteX4" fmla="*/ 2131239 w 2131239"/>
              <a:gd name="connsiteY4" fmla="*/ 0 h 484197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131239" h="4841975">
                <a:moveTo>
                  <a:pt x="2131239" y="0"/>
                </a:moveTo>
                <a:lnTo>
                  <a:pt x="0" y="740954"/>
                </a:lnTo>
                <a:cubicBezTo>
                  <a:pt x="6350" y="2107961"/>
                  <a:pt x="12699" y="3474968"/>
                  <a:pt x="19049" y="4841975"/>
                </a:cubicBezTo>
                <a:lnTo>
                  <a:pt x="2124074" y="4175225"/>
                </a:lnTo>
                <a:cubicBezTo>
                  <a:pt x="2126462" y="2783483"/>
                  <a:pt x="2128851" y="1391742"/>
                  <a:pt x="2131239" y="0"/>
                </a:cubicBezTo>
                <a:close/>
              </a:path>
            </a:pathLst>
          </a:cu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6200000" scaled="1"/>
            <a:tileRect/>
          </a:gra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11" name="Freeform 10"/>
          <xdr:cNvSpPr/>
        </xdr:nvSpPr>
        <xdr:spPr bwMode="auto">
          <a:xfrm>
            <a:off x="6267451" y="7000732"/>
            <a:ext cx="304800" cy="933592"/>
          </a:xfrm>
          <a:custGeom>
            <a:avLst/>
            <a:gdLst>
              <a:gd name="connsiteX0" fmla="*/ 295275 w 295275"/>
              <a:gd name="connsiteY0" fmla="*/ 209550 h 742950"/>
              <a:gd name="connsiteX1" fmla="*/ 0 w 295275"/>
              <a:gd name="connsiteY1" fmla="*/ 0 h 742950"/>
              <a:gd name="connsiteX2" fmla="*/ 0 w 295275"/>
              <a:gd name="connsiteY2" fmla="*/ 742950 h 742950"/>
              <a:gd name="connsiteX3" fmla="*/ 209550 w 295275"/>
              <a:gd name="connsiteY3" fmla="*/ 685800 h 742950"/>
              <a:gd name="connsiteX4" fmla="*/ 295275 w 295275"/>
              <a:gd name="connsiteY4" fmla="*/ 209550 h 742950"/>
              <a:gd name="connsiteX0" fmla="*/ 295275 w 295275"/>
              <a:gd name="connsiteY0" fmla="*/ 752475 h 1285875"/>
              <a:gd name="connsiteX1" fmla="*/ 0 w 295275"/>
              <a:gd name="connsiteY1" fmla="*/ 0 h 1285875"/>
              <a:gd name="connsiteX2" fmla="*/ 0 w 295275"/>
              <a:gd name="connsiteY2" fmla="*/ 1285875 h 1285875"/>
              <a:gd name="connsiteX3" fmla="*/ 209550 w 295275"/>
              <a:gd name="connsiteY3" fmla="*/ 1228725 h 1285875"/>
              <a:gd name="connsiteX4" fmla="*/ 295275 w 295275"/>
              <a:gd name="connsiteY4" fmla="*/ 752475 h 1285875"/>
              <a:gd name="connsiteX0" fmla="*/ 304800 w 304800"/>
              <a:gd name="connsiteY0" fmla="*/ 228600 h 1285875"/>
              <a:gd name="connsiteX1" fmla="*/ 0 w 304800"/>
              <a:gd name="connsiteY1" fmla="*/ 0 h 1285875"/>
              <a:gd name="connsiteX2" fmla="*/ 0 w 304800"/>
              <a:gd name="connsiteY2" fmla="*/ 1285875 h 1285875"/>
              <a:gd name="connsiteX3" fmla="*/ 209550 w 304800"/>
              <a:gd name="connsiteY3" fmla="*/ 1228725 h 1285875"/>
              <a:gd name="connsiteX4" fmla="*/ 304800 w 304800"/>
              <a:gd name="connsiteY4" fmla="*/ 228600 h 1285875"/>
              <a:gd name="connsiteX0" fmla="*/ 304800 w 304800"/>
              <a:gd name="connsiteY0" fmla="*/ 228600 h 1285875"/>
              <a:gd name="connsiteX1" fmla="*/ 0 w 304800"/>
              <a:gd name="connsiteY1" fmla="*/ 0 h 1285875"/>
              <a:gd name="connsiteX2" fmla="*/ 0 w 304800"/>
              <a:gd name="connsiteY2" fmla="*/ 1285875 h 1285875"/>
              <a:gd name="connsiteX3" fmla="*/ 295275 w 304800"/>
              <a:gd name="connsiteY3" fmla="*/ 1219200 h 1285875"/>
              <a:gd name="connsiteX4" fmla="*/ 304800 w 304800"/>
              <a:gd name="connsiteY4" fmla="*/ 228600 h 1285875"/>
              <a:gd name="connsiteX0" fmla="*/ 304800 w 304800"/>
              <a:gd name="connsiteY0" fmla="*/ 602155 h 1285875"/>
              <a:gd name="connsiteX1" fmla="*/ 0 w 304800"/>
              <a:gd name="connsiteY1" fmla="*/ 0 h 1285875"/>
              <a:gd name="connsiteX2" fmla="*/ 0 w 304800"/>
              <a:gd name="connsiteY2" fmla="*/ 1285875 h 1285875"/>
              <a:gd name="connsiteX3" fmla="*/ 295275 w 304800"/>
              <a:gd name="connsiteY3" fmla="*/ 1219200 h 1285875"/>
              <a:gd name="connsiteX4" fmla="*/ 304800 w 304800"/>
              <a:gd name="connsiteY4" fmla="*/ 602155 h 1285875"/>
              <a:gd name="connsiteX0" fmla="*/ 304800 w 304800"/>
              <a:gd name="connsiteY0" fmla="*/ 249744 h 933464"/>
              <a:gd name="connsiteX1" fmla="*/ 7109 w 304800"/>
              <a:gd name="connsiteY1" fmla="*/ 0 h 933464"/>
              <a:gd name="connsiteX2" fmla="*/ 0 w 304800"/>
              <a:gd name="connsiteY2" fmla="*/ 933464 h 933464"/>
              <a:gd name="connsiteX3" fmla="*/ 295275 w 304800"/>
              <a:gd name="connsiteY3" fmla="*/ 866789 h 933464"/>
              <a:gd name="connsiteX4" fmla="*/ 304800 w 304800"/>
              <a:gd name="connsiteY4" fmla="*/ 249744 h 933464"/>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04800" h="933464">
                <a:moveTo>
                  <a:pt x="304800" y="249744"/>
                </a:moveTo>
                <a:lnTo>
                  <a:pt x="7109" y="0"/>
                </a:lnTo>
                <a:cubicBezTo>
                  <a:pt x="4739" y="311155"/>
                  <a:pt x="2370" y="622309"/>
                  <a:pt x="0" y="933464"/>
                </a:cubicBezTo>
                <a:lnTo>
                  <a:pt x="295275" y="866789"/>
                </a:lnTo>
                <a:lnTo>
                  <a:pt x="304800" y="249744"/>
                </a:lnTo>
                <a:close/>
              </a:path>
            </a:pathLst>
          </a:custGeom>
          <a:solidFill>
            <a:schemeClr val="accent1">
              <a:lumMod val="40000"/>
              <a:lumOff val="60000"/>
            </a:schemeClr>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3" name="Freeform 2"/>
          <xdr:cNvSpPr/>
        </xdr:nvSpPr>
        <xdr:spPr bwMode="auto">
          <a:xfrm>
            <a:off x="4572000" y="7274683"/>
            <a:ext cx="2019300" cy="5204972"/>
          </a:xfrm>
          <a:custGeom>
            <a:avLst/>
            <a:gdLst>
              <a:gd name="connsiteX0" fmla="*/ 0 w 1981200"/>
              <a:gd name="connsiteY0" fmla="*/ 1123950 h 4867275"/>
              <a:gd name="connsiteX1" fmla="*/ 1981200 w 1981200"/>
              <a:gd name="connsiteY1" fmla="*/ 0 h 4867275"/>
              <a:gd name="connsiteX2" fmla="*/ 1981200 w 1981200"/>
              <a:gd name="connsiteY2" fmla="*/ 3781425 h 4867275"/>
              <a:gd name="connsiteX3" fmla="*/ 0 w 1981200"/>
              <a:gd name="connsiteY3" fmla="*/ 4867275 h 4867275"/>
              <a:gd name="connsiteX4" fmla="*/ 0 w 1981200"/>
              <a:gd name="connsiteY4" fmla="*/ 1123950 h 4867275"/>
              <a:gd name="connsiteX0" fmla="*/ 0 w 1981200"/>
              <a:gd name="connsiteY0" fmla="*/ 1123950 h 4867275"/>
              <a:gd name="connsiteX1" fmla="*/ 1981200 w 1981200"/>
              <a:gd name="connsiteY1" fmla="*/ 0 h 4867275"/>
              <a:gd name="connsiteX2" fmla="*/ 1981200 w 1981200"/>
              <a:gd name="connsiteY2" fmla="*/ 3752850 h 4867275"/>
              <a:gd name="connsiteX3" fmla="*/ 0 w 1981200"/>
              <a:gd name="connsiteY3" fmla="*/ 4867275 h 4867275"/>
              <a:gd name="connsiteX4" fmla="*/ 0 w 1981200"/>
              <a:gd name="connsiteY4" fmla="*/ 1123950 h 4867275"/>
              <a:gd name="connsiteX0" fmla="*/ 0 w 1981200"/>
              <a:gd name="connsiteY0" fmla="*/ 1123950 h 4895850"/>
              <a:gd name="connsiteX1" fmla="*/ 1981200 w 1981200"/>
              <a:gd name="connsiteY1" fmla="*/ 0 h 4895850"/>
              <a:gd name="connsiteX2" fmla="*/ 1981200 w 1981200"/>
              <a:gd name="connsiteY2" fmla="*/ 3752850 h 4895850"/>
              <a:gd name="connsiteX3" fmla="*/ 0 w 1981200"/>
              <a:gd name="connsiteY3" fmla="*/ 4895850 h 4895850"/>
              <a:gd name="connsiteX4" fmla="*/ 0 w 1981200"/>
              <a:gd name="connsiteY4" fmla="*/ 1123950 h 4895850"/>
              <a:gd name="connsiteX0" fmla="*/ 0 w 1990725"/>
              <a:gd name="connsiteY0" fmla="*/ 1619250 h 5391150"/>
              <a:gd name="connsiteX1" fmla="*/ 1990725 w 1990725"/>
              <a:gd name="connsiteY1" fmla="*/ 0 h 5391150"/>
              <a:gd name="connsiteX2" fmla="*/ 1981200 w 1990725"/>
              <a:gd name="connsiteY2" fmla="*/ 4248150 h 5391150"/>
              <a:gd name="connsiteX3" fmla="*/ 0 w 1990725"/>
              <a:gd name="connsiteY3" fmla="*/ 5391150 h 5391150"/>
              <a:gd name="connsiteX4" fmla="*/ 0 w 1990725"/>
              <a:gd name="connsiteY4" fmla="*/ 1619250 h 5391150"/>
              <a:gd name="connsiteX0" fmla="*/ 0 w 2000250"/>
              <a:gd name="connsiteY0" fmla="*/ 1133475 h 5391150"/>
              <a:gd name="connsiteX1" fmla="*/ 2000250 w 2000250"/>
              <a:gd name="connsiteY1" fmla="*/ 0 h 5391150"/>
              <a:gd name="connsiteX2" fmla="*/ 1990725 w 2000250"/>
              <a:gd name="connsiteY2" fmla="*/ 4248150 h 5391150"/>
              <a:gd name="connsiteX3" fmla="*/ 9525 w 2000250"/>
              <a:gd name="connsiteY3" fmla="*/ 5391150 h 5391150"/>
              <a:gd name="connsiteX4" fmla="*/ 0 w 2000250"/>
              <a:gd name="connsiteY4" fmla="*/ 1133475 h 5391150"/>
              <a:gd name="connsiteX0" fmla="*/ 0 w 2000250"/>
              <a:gd name="connsiteY0" fmla="*/ 1095375 h 5391150"/>
              <a:gd name="connsiteX1" fmla="*/ 2000250 w 2000250"/>
              <a:gd name="connsiteY1" fmla="*/ 0 h 5391150"/>
              <a:gd name="connsiteX2" fmla="*/ 1990725 w 2000250"/>
              <a:gd name="connsiteY2" fmla="*/ 4248150 h 5391150"/>
              <a:gd name="connsiteX3" fmla="*/ 9525 w 2000250"/>
              <a:gd name="connsiteY3" fmla="*/ 5391150 h 5391150"/>
              <a:gd name="connsiteX4" fmla="*/ 0 w 2000250"/>
              <a:gd name="connsiteY4" fmla="*/ 1095375 h 5391150"/>
              <a:gd name="connsiteX0" fmla="*/ 0 w 2000250"/>
              <a:gd name="connsiteY0" fmla="*/ 1095375 h 5934075"/>
              <a:gd name="connsiteX1" fmla="*/ 2000250 w 2000250"/>
              <a:gd name="connsiteY1" fmla="*/ 0 h 5934075"/>
              <a:gd name="connsiteX2" fmla="*/ 1990725 w 2000250"/>
              <a:gd name="connsiteY2" fmla="*/ 4248150 h 5934075"/>
              <a:gd name="connsiteX3" fmla="*/ 9525 w 2000250"/>
              <a:gd name="connsiteY3" fmla="*/ 5934075 h 5934075"/>
              <a:gd name="connsiteX4" fmla="*/ 0 w 2000250"/>
              <a:gd name="connsiteY4" fmla="*/ 1095375 h 5934075"/>
              <a:gd name="connsiteX0" fmla="*/ 0 w 2000250"/>
              <a:gd name="connsiteY0" fmla="*/ 1095375 h 5934075"/>
              <a:gd name="connsiteX1" fmla="*/ 2000250 w 2000250"/>
              <a:gd name="connsiteY1" fmla="*/ 0 h 5934075"/>
              <a:gd name="connsiteX2" fmla="*/ 1981200 w 2000250"/>
              <a:gd name="connsiteY2" fmla="*/ 4762500 h 5934075"/>
              <a:gd name="connsiteX3" fmla="*/ 9525 w 2000250"/>
              <a:gd name="connsiteY3" fmla="*/ 5934075 h 5934075"/>
              <a:gd name="connsiteX4" fmla="*/ 0 w 2000250"/>
              <a:gd name="connsiteY4" fmla="*/ 1095375 h 5934075"/>
              <a:gd name="connsiteX0" fmla="*/ 0 w 2019300"/>
              <a:gd name="connsiteY0" fmla="*/ 1095375 h 5934075"/>
              <a:gd name="connsiteX1" fmla="*/ 2000250 w 2019300"/>
              <a:gd name="connsiteY1" fmla="*/ 0 h 5934075"/>
              <a:gd name="connsiteX2" fmla="*/ 2019300 w 2019300"/>
              <a:gd name="connsiteY2" fmla="*/ 4733506 h 5934075"/>
              <a:gd name="connsiteX3" fmla="*/ 9525 w 2019300"/>
              <a:gd name="connsiteY3" fmla="*/ 5934075 h 5934075"/>
              <a:gd name="connsiteX4" fmla="*/ 0 w 2019300"/>
              <a:gd name="connsiteY4" fmla="*/ 1095375 h 5934075"/>
              <a:gd name="connsiteX0" fmla="*/ 0 w 2026390"/>
              <a:gd name="connsiteY0" fmla="*/ 1223590 h 5934075"/>
              <a:gd name="connsiteX1" fmla="*/ 2007340 w 2026390"/>
              <a:gd name="connsiteY1" fmla="*/ 0 h 5934075"/>
              <a:gd name="connsiteX2" fmla="*/ 2026390 w 2026390"/>
              <a:gd name="connsiteY2" fmla="*/ 4733506 h 5934075"/>
              <a:gd name="connsiteX3" fmla="*/ 16615 w 2026390"/>
              <a:gd name="connsiteY3" fmla="*/ 5934075 h 5934075"/>
              <a:gd name="connsiteX4" fmla="*/ 0 w 2026390"/>
              <a:gd name="connsiteY4" fmla="*/ 1223590 h 5934075"/>
              <a:gd name="connsiteX0" fmla="*/ 0 w 2026390"/>
              <a:gd name="connsiteY0" fmla="*/ 1215577 h 5926062"/>
              <a:gd name="connsiteX1" fmla="*/ 2021520 w 2026390"/>
              <a:gd name="connsiteY1" fmla="*/ 0 h 5926062"/>
              <a:gd name="connsiteX2" fmla="*/ 2026390 w 2026390"/>
              <a:gd name="connsiteY2" fmla="*/ 4725493 h 5926062"/>
              <a:gd name="connsiteX3" fmla="*/ 16615 w 2026390"/>
              <a:gd name="connsiteY3" fmla="*/ 5926062 h 5926062"/>
              <a:gd name="connsiteX4" fmla="*/ 0 w 2026390"/>
              <a:gd name="connsiteY4" fmla="*/ 1215577 h 5926062"/>
              <a:gd name="connsiteX0" fmla="*/ 0 w 2019300"/>
              <a:gd name="connsiteY0" fmla="*/ 1255645 h 5926062"/>
              <a:gd name="connsiteX1" fmla="*/ 2014430 w 2019300"/>
              <a:gd name="connsiteY1" fmla="*/ 0 h 5926062"/>
              <a:gd name="connsiteX2" fmla="*/ 2019300 w 2019300"/>
              <a:gd name="connsiteY2" fmla="*/ 4725493 h 5926062"/>
              <a:gd name="connsiteX3" fmla="*/ 9525 w 2019300"/>
              <a:gd name="connsiteY3" fmla="*/ 5926062 h 5926062"/>
              <a:gd name="connsiteX4" fmla="*/ 0 w 2019300"/>
              <a:gd name="connsiteY4" fmla="*/ 1255645 h 592606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019300" h="5926062">
                <a:moveTo>
                  <a:pt x="0" y="1255645"/>
                </a:moveTo>
                <a:lnTo>
                  <a:pt x="2014430" y="0"/>
                </a:lnTo>
                <a:cubicBezTo>
                  <a:pt x="2016053" y="1575164"/>
                  <a:pt x="2017677" y="3150329"/>
                  <a:pt x="2019300" y="4725493"/>
                </a:cubicBezTo>
                <a:lnTo>
                  <a:pt x="9525" y="5926062"/>
                </a:lnTo>
                <a:cubicBezTo>
                  <a:pt x="3987" y="4355900"/>
                  <a:pt x="5538" y="2825807"/>
                  <a:pt x="0" y="1255645"/>
                </a:cubicBezTo>
                <a:close/>
              </a:path>
            </a:pathLst>
          </a:custGeom>
          <a:gradFill flip="none" rotWithShape="1">
            <a:gsLst>
              <a:gs pos="43000">
                <a:schemeClr val="accent1">
                  <a:lumMod val="20000"/>
                  <a:lumOff val="80000"/>
                </a:schemeClr>
              </a:gs>
              <a:gs pos="71000">
                <a:schemeClr val="accent1">
                  <a:tint val="44500"/>
                  <a:satMod val="160000"/>
                </a:schemeClr>
              </a:gs>
              <a:gs pos="100000">
                <a:schemeClr val="accent1">
                  <a:tint val="23500"/>
                  <a:satMod val="160000"/>
                </a:schemeClr>
              </a:gs>
            </a:gsLst>
            <a:lin ang="2700000" scaled="1"/>
            <a:tileRect/>
          </a:gra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4" name="Freeform 3"/>
          <xdr:cNvSpPr/>
        </xdr:nvSpPr>
        <xdr:spPr bwMode="auto">
          <a:xfrm>
            <a:off x="4581525" y="7458075"/>
            <a:ext cx="1971675" cy="1123950"/>
          </a:xfrm>
          <a:custGeom>
            <a:avLst/>
            <a:gdLst>
              <a:gd name="connsiteX0" fmla="*/ 0 w 1971675"/>
              <a:gd name="connsiteY0" fmla="*/ 1123950 h 1123950"/>
              <a:gd name="connsiteX1" fmla="*/ 1971675 w 1971675"/>
              <a:gd name="connsiteY1" fmla="*/ 0 h 1123950"/>
              <a:gd name="connsiteX2" fmla="*/ 1838325 w 1971675"/>
              <a:gd name="connsiteY2" fmla="*/ 123825 h 1123950"/>
              <a:gd name="connsiteX3" fmla="*/ 209550 w 1971675"/>
              <a:gd name="connsiteY3" fmla="*/ 1057275 h 1123950"/>
              <a:gd name="connsiteX4" fmla="*/ 0 w 1971675"/>
              <a:gd name="connsiteY4" fmla="*/ 1123950 h 1123950"/>
              <a:gd name="connsiteX0" fmla="*/ 0 w 1971675"/>
              <a:gd name="connsiteY0" fmla="*/ 1123950 h 1123950"/>
              <a:gd name="connsiteX1" fmla="*/ 1971675 w 1971675"/>
              <a:gd name="connsiteY1" fmla="*/ 0 h 1123950"/>
              <a:gd name="connsiteX2" fmla="*/ 1864082 w 1971675"/>
              <a:gd name="connsiteY2" fmla="*/ 109621 h 1123950"/>
              <a:gd name="connsiteX3" fmla="*/ 209550 w 1971675"/>
              <a:gd name="connsiteY3" fmla="*/ 1057275 h 1123950"/>
              <a:gd name="connsiteX4" fmla="*/ 0 w 1971675"/>
              <a:gd name="connsiteY4" fmla="*/ 1123950 h 11239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71675" h="1123950">
                <a:moveTo>
                  <a:pt x="0" y="1123950"/>
                </a:moveTo>
                <a:lnTo>
                  <a:pt x="1971675" y="0"/>
                </a:lnTo>
                <a:lnTo>
                  <a:pt x="1864082" y="109621"/>
                </a:lnTo>
                <a:lnTo>
                  <a:pt x="209550" y="1057275"/>
                </a:lnTo>
                <a:lnTo>
                  <a:pt x="0" y="1123950"/>
                </a:lnTo>
                <a:close/>
              </a:path>
            </a:pathLst>
          </a:custGeom>
          <a:solidFill>
            <a:schemeClr val="accent1">
              <a:lumMod val="20000"/>
              <a:lumOff val="80000"/>
            </a:schemeClr>
          </a:solidFill>
          <a:ln w="952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233" name="Freeform 232"/>
          <xdr:cNvSpPr/>
        </xdr:nvSpPr>
        <xdr:spPr bwMode="auto">
          <a:xfrm>
            <a:off x="4581525" y="7553325"/>
            <a:ext cx="1971675" cy="1123950"/>
          </a:xfrm>
          <a:custGeom>
            <a:avLst/>
            <a:gdLst>
              <a:gd name="connsiteX0" fmla="*/ 0 w 1971675"/>
              <a:gd name="connsiteY0" fmla="*/ 1123950 h 1123950"/>
              <a:gd name="connsiteX1" fmla="*/ 1971675 w 1971675"/>
              <a:gd name="connsiteY1" fmla="*/ 0 h 1123950"/>
              <a:gd name="connsiteX2" fmla="*/ 1838325 w 1971675"/>
              <a:gd name="connsiteY2" fmla="*/ 123825 h 1123950"/>
              <a:gd name="connsiteX3" fmla="*/ 209550 w 1971675"/>
              <a:gd name="connsiteY3" fmla="*/ 1057275 h 1123950"/>
              <a:gd name="connsiteX4" fmla="*/ 0 w 1971675"/>
              <a:gd name="connsiteY4" fmla="*/ 1123950 h 11239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71675" h="1123950">
                <a:moveTo>
                  <a:pt x="0" y="1123950"/>
                </a:moveTo>
                <a:lnTo>
                  <a:pt x="1971675" y="0"/>
                </a:lnTo>
                <a:lnTo>
                  <a:pt x="1838325" y="123825"/>
                </a:lnTo>
                <a:lnTo>
                  <a:pt x="209550" y="1057275"/>
                </a:lnTo>
                <a:lnTo>
                  <a:pt x="0" y="1123950"/>
                </a:lnTo>
                <a:close/>
              </a:path>
            </a:pathLst>
          </a:cu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grpSp>
        <xdr:nvGrpSpPr>
          <xdr:cNvPr id="18" name="Group 17"/>
          <xdr:cNvGrpSpPr/>
        </xdr:nvGrpSpPr>
        <xdr:grpSpPr>
          <a:xfrm>
            <a:off x="4574833" y="7239732"/>
            <a:ext cx="2004521" cy="1444726"/>
            <a:chOff x="5184465" y="7183049"/>
            <a:chExt cx="2004474" cy="1501201"/>
          </a:xfrm>
        </xdr:grpSpPr>
        <xdr:sp macro="" textlink="">
          <xdr:nvSpPr>
            <xdr:cNvPr id="6" name="Freeform 5"/>
            <xdr:cNvSpPr/>
          </xdr:nvSpPr>
          <xdr:spPr bwMode="auto">
            <a:xfrm>
              <a:off x="5400674" y="7292114"/>
              <a:ext cx="1643170" cy="1303855"/>
            </a:xfrm>
            <a:custGeom>
              <a:avLst/>
              <a:gdLst>
                <a:gd name="connsiteX0" fmla="*/ 0 w 1627545"/>
                <a:gd name="connsiteY0" fmla="*/ 1038311 h 1038311"/>
                <a:gd name="connsiteX1" fmla="*/ 0 w 1627545"/>
                <a:gd name="connsiteY1" fmla="*/ 935338 h 1038311"/>
                <a:gd name="connsiteX2" fmla="*/ 1627545 w 1627545"/>
                <a:gd name="connsiteY2" fmla="*/ 0 h 1038311"/>
                <a:gd name="connsiteX3" fmla="*/ 1627545 w 1627545"/>
                <a:gd name="connsiteY3" fmla="*/ 94392 h 1038311"/>
                <a:gd name="connsiteX4" fmla="*/ 0 w 1627545"/>
                <a:gd name="connsiteY4" fmla="*/ 1038311 h 1038311"/>
                <a:gd name="connsiteX0" fmla="*/ 0 w 1656148"/>
                <a:gd name="connsiteY0" fmla="*/ 1055473 h 1055473"/>
                <a:gd name="connsiteX1" fmla="*/ 0 w 1656148"/>
                <a:gd name="connsiteY1" fmla="*/ 952500 h 1055473"/>
                <a:gd name="connsiteX2" fmla="*/ 1656148 w 1656148"/>
                <a:gd name="connsiteY2" fmla="*/ 0 h 1055473"/>
                <a:gd name="connsiteX3" fmla="*/ 1627545 w 1656148"/>
                <a:gd name="connsiteY3" fmla="*/ 111554 h 1055473"/>
                <a:gd name="connsiteX4" fmla="*/ 0 w 1656148"/>
                <a:gd name="connsiteY4" fmla="*/ 1055473 h 1055473"/>
                <a:gd name="connsiteX0" fmla="*/ 0 w 1656149"/>
                <a:gd name="connsiteY0" fmla="*/ 1055473 h 1055473"/>
                <a:gd name="connsiteX1" fmla="*/ 0 w 1656149"/>
                <a:gd name="connsiteY1" fmla="*/ 952500 h 1055473"/>
                <a:gd name="connsiteX2" fmla="*/ 1656148 w 1656149"/>
                <a:gd name="connsiteY2" fmla="*/ 0 h 1055473"/>
                <a:gd name="connsiteX3" fmla="*/ 1656149 w 1656149"/>
                <a:gd name="connsiteY3" fmla="*/ 91531 h 1055473"/>
                <a:gd name="connsiteX4" fmla="*/ 0 w 1656149"/>
                <a:gd name="connsiteY4" fmla="*/ 1055473 h 1055473"/>
                <a:gd name="connsiteX0" fmla="*/ 0 w 1661870"/>
                <a:gd name="connsiteY0" fmla="*/ 1055473 h 1055473"/>
                <a:gd name="connsiteX1" fmla="*/ 0 w 1661870"/>
                <a:gd name="connsiteY1" fmla="*/ 952500 h 1055473"/>
                <a:gd name="connsiteX2" fmla="*/ 1656148 w 1661870"/>
                <a:gd name="connsiteY2" fmla="*/ 0 h 1055473"/>
                <a:gd name="connsiteX3" fmla="*/ 1661870 w 1661870"/>
                <a:gd name="connsiteY3" fmla="*/ 91531 h 1055473"/>
                <a:gd name="connsiteX4" fmla="*/ 0 w 1661870"/>
                <a:gd name="connsiteY4" fmla="*/ 1055473 h 1055473"/>
                <a:gd name="connsiteX0" fmla="*/ 0 w 1656148"/>
                <a:gd name="connsiteY0" fmla="*/ 1055473 h 1055473"/>
                <a:gd name="connsiteX1" fmla="*/ 0 w 1656148"/>
                <a:gd name="connsiteY1" fmla="*/ 952500 h 1055473"/>
                <a:gd name="connsiteX2" fmla="*/ 1656148 w 1656148"/>
                <a:gd name="connsiteY2" fmla="*/ 0 h 1055473"/>
                <a:gd name="connsiteX3" fmla="*/ 1653288 w 1656148"/>
                <a:gd name="connsiteY3" fmla="*/ 94392 h 1055473"/>
                <a:gd name="connsiteX4" fmla="*/ 0 w 1656148"/>
                <a:gd name="connsiteY4" fmla="*/ 1055473 h 1055473"/>
                <a:gd name="connsiteX0" fmla="*/ 0 w 1661869"/>
                <a:gd name="connsiteY0" fmla="*/ 1055473 h 1055473"/>
                <a:gd name="connsiteX1" fmla="*/ 0 w 1661869"/>
                <a:gd name="connsiteY1" fmla="*/ 952500 h 1055473"/>
                <a:gd name="connsiteX2" fmla="*/ 1656148 w 1661869"/>
                <a:gd name="connsiteY2" fmla="*/ 0 h 1055473"/>
                <a:gd name="connsiteX3" fmla="*/ 1661869 w 1661869"/>
                <a:gd name="connsiteY3" fmla="*/ 91532 h 1055473"/>
                <a:gd name="connsiteX4" fmla="*/ 0 w 1661869"/>
                <a:gd name="connsiteY4" fmla="*/ 1055473 h 1055473"/>
                <a:gd name="connsiteX0" fmla="*/ 0 w 1656148"/>
                <a:gd name="connsiteY0" fmla="*/ 1055473 h 1055473"/>
                <a:gd name="connsiteX1" fmla="*/ 0 w 1656148"/>
                <a:gd name="connsiteY1" fmla="*/ 952500 h 1055473"/>
                <a:gd name="connsiteX2" fmla="*/ 1656148 w 1656148"/>
                <a:gd name="connsiteY2" fmla="*/ 0 h 1055473"/>
                <a:gd name="connsiteX3" fmla="*/ 1653287 w 1656148"/>
                <a:gd name="connsiteY3" fmla="*/ 91532 h 1055473"/>
                <a:gd name="connsiteX4" fmla="*/ 0 w 1656148"/>
                <a:gd name="connsiteY4" fmla="*/ 1055473 h 1055473"/>
                <a:gd name="connsiteX0" fmla="*/ 0 w 1653288"/>
                <a:gd name="connsiteY0" fmla="*/ 1049752 h 1049752"/>
                <a:gd name="connsiteX1" fmla="*/ 0 w 1653288"/>
                <a:gd name="connsiteY1" fmla="*/ 946779 h 1049752"/>
                <a:gd name="connsiteX2" fmla="*/ 1653288 w 1653288"/>
                <a:gd name="connsiteY2" fmla="*/ 0 h 1049752"/>
                <a:gd name="connsiteX3" fmla="*/ 1653287 w 1653288"/>
                <a:gd name="connsiteY3" fmla="*/ 85811 h 1049752"/>
                <a:gd name="connsiteX4" fmla="*/ 0 w 1653288"/>
                <a:gd name="connsiteY4" fmla="*/ 1049752 h 1049752"/>
                <a:gd name="connsiteX0" fmla="*/ 0 w 1653288"/>
                <a:gd name="connsiteY0" fmla="*/ 1049752 h 1049752"/>
                <a:gd name="connsiteX1" fmla="*/ 0 w 1653288"/>
                <a:gd name="connsiteY1" fmla="*/ 359303 h 1049752"/>
                <a:gd name="connsiteX2" fmla="*/ 1653288 w 1653288"/>
                <a:gd name="connsiteY2" fmla="*/ 0 h 1049752"/>
                <a:gd name="connsiteX3" fmla="*/ 1653287 w 1653288"/>
                <a:gd name="connsiteY3" fmla="*/ 85811 h 1049752"/>
                <a:gd name="connsiteX4" fmla="*/ 0 w 1653288"/>
                <a:gd name="connsiteY4" fmla="*/ 1049752 h 1049752"/>
                <a:gd name="connsiteX0" fmla="*/ 0 w 1653287"/>
                <a:gd name="connsiteY0" fmla="*/ 1608336 h 1608336"/>
                <a:gd name="connsiteX1" fmla="*/ 0 w 1653287"/>
                <a:gd name="connsiteY1" fmla="*/ 917887 h 1608336"/>
                <a:gd name="connsiteX2" fmla="*/ 1643786 w 1653287"/>
                <a:gd name="connsiteY2" fmla="*/ 0 h 1608336"/>
                <a:gd name="connsiteX3" fmla="*/ 1653287 w 1653287"/>
                <a:gd name="connsiteY3" fmla="*/ 644395 h 1608336"/>
                <a:gd name="connsiteX4" fmla="*/ 0 w 1653287"/>
                <a:gd name="connsiteY4" fmla="*/ 1608336 h 1608336"/>
                <a:gd name="connsiteX0" fmla="*/ 0 w 1653287"/>
                <a:gd name="connsiteY0" fmla="*/ 1608336 h 1608336"/>
                <a:gd name="connsiteX1" fmla="*/ 0 w 1653287"/>
                <a:gd name="connsiteY1" fmla="*/ 1160988 h 1608336"/>
                <a:gd name="connsiteX2" fmla="*/ 1643786 w 1653287"/>
                <a:gd name="connsiteY2" fmla="*/ 0 h 1608336"/>
                <a:gd name="connsiteX3" fmla="*/ 1653287 w 1653287"/>
                <a:gd name="connsiteY3" fmla="*/ 644395 h 1608336"/>
                <a:gd name="connsiteX4" fmla="*/ 0 w 1653287"/>
                <a:gd name="connsiteY4" fmla="*/ 1608336 h 1608336"/>
                <a:gd name="connsiteX0" fmla="*/ 0 w 1653287"/>
                <a:gd name="connsiteY0" fmla="*/ 1355313 h 1355313"/>
                <a:gd name="connsiteX1" fmla="*/ 0 w 1653287"/>
                <a:gd name="connsiteY1" fmla="*/ 907965 h 1355313"/>
                <a:gd name="connsiteX2" fmla="*/ 1641354 w 1653287"/>
                <a:gd name="connsiteY2" fmla="*/ 0 h 1355313"/>
                <a:gd name="connsiteX3" fmla="*/ 1653287 w 1653287"/>
                <a:gd name="connsiteY3" fmla="*/ 391372 h 1355313"/>
                <a:gd name="connsiteX4" fmla="*/ 0 w 1653287"/>
                <a:gd name="connsiteY4" fmla="*/ 1355313 h 1355313"/>
                <a:gd name="connsiteX0" fmla="*/ 0 w 1653287"/>
                <a:gd name="connsiteY0" fmla="*/ 1355313 h 1355313"/>
                <a:gd name="connsiteX1" fmla="*/ 0 w 1653287"/>
                <a:gd name="connsiteY1" fmla="*/ 981926 h 1355313"/>
                <a:gd name="connsiteX2" fmla="*/ 1641354 w 1653287"/>
                <a:gd name="connsiteY2" fmla="*/ 0 h 1355313"/>
                <a:gd name="connsiteX3" fmla="*/ 1653287 w 1653287"/>
                <a:gd name="connsiteY3" fmla="*/ 391372 h 1355313"/>
                <a:gd name="connsiteX4" fmla="*/ 0 w 1653287"/>
                <a:gd name="connsiteY4" fmla="*/ 1355313 h 1355313"/>
                <a:gd name="connsiteX0" fmla="*/ 0 w 1653287"/>
                <a:gd name="connsiteY0" fmla="*/ 1333125 h 1333125"/>
                <a:gd name="connsiteX1" fmla="*/ 0 w 1653287"/>
                <a:gd name="connsiteY1" fmla="*/ 959738 h 1333125"/>
                <a:gd name="connsiteX2" fmla="*/ 1634281 w 1653287"/>
                <a:gd name="connsiteY2" fmla="*/ 0 h 1333125"/>
                <a:gd name="connsiteX3" fmla="*/ 1653287 w 1653287"/>
                <a:gd name="connsiteY3" fmla="*/ 369184 h 1333125"/>
                <a:gd name="connsiteX4" fmla="*/ 0 w 1653287"/>
                <a:gd name="connsiteY4" fmla="*/ 1333125 h 1333125"/>
                <a:gd name="connsiteX0" fmla="*/ 0 w 1653287"/>
                <a:gd name="connsiteY0" fmla="*/ 1310938 h 1310938"/>
                <a:gd name="connsiteX1" fmla="*/ 0 w 1653287"/>
                <a:gd name="connsiteY1" fmla="*/ 959738 h 1310938"/>
                <a:gd name="connsiteX2" fmla="*/ 1634281 w 1653287"/>
                <a:gd name="connsiteY2" fmla="*/ 0 h 1310938"/>
                <a:gd name="connsiteX3" fmla="*/ 1653287 w 1653287"/>
                <a:gd name="connsiteY3" fmla="*/ 369184 h 1310938"/>
                <a:gd name="connsiteX4" fmla="*/ 0 w 1653287"/>
                <a:gd name="connsiteY4" fmla="*/ 1310938 h 1310938"/>
                <a:gd name="connsiteX0" fmla="*/ 0 w 1660359"/>
                <a:gd name="connsiteY0" fmla="*/ 1325730 h 1325730"/>
                <a:gd name="connsiteX1" fmla="*/ 7072 w 1660359"/>
                <a:gd name="connsiteY1" fmla="*/ 959738 h 1325730"/>
                <a:gd name="connsiteX2" fmla="*/ 1641353 w 1660359"/>
                <a:gd name="connsiteY2" fmla="*/ 0 h 1325730"/>
                <a:gd name="connsiteX3" fmla="*/ 1660359 w 1660359"/>
                <a:gd name="connsiteY3" fmla="*/ 369184 h 1325730"/>
                <a:gd name="connsiteX4" fmla="*/ 0 w 1660359"/>
                <a:gd name="connsiteY4" fmla="*/ 1325730 h 1325730"/>
                <a:gd name="connsiteX0" fmla="*/ 0 w 1646214"/>
                <a:gd name="connsiteY0" fmla="*/ 1325730 h 1325730"/>
                <a:gd name="connsiteX1" fmla="*/ 7072 w 1646214"/>
                <a:gd name="connsiteY1" fmla="*/ 959738 h 1325730"/>
                <a:gd name="connsiteX2" fmla="*/ 1641353 w 1646214"/>
                <a:gd name="connsiteY2" fmla="*/ 0 h 1325730"/>
                <a:gd name="connsiteX3" fmla="*/ 1646214 w 1646214"/>
                <a:gd name="connsiteY3" fmla="*/ 369184 h 1325730"/>
                <a:gd name="connsiteX4" fmla="*/ 0 w 1646214"/>
                <a:gd name="connsiteY4" fmla="*/ 1325730 h 1325730"/>
                <a:gd name="connsiteX0" fmla="*/ 14145 w 1639142"/>
                <a:gd name="connsiteY0" fmla="*/ 1318333 h 1318333"/>
                <a:gd name="connsiteX1" fmla="*/ 0 w 1639142"/>
                <a:gd name="connsiteY1" fmla="*/ 959738 h 1318333"/>
                <a:gd name="connsiteX2" fmla="*/ 1634281 w 1639142"/>
                <a:gd name="connsiteY2" fmla="*/ 0 h 1318333"/>
                <a:gd name="connsiteX3" fmla="*/ 1639142 w 1639142"/>
                <a:gd name="connsiteY3" fmla="*/ 369184 h 1318333"/>
                <a:gd name="connsiteX4" fmla="*/ 14145 w 1639142"/>
                <a:gd name="connsiteY4" fmla="*/ 1318333 h 131833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639142" h="1318333">
                  <a:moveTo>
                    <a:pt x="14145" y="1318333"/>
                  </a:moveTo>
                  <a:lnTo>
                    <a:pt x="0" y="959738"/>
                  </a:lnTo>
                  <a:cubicBezTo>
                    <a:pt x="551096" y="644145"/>
                    <a:pt x="1083185" y="315593"/>
                    <a:pt x="1634281" y="0"/>
                  </a:cubicBezTo>
                  <a:cubicBezTo>
                    <a:pt x="1634281" y="30510"/>
                    <a:pt x="1639142" y="338674"/>
                    <a:pt x="1639142" y="369184"/>
                  </a:cubicBezTo>
                  <a:lnTo>
                    <a:pt x="14145" y="1318333"/>
                  </a:lnTo>
                  <a:close/>
                </a:path>
              </a:pathLst>
            </a:cu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50000" t="50000" r="50000" b="50000"/>
              </a:path>
              <a:tileRect/>
            </a:gradFill>
            <a:ln w="12700">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7" name="Freeform 6"/>
            <xdr:cNvSpPr/>
          </xdr:nvSpPr>
          <xdr:spPr bwMode="auto">
            <a:xfrm>
              <a:off x="5184465" y="8240837"/>
              <a:ext cx="216208" cy="443413"/>
            </a:xfrm>
            <a:custGeom>
              <a:avLst/>
              <a:gdLst>
                <a:gd name="connsiteX0" fmla="*/ 0 w 208806"/>
                <a:gd name="connsiteY0" fmla="*/ 163040 h 163040"/>
                <a:gd name="connsiteX1" fmla="*/ 208806 w 208806"/>
                <a:gd name="connsiteY1" fmla="*/ 97252 h 163040"/>
                <a:gd name="connsiteX2" fmla="*/ 203086 w 208806"/>
                <a:gd name="connsiteY2" fmla="*/ 0 h 163040"/>
                <a:gd name="connsiteX3" fmla="*/ 8581 w 208806"/>
                <a:gd name="connsiteY3" fmla="*/ 65788 h 163040"/>
                <a:gd name="connsiteX4" fmla="*/ 0 w 208806"/>
                <a:gd name="connsiteY4" fmla="*/ 163040 h 163040"/>
                <a:gd name="connsiteX0" fmla="*/ 2861 w 200225"/>
                <a:gd name="connsiteY0" fmla="*/ 163040 h 163040"/>
                <a:gd name="connsiteX1" fmla="*/ 200225 w 200225"/>
                <a:gd name="connsiteY1" fmla="*/ 97252 h 163040"/>
                <a:gd name="connsiteX2" fmla="*/ 194505 w 200225"/>
                <a:gd name="connsiteY2" fmla="*/ 0 h 163040"/>
                <a:gd name="connsiteX3" fmla="*/ 0 w 200225"/>
                <a:gd name="connsiteY3" fmla="*/ 65788 h 163040"/>
                <a:gd name="connsiteX4" fmla="*/ 2861 w 200225"/>
                <a:gd name="connsiteY4" fmla="*/ 163040 h 163040"/>
                <a:gd name="connsiteX0" fmla="*/ 2861 w 200225"/>
                <a:gd name="connsiteY0" fmla="*/ 163040 h 163040"/>
                <a:gd name="connsiteX1" fmla="*/ 200225 w 200225"/>
                <a:gd name="connsiteY1" fmla="*/ 97252 h 163040"/>
                <a:gd name="connsiteX2" fmla="*/ 194505 w 200225"/>
                <a:gd name="connsiteY2" fmla="*/ 0 h 163040"/>
                <a:gd name="connsiteX3" fmla="*/ 0 w 200225"/>
                <a:gd name="connsiteY3" fmla="*/ 65788 h 163040"/>
                <a:gd name="connsiteX4" fmla="*/ 2861 w 200225"/>
                <a:gd name="connsiteY4" fmla="*/ 163040 h 163040"/>
                <a:gd name="connsiteX0" fmla="*/ 2861 w 200225"/>
                <a:gd name="connsiteY0" fmla="*/ 682902 h 682902"/>
                <a:gd name="connsiteX1" fmla="*/ 200225 w 200225"/>
                <a:gd name="connsiteY1" fmla="*/ 617114 h 682902"/>
                <a:gd name="connsiteX2" fmla="*/ 194505 w 200225"/>
                <a:gd name="connsiteY2" fmla="*/ 519862 h 682902"/>
                <a:gd name="connsiteX3" fmla="*/ 0 w 200225"/>
                <a:gd name="connsiteY3" fmla="*/ 624 h 682902"/>
                <a:gd name="connsiteX4" fmla="*/ 2861 w 200225"/>
                <a:gd name="connsiteY4" fmla="*/ 682902 h 682902"/>
                <a:gd name="connsiteX0" fmla="*/ 2861 w 200225"/>
                <a:gd name="connsiteY0" fmla="*/ 654164 h 654164"/>
                <a:gd name="connsiteX1" fmla="*/ 200225 w 200225"/>
                <a:gd name="connsiteY1" fmla="*/ 588376 h 654164"/>
                <a:gd name="connsiteX2" fmla="*/ 194505 w 200225"/>
                <a:gd name="connsiteY2" fmla="*/ 491124 h 654164"/>
                <a:gd name="connsiteX3" fmla="*/ 0 w 200225"/>
                <a:gd name="connsiteY3" fmla="*/ 658 h 654164"/>
                <a:gd name="connsiteX4" fmla="*/ 2861 w 200225"/>
                <a:gd name="connsiteY4" fmla="*/ 654164 h 654164"/>
                <a:gd name="connsiteX0" fmla="*/ 2861 w 200225"/>
                <a:gd name="connsiteY0" fmla="*/ 719293 h 719293"/>
                <a:gd name="connsiteX1" fmla="*/ 200225 w 200225"/>
                <a:gd name="connsiteY1" fmla="*/ 653505 h 719293"/>
                <a:gd name="connsiteX2" fmla="*/ 184971 w 200225"/>
                <a:gd name="connsiteY2" fmla="*/ 0 h 719293"/>
                <a:gd name="connsiteX3" fmla="*/ 0 w 200225"/>
                <a:gd name="connsiteY3" fmla="*/ 65787 h 719293"/>
                <a:gd name="connsiteX4" fmla="*/ 2861 w 200225"/>
                <a:gd name="connsiteY4" fmla="*/ 719293 h 719293"/>
                <a:gd name="connsiteX0" fmla="*/ 7629 w 204993"/>
                <a:gd name="connsiteY0" fmla="*/ 719293 h 719293"/>
                <a:gd name="connsiteX1" fmla="*/ 204993 w 204993"/>
                <a:gd name="connsiteY1" fmla="*/ 653505 h 719293"/>
                <a:gd name="connsiteX2" fmla="*/ 189739 w 204993"/>
                <a:gd name="connsiteY2" fmla="*/ 0 h 719293"/>
                <a:gd name="connsiteX3" fmla="*/ 0 w 204993"/>
                <a:gd name="connsiteY3" fmla="*/ 284803 h 719293"/>
                <a:gd name="connsiteX4" fmla="*/ 7629 w 204993"/>
                <a:gd name="connsiteY4" fmla="*/ 719293 h 719293"/>
                <a:gd name="connsiteX0" fmla="*/ 7629 w 204993"/>
                <a:gd name="connsiteY0" fmla="*/ 493362 h 493362"/>
                <a:gd name="connsiteX1" fmla="*/ 204993 w 204993"/>
                <a:gd name="connsiteY1" fmla="*/ 427574 h 493362"/>
                <a:gd name="connsiteX2" fmla="*/ 204041 w 204993"/>
                <a:gd name="connsiteY2" fmla="*/ 0 h 493362"/>
                <a:gd name="connsiteX3" fmla="*/ 0 w 204993"/>
                <a:gd name="connsiteY3" fmla="*/ 58872 h 493362"/>
                <a:gd name="connsiteX4" fmla="*/ 7629 w 204993"/>
                <a:gd name="connsiteY4" fmla="*/ 493362 h 493362"/>
                <a:gd name="connsiteX0" fmla="*/ 2862 w 204993"/>
                <a:gd name="connsiteY0" fmla="*/ 507195 h 507195"/>
                <a:gd name="connsiteX1" fmla="*/ 204993 w 204993"/>
                <a:gd name="connsiteY1" fmla="*/ 427574 h 507195"/>
                <a:gd name="connsiteX2" fmla="*/ 204041 w 204993"/>
                <a:gd name="connsiteY2" fmla="*/ 0 h 507195"/>
                <a:gd name="connsiteX3" fmla="*/ 0 w 204993"/>
                <a:gd name="connsiteY3" fmla="*/ 58872 h 507195"/>
                <a:gd name="connsiteX4" fmla="*/ 2862 w 204993"/>
                <a:gd name="connsiteY4" fmla="*/ 507195 h 507195"/>
                <a:gd name="connsiteX0" fmla="*/ 9959 w 212090"/>
                <a:gd name="connsiteY0" fmla="*/ 507195 h 507195"/>
                <a:gd name="connsiteX1" fmla="*/ 212090 w 212090"/>
                <a:gd name="connsiteY1" fmla="*/ 427574 h 507195"/>
                <a:gd name="connsiteX2" fmla="*/ 211138 w 212090"/>
                <a:gd name="connsiteY2" fmla="*/ 0 h 507195"/>
                <a:gd name="connsiteX3" fmla="*/ 0 w 212090"/>
                <a:gd name="connsiteY3" fmla="*/ 143854 h 507195"/>
                <a:gd name="connsiteX4" fmla="*/ 9959 w 212090"/>
                <a:gd name="connsiteY4" fmla="*/ 507195 h 507195"/>
                <a:gd name="connsiteX0" fmla="*/ 9959 w 218244"/>
                <a:gd name="connsiteY0" fmla="*/ 450541 h 450541"/>
                <a:gd name="connsiteX1" fmla="*/ 212090 w 218244"/>
                <a:gd name="connsiteY1" fmla="*/ 370920 h 450541"/>
                <a:gd name="connsiteX2" fmla="*/ 218234 w 218244"/>
                <a:gd name="connsiteY2" fmla="*/ 0 h 450541"/>
                <a:gd name="connsiteX3" fmla="*/ 0 w 218244"/>
                <a:gd name="connsiteY3" fmla="*/ 87200 h 450541"/>
                <a:gd name="connsiteX4" fmla="*/ 9959 w 218244"/>
                <a:gd name="connsiteY4" fmla="*/ 450541 h 450541"/>
                <a:gd name="connsiteX0" fmla="*/ 9959 w 212090"/>
                <a:gd name="connsiteY0" fmla="*/ 443458 h 443458"/>
                <a:gd name="connsiteX1" fmla="*/ 212090 w 212090"/>
                <a:gd name="connsiteY1" fmla="*/ 363837 h 443458"/>
                <a:gd name="connsiteX2" fmla="*/ 196944 w 212090"/>
                <a:gd name="connsiteY2" fmla="*/ 0 h 443458"/>
                <a:gd name="connsiteX3" fmla="*/ 0 w 212090"/>
                <a:gd name="connsiteY3" fmla="*/ 80117 h 443458"/>
                <a:gd name="connsiteX4" fmla="*/ 9959 w 212090"/>
                <a:gd name="connsiteY4" fmla="*/ 443458 h 443458"/>
                <a:gd name="connsiteX0" fmla="*/ 101 w 216425"/>
                <a:gd name="connsiteY0" fmla="*/ 436376 h 436376"/>
                <a:gd name="connsiteX1" fmla="*/ 216425 w 216425"/>
                <a:gd name="connsiteY1" fmla="*/ 363837 h 436376"/>
                <a:gd name="connsiteX2" fmla="*/ 201279 w 216425"/>
                <a:gd name="connsiteY2" fmla="*/ 0 h 436376"/>
                <a:gd name="connsiteX3" fmla="*/ 4335 w 216425"/>
                <a:gd name="connsiteY3" fmla="*/ 80117 h 436376"/>
                <a:gd name="connsiteX4" fmla="*/ 101 w 216425"/>
                <a:gd name="connsiteY4" fmla="*/ 436376 h 436376"/>
                <a:gd name="connsiteX0" fmla="*/ 101 w 209328"/>
                <a:gd name="connsiteY0" fmla="*/ 436376 h 436376"/>
                <a:gd name="connsiteX1" fmla="*/ 209328 w 209328"/>
                <a:gd name="connsiteY1" fmla="*/ 335509 h 436376"/>
                <a:gd name="connsiteX2" fmla="*/ 201279 w 209328"/>
                <a:gd name="connsiteY2" fmla="*/ 0 h 436376"/>
                <a:gd name="connsiteX3" fmla="*/ 4335 w 209328"/>
                <a:gd name="connsiteY3" fmla="*/ 80117 h 436376"/>
                <a:gd name="connsiteX4" fmla="*/ 101 w 209328"/>
                <a:gd name="connsiteY4" fmla="*/ 436376 h 436376"/>
                <a:gd name="connsiteX0" fmla="*/ 101 w 209328"/>
                <a:gd name="connsiteY0" fmla="*/ 436376 h 436376"/>
                <a:gd name="connsiteX1" fmla="*/ 209328 w 209328"/>
                <a:gd name="connsiteY1" fmla="*/ 349672 h 436376"/>
                <a:gd name="connsiteX2" fmla="*/ 201279 w 209328"/>
                <a:gd name="connsiteY2" fmla="*/ 0 h 436376"/>
                <a:gd name="connsiteX3" fmla="*/ 4335 w 209328"/>
                <a:gd name="connsiteY3" fmla="*/ 80117 h 436376"/>
                <a:gd name="connsiteX4" fmla="*/ 101 w 209328"/>
                <a:gd name="connsiteY4" fmla="*/ 436376 h 436376"/>
                <a:gd name="connsiteX0" fmla="*/ 101 w 223522"/>
                <a:gd name="connsiteY0" fmla="*/ 436376 h 436376"/>
                <a:gd name="connsiteX1" fmla="*/ 223522 w 223522"/>
                <a:gd name="connsiteY1" fmla="*/ 335509 h 436376"/>
                <a:gd name="connsiteX2" fmla="*/ 201279 w 223522"/>
                <a:gd name="connsiteY2" fmla="*/ 0 h 436376"/>
                <a:gd name="connsiteX3" fmla="*/ 4335 w 223522"/>
                <a:gd name="connsiteY3" fmla="*/ 80117 h 436376"/>
                <a:gd name="connsiteX4" fmla="*/ 101 w 223522"/>
                <a:gd name="connsiteY4" fmla="*/ 436376 h 436376"/>
                <a:gd name="connsiteX0" fmla="*/ 101 w 223522"/>
                <a:gd name="connsiteY0" fmla="*/ 436376 h 436376"/>
                <a:gd name="connsiteX1" fmla="*/ 223522 w 223522"/>
                <a:gd name="connsiteY1" fmla="*/ 349672 h 436376"/>
                <a:gd name="connsiteX2" fmla="*/ 201279 w 223522"/>
                <a:gd name="connsiteY2" fmla="*/ 0 h 436376"/>
                <a:gd name="connsiteX3" fmla="*/ 4335 w 223522"/>
                <a:gd name="connsiteY3" fmla="*/ 80117 h 436376"/>
                <a:gd name="connsiteX4" fmla="*/ 101 w 223522"/>
                <a:gd name="connsiteY4" fmla="*/ 436376 h 436376"/>
                <a:gd name="connsiteX0" fmla="*/ 101 w 216425"/>
                <a:gd name="connsiteY0" fmla="*/ 436376 h 436376"/>
                <a:gd name="connsiteX1" fmla="*/ 216425 w 216425"/>
                <a:gd name="connsiteY1" fmla="*/ 342591 h 436376"/>
                <a:gd name="connsiteX2" fmla="*/ 201279 w 216425"/>
                <a:gd name="connsiteY2" fmla="*/ 0 h 436376"/>
                <a:gd name="connsiteX3" fmla="*/ 4335 w 216425"/>
                <a:gd name="connsiteY3" fmla="*/ 80117 h 436376"/>
                <a:gd name="connsiteX4" fmla="*/ 101 w 216425"/>
                <a:gd name="connsiteY4" fmla="*/ 436376 h 436376"/>
                <a:gd name="connsiteX0" fmla="*/ 101 w 216425"/>
                <a:gd name="connsiteY0" fmla="*/ 436376 h 436376"/>
                <a:gd name="connsiteX1" fmla="*/ 216425 w 216425"/>
                <a:gd name="connsiteY1" fmla="*/ 342591 h 436376"/>
                <a:gd name="connsiteX2" fmla="*/ 215473 w 216425"/>
                <a:gd name="connsiteY2" fmla="*/ 0 h 436376"/>
                <a:gd name="connsiteX3" fmla="*/ 4335 w 216425"/>
                <a:gd name="connsiteY3" fmla="*/ 80117 h 436376"/>
                <a:gd name="connsiteX4" fmla="*/ 101 w 216425"/>
                <a:gd name="connsiteY4" fmla="*/ 436376 h 436376"/>
                <a:gd name="connsiteX0" fmla="*/ 101 w 216425"/>
                <a:gd name="connsiteY0" fmla="*/ 422212 h 422212"/>
                <a:gd name="connsiteX1" fmla="*/ 216425 w 216425"/>
                <a:gd name="connsiteY1" fmla="*/ 328427 h 422212"/>
                <a:gd name="connsiteX2" fmla="*/ 201280 w 216425"/>
                <a:gd name="connsiteY2" fmla="*/ 0 h 422212"/>
                <a:gd name="connsiteX3" fmla="*/ 4335 w 216425"/>
                <a:gd name="connsiteY3" fmla="*/ 65953 h 422212"/>
                <a:gd name="connsiteX4" fmla="*/ 101 w 216425"/>
                <a:gd name="connsiteY4" fmla="*/ 422212 h 422212"/>
                <a:gd name="connsiteX0" fmla="*/ 101 w 216425"/>
                <a:gd name="connsiteY0" fmla="*/ 422212 h 422212"/>
                <a:gd name="connsiteX1" fmla="*/ 216425 w 216425"/>
                <a:gd name="connsiteY1" fmla="*/ 349673 h 422212"/>
                <a:gd name="connsiteX2" fmla="*/ 201280 w 216425"/>
                <a:gd name="connsiteY2" fmla="*/ 0 h 422212"/>
                <a:gd name="connsiteX3" fmla="*/ 4335 w 216425"/>
                <a:gd name="connsiteY3" fmla="*/ 65953 h 422212"/>
                <a:gd name="connsiteX4" fmla="*/ 101 w 216425"/>
                <a:gd name="connsiteY4" fmla="*/ 422212 h 422212"/>
                <a:gd name="connsiteX0" fmla="*/ 101 w 209328"/>
                <a:gd name="connsiteY0" fmla="*/ 422212 h 422212"/>
                <a:gd name="connsiteX1" fmla="*/ 209328 w 209328"/>
                <a:gd name="connsiteY1" fmla="*/ 349673 h 422212"/>
                <a:gd name="connsiteX2" fmla="*/ 201280 w 209328"/>
                <a:gd name="connsiteY2" fmla="*/ 0 h 422212"/>
                <a:gd name="connsiteX3" fmla="*/ 4335 w 209328"/>
                <a:gd name="connsiteY3" fmla="*/ 65953 h 422212"/>
                <a:gd name="connsiteX4" fmla="*/ 101 w 209328"/>
                <a:gd name="connsiteY4" fmla="*/ 422212 h 422212"/>
                <a:gd name="connsiteX0" fmla="*/ 101 w 230618"/>
                <a:gd name="connsiteY0" fmla="*/ 422212 h 422212"/>
                <a:gd name="connsiteX1" fmla="*/ 230618 w 230618"/>
                <a:gd name="connsiteY1" fmla="*/ 349673 h 422212"/>
                <a:gd name="connsiteX2" fmla="*/ 201280 w 230618"/>
                <a:gd name="connsiteY2" fmla="*/ 0 h 422212"/>
                <a:gd name="connsiteX3" fmla="*/ 4335 w 230618"/>
                <a:gd name="connsiteY3" fmla="*/ 65953 h 422212"/>
                <a:gd name="connsiteX4" fmla="*/ 101 w 230618"/>
                <a:gd name="connsiteY4" fmla="*/ 422212 h 422212"/>
                <a:gd name="connsiteX0" fmla="*/ 101 w 216423"/>
                <a:gd name="connsiteY0" fmla="*/ 422212 h 422212"/>
                <a:gd name="connsiteX1" fmla="*/ 216423 w 216423"/>
                <a:gd name="connsiteY1" fmla="*/ 349673 h 422212"/>
                <a:gd name="connsiteX2" fmla="*/ 201280 w 216423"/>
                <a:gd name="connsiteY2" fmla="*/ 0 h 422212"/>
                <a:gd name="connsiteX3" fmla="*/ 4335 w 216423"/>
                <a:gd name="connsiteY3" fmla="*/ 65953 h 422212"/>
                <a:gd name="connsiteX4" fmla="*/ 101 w 216423"/>
                <a:gd name="connsiteY4" fmla="*/ 422212 h 422212"/>
                <a:gd name="connsiteX0" fmla="*/ 101 w 216423"/>
                <a:gd name="connsiteY0" fmla="*/ 429294 h 429294"/>
                <a:gd name="connsiteX1" fmla="*/ 216423 w 216423"/>
                <a:gd name="connsiteY1" fmla="*/ 356755 h 429294"/>
                <a:gd name="connsiteX2" fmla="*/ 215474 w 216423"/>
                <a:gd name="connsiteY2" fmla="*/ 0 h 429294"/>
                <a:gd name="connsiteX3" fmla="*/ 4335 w 216423"/>
                <a:gd name="connsiteY3" fmla="*/ 73035 h 429294"/>
                <a:gd name="connsiteX4" fmla="*/ 101 w 216423"/>
                <a:gd name="connsiteY4" fmla="*/ 429294 h 429294"/>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16423" h="429294">
                  <a:moveTo>
                    <a:pt x="101" y="429294"/>
                  </a:moveTo>
                  <a:lnTo>
                    <a:pt x="216423" y="356755"/>
                  </a:lnTo>
                  <a:cubicBezTo>
                    <a:pt x="216106" y="214230"/>
                    <a:pt x="215791" y="142525"/>
                    <a:pt x="215474" y="0"/>
                  </a:cubicBezTo>
                  <a:lnTo>
                    <a:pt x="4335" y="73035"/>
                  </a:lnTo>
                  <a:cubicBezTo>
                    <a:pt x="5289" y="105452"/>
                    <a:pt x="-853" y="396877"/>
                    <a:pt x="101" y="429294"/>
                  </a:cubicBezTo>
                  <a:close/>
                </a:path>
              </a:pathLst>
            </a:custGeom>
            <a:solidFill>
              <a:schemeClr val="accent1">
                <a:lumMod val="20000"/>
                <a:lumOff val="80000"/>
              </a:schemeClr>
            </a:solidFill>
            <a:ln w="12700">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238" name="Freeform 237"/>
            <xdr:cNvSpPr/>
          </xdr:nvSpPr>
          <xdr:spPr bwMode="auto">
            <a:xfrm>
              <a:off x="7039255" y="7183049"/>
              <a:ext cx="149684" cy="475051"/>
            </a:xfrm>
            <a:custGeom>
              <a:avLst/>
              <a:gdLst>
                <a:gd name="connsiteX0" fmla="*/ 0 w 208806"/>
                <a:gd name="connsiteY0" fmla="*/ 163040 h 163040"/>
                <a:gd name="connsiteX1" fmla="*/ 208806 w 208806"/>
                <a:gd name="connsiteY1" fmla="*/ 97252 h 163040"/>
                <a:gd name="connsiteX2" fmla="*/ 203086 w 208806"/>
                <a:gd name="connsiteY2" fmla="*/ 0 h 163040"/>
                <a:gd name="connsiteX3" fmla="*/ 8581 w 208806"/>
                <a:gd name="connsiteY3" fmla="*/ 65788 h 163040"/>
                <a:gd name="connsiteX4" fmla="*/ 0 w 208806"/>
                <a:gd name="connsiteY4" fmla="*/ 163040 h 163040"/>
                <a:gd name="connsiteX0" fmla="*/ 2861 w 200225"/>
                <a:gd name="connsiteY0" fmla="*/ 163040 h 163040"/>
                <a:gd name="connsiteX1" fmla="*/ 200225 w 200225"/>
                <a:gd name="connsiteY1" fmla="*/ 97252 h 163040"/>
                <a:gd name="connsiteX2" fmla="*/ 194505 w 200225"/>
                <a:gd name="connsiteY2" fmla="*/ 0 h 163040"/>
                <a:gd name="connsiteX3" fmla="*/ 0 w 200225"/>
                <a:gd name="connsiteY3" fmla="*/ 65788 h 163040"/>
                <a:gd name="connsiteX4" fmla="*/ 2861 w 200225"/>
                <a:gd name="connsiteY4" fmla="*/ 163040 h 163040"/>
                <a:gd name="connsiteX0" fmla="*/ 2861 w 200225"/>
                <a:gd name="connsiteY0" fmla="*/ 163040 h 163040"/>
                <a:gd name="connsiteX1" fmla="*/ 200225 w 200225"/>
                <a:gd name="connsiteY1" fmla="*/ 97252 h 163040"/>
                <a:gd name="connsiteX2" fmla="*/ 194505 w 200225"/>
                <a:gd name="connsiteY2" fmla="*/ 0 h 163040"/>
                <a:gd name="connsiteX3" fmla="*/ 0 w 200225"/>
                <a:gd name="connsiteY3" fmla="*/ 65788 h 163040"/>
                <a:gd name="connsiteX4" fmla="*/ 2861 w 200225"/>
                <a:gd name="connsiteY4" fmla="*/ 163040 h 163040"/>
                <a:gd name="connsiteX0" fmla="*/ 2861 w 200225"/>
                <a:gd name="connsiteY0" fmla="*/ 220247 h 220247"/>
                <a:gd name="connsiteX1" fmla="*/ 200225 w 200225"/>
                <a:gd name="connsiteY1" fmla="*/ 154459 h 220247"/>
                <a:gd name="connsiteX2" fmla="*/ 134438 w 200225"/>
                <a:gd name="connsiteY2" fmla="*/ 0 h 220247"/>
                <a:gd name="connsiteX3" fmla="*/ 0 w 200225"/>
                <a:gd name="connsiteY3" fmla="*/ 122995 h 220247"/>
                <a:gd name="connsiteX4" fmla="*/ 2861 w 200225"/>
                <a:gd name="connsiteY4" fmla="*/ 220247 h 220247"/>
                <a:gd name="connsiteX0" fmla="*/ 2861 w 134438"/>
                <a:gd name="connsiteY0" fmla="*/ 220247 h 220247"/>
                <a:gd name="connsiteX1" fmla="*/ 134437 w 134438"/>
                <a:gd name="connsiteY1" fmla="*/ 128715 h 220247"/>
                <a:gd name="connsiteX2" fmla="*/ 134438 w 134438"/>
                <a:gd name="connsiteY2" fmla="*/ 0 h 220247"/>
                <a:gd name="connsiteX3" fmla="*/ 0 w 134438"/>
                <a:gd name="connsiteY3" fmla="*/ 122995 h 220247"/>
                <a:gd name="connsiteX4" fmla="*/ 2861 w 134438"/>
                <a:gd name="connsiteY4" fmla="*/ 220247 h 220247"/>
                <a:gd name="connsiteX0" fmla="*/ 2861 w 134438"/>
                <a:gd name="connsiteY0" fmla="*/ 220247 h 220247"/>
                <a:gd name="connsiteX1" fmla="*/ 134437 w 134438"/>
                <a:gd name="connsiteY1" fmla="*/ 117274 h 220247"/>
                <a:gd name="connsiteX2" fmla="*/ 134438 w 134438"/>
                <a:gd name="connsiteY2" fmla="*/ 0 h 220247"/>
                <a:gd name="connsiteX3" fmla="*/ 0 w 134438"/>
                <a:gd name="connsiteY3" fmla="*/ 122995 h 220247"/>
                <a:gd name="connsiteX4" fmla="*/ 2861 w 134438"/>
                <a:gd name="connsiteY4" fmla="*/ 220247 h 220247"/>
                <a:gd name="connsiteX0" fmla="*/ 2861 w 134438"/>
                <a:gd name="connsiteY0" fmla="*/ 220247 h 220247"/>
                <a:gd name="connsiteX1" fmla="*/ 134437 w 134438"/>
                <a:gd name="connsiteY1" fmla="*/ 108693 h 220247"/>
                <a:gd name="connsiteX2" fmla="*/ 134438 w 134438"/>
                <a:gd name="connsiteY2" fmla="*/ 0 h 220247"/>
                <a:gd name="connsiteX3" fmla="*/ 0 w 134438"/>
                <a:gd name="connsiteY3" fmla="*/ 122995 h 220247"/>
                <a:gd name="connsiteX4" fmla="*/ 2861 w 134438"/>
                <a:gd name="connsiteY4" fmla="*/ 220247 h 220247"/>
                <a:gd name="connsiteX0" fmla="*/ 31 w 131608"/>
                <a:gd name="connsiteY0" fmla="*/ 220247 h 220247"/>
                <a:gd name="connsiteX1" fmla="*/ 131607 w 131608"/>
                <a:gd name="connsiteY1" fmla="*/ 108693 h 220247"/>
                <a:gd name="connsiteX2" fmla="*/ 131608 w 131608"/>
                <a:gd name="connsiteY2" fmla="*/ 0 h 220247"/>
                <a:gd name="connsiteX3" fmla="*/ 20053 w 131608"/>
                <a:gd name="connsiteY3" fmla="*/ 102973 h 220247"/>
                <a:gd name="connsiteX4" fmla="*/ 31 w 131608"/>
                <a:gd name="connsiteY4" fmla="*/ 220247 h 220247"/>
                <a:gd name="connsiteX0" fmla="*/ 31 w 131608"/>
                <a:gd name="connsiteY0" fmla="*/ 220247 h 220247"/>
                <a:gd name="connsiteX1" fmla="*/ 131607 w 131608"/>
                <a:gd name="connsiteY1" fmla="*/ 108693 h 220247"/>
                <a:gd name="connsiteX2" fmla="*/ 131608 w 131608"/>
                <a:gd name="connsiteY2" fmla="*/ 0 h 220247"/>
                <a:gd name="connsiteX3" fmla="*/ 20053 w 131608"/>
                <a:gd name="connsiteY3" fmla="*/ 105834 h 220247"/>
                <a:gd name="connsiteX4" fmla="*/ 31 w 131608"/>
                <a:gd name="connsiteY4" fmla="*/ 220247 h 220247"/>
                <a:gd name="connsiteX0" fmla="*/ 5721 w 111555"/>
                <a:gd name="connsiteY0" fmla="*/ 194503 h 194503"/>
                <a:gd name="connsiteX1" fmla="*/ 111554 w 111555"/>
                <a:gd name="connsiteY1" fmla="*/ 108693 h 194503"/>
                <a:gd name="connsiteX2" fmla="*/ 111555 w 111555"/>
                <a:gd name="connsiteY2" fmla="*/ 0 h 194503"/>
                <a:gd name="connsiteX3" fmla="*/ 0 w 111555"/>
                <a:gd name="connsiteY3" fmla="*/ 105834 h 194503"/>
                <a:gd name="connsiteX4" fmla="*/ 5721 w 111555"/>
                <a:gd name="connsiteY4" fmla="*/ 194503 h 194503"/>
                <a:gd name="connsiteX0" fmla="*/ 275 w 111829"/>
                <a:gd name="connsiteY0" fmla="*/ 200223 h 200223"/>
                <a:gd name="connsiteX1" fmla="*/ 111828 w 111829"/>
                <a:gd name="connsiteY1" fmla="*/ 108693 h 200223"/>
                <a:gd name="connsiteX2" fmla="*/ 111829 w 111829"/>
                <a:gd name="connsiteY2" fmla="*/ 0 h 200223"/>
                <a:gd name="connsiteX3" fmla="*/ 274 w 111829"/>
                <a:gd name="connsiteY3" fmla="*/ 105834 h 200223"/>
                <a:gd name="connsiteX4" fmla="*/ 275 w 111829"/>
                <a:gd name="connsiteY4" fmla="*/ 200223 h 200223"/>
                <a:gd name="connsiteX0" fmla="*/ 18639 w 130193"/>
                <a:gd name="connsiteY0" fmla="*/ 611104 h 611104"/>
                <a:gd name="connsiteX1" fmla="*/ 130192 w 130193"/>
                <a:gd name="connsiteY1" fmla="*/ 519574 h 611104"/>
                <a:gd name="connsiteX2" fmla="*/ 130193 w 130193"/>
                <a:gd name="connsiteY2" fmla="*/ 410881 h 611104"/>
                <a:gd name="connsiteX3" fmla="*/ 0 w 130193"/>
                <a:gd name="connsiteY3" fmla="*/ 1856 h 611104"/>
                <a:gd name="connsiteX4" fmla="*/ 18639 w 130193"/>
                <a:gd name="connsiteY4" fmla="*/ 611104 h 611104"/>
                <a:gd name="connsiteX0" fmla="*/ 9320 w 120874"/>
                <a:gd name="connsiteY0" fmla="*/ 601607 h 601607"/>
                <a:gd name="connsiteX1" fmla="*/ 120873 w 120874"/>
                <a:gd name="connsiteY1" fmla="*/ 510077 h 601607"/>
                <a:gd name="connsiteX2" fmla="*/ 120874 w 120874"/>
                <a:gd name="connsiteY2" fmla="*/ 401384 h 601607"/>
                <a:gd name="connsiteX3" fmla="*/ 0 w 120874"/>
                <a:gd name="connsiteY3" fmla="*/ 1893 h 601607"/>
                <a:gd name="connsiteX4" fmla="*/ 9320 w 120874"/>
                <a:gd name="connsiteY4" fmla="*/ 601607 h 601607"/>
                <a:gd name="connsiteX0" fmla="*/ 9320 w 120874"/>
                <a:gd name="connsiteY0" fmla="*/ 762754 h 762754"/>
                <a:gd name="connsiteX1" fmla="*/ 120873 w 120874"/>
                <a:gd name="connsiteY1" fmla="*/ 671224 h 762754"/>
                <a:gd name="connsiteX2" fmla="*/ 120874 w 120874"/>
                <a:gd name="connsiteY2" fmla="*/ 0 h 762754"/>
                <a:gd name="connsiteX3" fmla="*/ 0 w 120874"/>
                <a:gd name="connsiteY3" fmla="*/ 163040 h 762754"/>
                <a:gd name="connsiteX4" fmla="*/ 9320 w 120874"/>
                <a:gd name="connsiteY4" fmla="*/ 762754 h 762754"/>
                <a:gd name="connsiteX0" fmla="*/ 9320 w 120874"/>
                <a:gd name="connsiteY0" fmla="*/ 705547 h 705547"/>
                <a:gd name="connsiteX1" fmla="*/ 120873 w 120874"/>
                <a:gd name="connsiteY1" fmla="*/ 614017 h 705547"/>
                <a:gd name="connsiteX2" fmla="*/ 120874 w 120874"/>
                <a:gd name="connsiteY2" fmla="*/ 0 h 705547"/>
                <a:gd name="connsiteX3" fmla="*/ 0 w 120874"/>
                <a:gd name="connsiteY3" fmla="*/ 105833 h 705547"/>
                <a:gd name="connsiteX4" fmla="*/ 9320 w 120874"/>
                <a:gd name="connsiteY4" fmla="*/ 705547 h 705547"/>
                <a:gd name="connsiteX0" fmla="*/ 9320 w 120874"/>
                <a:gd name="connsiteY0" fmla="*/ 705547 h 705547"/>
                <a:gd name="connsiteX1" fmla="*/ 120873 w 120874"/>
                <a:gd name="connsiteY1" fmla="*/ 614017 h 705547"/>
                <a:gd name="connsiteX2" fmla="*/ 120874 w 120874"/>
                <a:gd name="connsiteY2" fmla="*/ 0 h 705547"/>
                <a:gd name="connsiteX3" fmla="*/ 0 w 120874"/>
                <a:gd name="connsiteY3" fmla="*/ 344736 h 705547"/>
                <a:gd name="connsiteX4" fmla="*/ 9320 w 120874"/>
                <a:gd name="connsiteY4" fmla="*/ 705547 h 705547"/>
                <a:gd name="connsiteX0" fmla="*/ 9320 w 129526"/>
                <a:gd name="connsiteY0" fmla="*/ 493436 h 493436"/>
                <a:gd name="connsiteX1" fmla="*/ 120873 w 129526"/>
                <a:gd name="connsiteY1" fmla="*/ 401906 h 493436"/>
                <a:gd name="connsiteX2" fmla="*/ 129526 w 129526"/>
                <a:gd name="connsiteY2" fmla="*/ 0 h 493436"/>
                <a:gd name="connsiteX3" fmla="*/ 0 w 129526"/>
                <a:gd name="connsiteY3" fmla="*/ 132625 h 493436"/>
                <a:gd name="connsiteX4" fmla="*/ 9320 w 129526"/>
                <a:gd name="connsiteY4" fmla="*/ 493436 h 493436"/>
                <a:gd name="connsiteX0" fmla="*/ 9320 w 129526"/>
                <a:gd name="connsiteY0" fmla="*/ 493436 h 493436"/>
                <a:gd name="connsiteX1" fmla="*/ 125200 w 129526"/>
                <a:gd name="connsiteY1" fmla="*/ 397441 h 493436"/>
                <a:gd name="connsiteX2" fmla="*/ 129526 w 129526"/>
                <a:gd name="connsiteY2" fmla="*/ 0 h 493436"/>
                <a:gd name="connsiteX3" fmla="*/ 0 w 129526"/>
                <a:gd name="connsiteY3" fmla="*/ 132625 h 493436"/>
                <a:gd name="connsiteX4" fmla="*/ 9320 w 129526"/>
                <a:gd name="connsiteY4" fmla="*/ 493436 h 493436"/>
                <a:gd name="connsiteX0" fmla="*/ 9320 w 135966"/>
                <a:gd name="connsiteY0" fmla="*/ 445425 h 445425"/>
                <a:gd name="connsiteX1" fmla="*/ 125200 w 135966"/>
                <a:gd name="connsiteY1" fmla="*/ 349430 h 445425"/>
                <a:gd name="connsiteX2" fmla="*/ 135966 w 135966"/>
                <a:gd name="connsiteY2" fmla="*/ 0 h 445425"/>
                <a:gd name="connsiteX3" fmla="*/ 0 w 135966"/>
                <a:gd name="connsiteY3" fmla="*/ 84614 h 445425"/>
                <a:gd name="connsiteX4" fmla="*/ 9320 w 135966"/>
                <a:gd name="connsiteY4" fmla="*/ 445425 h 44542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35966" h="445425">
                  <a:moveTo>
                    <a:pt x="9320" y="445425"/>
                  </a:moveTo>
                  <a:lnTo>
                    <a:pt x="125200" y="349430"/>
                  </a:lnTo>
                  <a:cubicBezTo>
                    <a:pt x="125200" y="306525"/>
                    <a:pt x="135966" y="42905"/>
                    <a:pt x="135966" y="0"/>
                  </a:cubicBezTo>
                  <a:cubicBezTo>
                    <a:pt x="98781" y="35278"/>
                    <a:pt x="37185" y="49336"/>
                    <a:pt x="0" y="84614"/>
                  </a:cubicBezTo>
                  <a:cubicBezTo>
                    <a:pt x="954" y="117031"/>
                    <a:pt x="8366" y="413008"/>
                    <a:pt x="9320" y="445425"/>
                  </a:cubicBezTo>
                  <a:close/>
                </a:path>
              </a:pathLst>
            </a:custGeom>
            <a:solidFill>
              <a:schemeClr val="accent1">
                <a:lumMod val="40000"/>
                <a:lumOff val="60000"/>
              </a:schemeClr>
            </a:solidFill>
            <a:ln w="12700">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grpSp>
      <xdr:grpSp>
        <xdr:nvGrpSpPr>
          <xdr:cNvPr id="10333" name="Group 239"/>
          <xdr:cNvGrpSpPr>
            <a:grpSpLocks/>
          </xdr:cNvGrpSpPr>
        </xdr:nvGrpSpPr>
        <xdr:grpSpPr bwMode="auto">
          <a:xfrm>
            <a:off x="4581525" y="8162925"/>
            <a:ext cx="1974021" cy="1220287"/>
            <a:chOff x="6543675" y="19316700"/>
            <a:chExt cx="1974021" cy="1220287"/>
          </a:xfrm>
        </xdr:grpSpPr>
        <xdr:sp macro="" textlink="">
          <xdr:nvSpPr>
            <xdr:cNvPr id="241" name="Freeform 240"/>
            <xdr:cNvSpPr/>
          </xdr:nvSpPr>
          <xdr:spPr>
            <a:xfrm>
              <a:off x="6543675" y="19316700"/>
              <a:ext cx="1971675" cy="1123950"/>
            </a:xfrm>
            <a:custGeom>
              <a:avLst/>
              <a:gdLst>
                <a:gd name="connsiteX0" fmla="*/ 0 w 1971675"/>
                <a:gd name="connsiteY0" fmla="*/ 1123950 h 1123950"/>
                <a:gd name="connsiteX1" fmla="*/ 1971675 w 1971675"/>
                <a:gd name="connsiteY1" fmla="*/ 0 h 1123950"/>
                <a:gd name="connsiteX2" fmla="*/ 1838325 w 1971675"/>
                <a:gd name="connsiteY2" fmla="*/ 123825 h 1123950"/>
                <a:gd name="connsiteX3" fmla="*/ 209550 w 1971675"/>
                <a:gd name="connsiteY3" fmla="*/ 1057275 h 1123950"/>
                <a:gd name="connsiteX4" fmla="*/ 0 w 1971675"/>
                <a:gd name="connsiteY4" fmla="*/ 1123950 h 1123950"/>
                <a:gd name="connsiteX0" fmla="*/ 0 w 1971675"/>
                <a:gd name="connsiteY0" fmla="*/ 1123950 h 1123950"/>
                <a:gd name="connsiteX1" fmla="*/ 1971675 w 1971675"/>
                <a:gd name="connsiteY1" fmla="*/ 0 h 1123950"/>
                <a:gd name="connsiteX2" fmla="*/ 1864082 w 1971675"/>
                <a:gd name="connsiteY2" fmla="*/ 109621 h 1123950"/>
                <a:gd name="connsiteX3" fmla="*/ 209550 w 1971675"/>
                <a:gd name="connsiteY3" fmla="*/ 1057275 h 1123950"/>
                <a:gd name="connsiteX4" fmla="*/ 0 w 1971675"/>
                <a:gd name="connsiteY4" fmla="*/ 1123950 h 11239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71675" h="1123950">
                  <a:moveTo>
                    <a:pt x="0" y="1123950"/>
                  </a:moveTo>
                  <a:lnTo>
                    <a:pt x="1971675" y="0"/>
                  </a:lnTo>
                  <a:lnTo>
                    <a:pt x="1864082" y="109621"/>
                  </a:lnTo>
                  <a:lnTo>
                    <a:pt x="209550" y="1057275"/>
                  </a:lnTo>
                  <a:lnTo>
                    <a:pt x="0" y="1123950"/>
                  </a:lnTo>
                  <a:close/>
                </a:path>
              </a:pathLst>
            </a:custGeom>
            <a:solidFill>
              <a:schemeClr val="accent1">
                <a:lumMod val="20000"/>
                <a:lumOff val="80000"/>
              </a:schemeClr>
            </a:solidFill>
            <a:ln w="952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242" name="Freeform 241"/>
            <xdr:cNvSpPr/>
          </xdr:nvSpPr>
          <xdr:spPr>
            <a:xfrm>
              <a:off x="6543675" y="19411950"/>
              <a:ext cx="1971675" cy="1123950"/>
            </a:xfrm>
            <a:custGeom>
              <a:avLst/>
              <a:gdLst>
                <a:gd name="connsiteX0" fmla="*/ 0 w 1971675"/>
                <a:gd name="connsiteY0" fmla="*/ 1123950 h 1123950"/>
                <a:gd name="connsiteX1" fmla="*/ 1971675 w 1971675"/>
                <a:gd name="connsiteY1" fmla="*/ 0 h 1123950"/>
                <a:gd name="connsiteX2" fmla="*/ 1838325 w 1971675"/>
                <a:gd name="connsiteY2" fmla="*/ 123825 h 1123950"/>
                <a:gd name="connsiteX3" fmla="*/ 209550 w 1971675"/>
                <a:gd name="connsiteY3" fmla="*/ 1057275 h 1123950"/>
                <a:gd name="connsiteX4" fmla="*/ 0 w 1971675"/>
                <a:gd name="connsiteY4" fmla="*/ 1123950 h 11239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71675" h="1123950">
                  <a:moveTo>
                    <a:pt x="0" y="1123950"/>
                  </a:moveTo>
                  <a:lnTo>
                    <a:pt x="1971675" y="0"/>
                  </a:lnTo>
                  <a:lnTo>
                    <a:pt x="1838325" y="123825"/>
                  </a:lnTo>
                  <a:lnTo>
                    <a:pt x="209550" y="1057275"/>
                  </a:lnTo>
                  <a:lnTo>
                    <a:pt x="0" y="1123950"/>
                  </a:lnTo>
                  <a:close/>
                </a:path>
              </a:pathLst>
            </a:cu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243" name="Freeform 242"/>
            <xdr:cNvSpPr/>
          </xdr:nvSpPr>
          <xdr:spPr>
            <a:xfrm>
              <a:off x="6753225" y="19431000"/>
              <a:ext cx="1657350" cy="1038225"/>
            </a:xfrm>
            <a:custGeom>
              <a:avLst/>
              <a:gdLst>
                <a:gd name="connsiteX0" fmla="*/ 0 w 1627545"/>
                <a:gd name="connsiteY0" fmla="*/ 1038311 h 1038311"/>
                <a:gd name="connsiteX1" fmla="*/ 0 w 1627545"/>
                <a:gd name="connsiteY1" fmla="*/ 935338 h 1038311"/>
                <a:gd name="connsiteX2" fmla="*/ 1627545 w 1627545"/>
                <a:gd name="connsiteY2" fmla="*/ 0 h 1038311"/>
                <a:gd name="connsiteX3" fmla="*/ 1627545 w 1627545"/>
                <a:gd name="connsiteY3" fmla="*/ 94392 h 1038311"/>
                <a:gd name="connsiteX4" fmla="*/ 0 w 1627545"/>
                <a:gd name="connsiteY4" fmla="*/ 1038311 h 1038311"/>
                <a:gd name="connsiteX0" fmla="*/ 0 w 1656148"/>
                <a:gd name="connsiteY0" fmla="*/ 1055473 h 1055473"/>
                <a:gd name="connsiteX1" fmla="*/ 0 w 1656148"/>
                <a:gd name="connsiteY1" fmla="*/ 952500 h 1055473"/>
                <a:gd name="connsiteX2" fmla="*/ 1656148 w 1656148"/>
                <a:gd name="connsiteY2" fmla="*/ 0 h 1055473"/>
                <a:gd name="connsiteX3" fmla="*/ 1627545 w 1656148"/>
                <a:gd name="connsiteY3" fmla="*/ 111554 h 1055473"/>
                <a:gd name="connsiteX4" fmla="*/ 0 w 1656148"/>
                <a:gd name="connsiteY4" fmla="*/ 1055473 h 1055473"/>
                <a:gd name="connsiteX0" fmla="*/ 0 w 1656149"/>
                <a:gd name="connsiteY0" fmla="*/ 1055473 h 1055473"/>
                <a:gd name="connsiteX1" fmla="*/ 0 w 1656149"/>
                <a:gd name="connsiteY1" fmla="*/ 952500 h 1055473"/>
                <a:gd name="connsiteX2" fmla="*/ 1656148 w 1656149"/>
                <a:gd name="connsiteY2" fmla="*/ 0 h 1055473"/>
                <a:gd name="connsiteX3" fmla="*/ 1656149 w 1656149"/>
                <a:gd name="connsiteY3" fmla="*/ 91531 h 1055473"/>
                <a:gd name="connsiteX4" fmla="*/ 0 w 1656149"/>
                <a:gd name="connsiteY4" fmla="*/ 1055473 h 1055473"/>
                <a:gd name="connsiteX0" fmla="*/ 0 w 1661870"/>
                <a:gd name="connsiteY0" fmla="*/ 1055473 h 1055473"/>
                <a:gd name="connsiteX1" fmla="*/ 0 w 1661870"/>
                <a:gd name="connsiteY1" fmla="*/ 952500 h 1055473"/>
                <a:gd name="connsiteX2" fmla="*/ 1656148 w 1661870"/>
                <a:gd name="connsiteY2" fmla="*/ 0 h 1055473"/>
                <a:gd name="connsiteX3" fmla="*/ 1661870 w 1661870"/>
                <a:gd name="connsiteY3" fmla="*/ 91531 h 1055473"/>
                <a:gd name="connsiteX4" fmla="*/ 0 w 1661870"/>
                <a:gd name="connsiteY4" fmla="*/ 1055473 h 1055473"/>
                <a:gd name="connsiteX0" fmla="*/ 0 w 1656148"/>
                <a:gd name="connsiteY0" fmla="*/ 1055473 h 1055473"/>
                <a:gd name="connsiteX1" fmla="*/ 0 w 1656148"/>
                <a:gd name="connsiteY1" fmla="*/ 952500 h 1055473"/>
                <a:gd name="connsiteX2" fmla="*/ 1656148 w 1656148"/>
                <a:gd name="connsiteY2" fmla="*/ 0 h 1055473"/>
                <a:gd name="connsiteX3" fmla="*/ 1653288 w 1656148"/>
                <a:gd name="connsiteY3" fmla="*/ 94392 h 1055473"/>
                <a:gd name="connsiteX4" fmla="*/ 0 w 1656148"/>
                <a:gd name="connsiteY4" fmla="*/ 1055473 h 1055473"/>
                <a:gd name="connsiteX0" fmla="*/ 0 w 1661869"/>
                <a:gd name="connsiteY0" fmla="*/ 1055473 h 1055473"/>
                <a:gd name="connsiteX1" fmla="*/ 0 w 1661869"/>
                <a:gd name="connsiteY1" fmla="*/ 952500 h 1055473"/>
                <a:gd name="connsiteX2" fmla="*/ 1656148 w 1661869"/>
                <a:gd name="connsiteY2" fmla="*/ 0 h 1055473"/>
                <a:gd name="connsiteX3" fmla="*/ 1661869 w 1661869"/>
                <a:gd name="connsiteY3" fmla="*/ 91532 h 1055473"/>
                <a:gd name="connsiteX4" fmla="*/ 0 w 1661869"/>
                <a:gd name="connsiteY4" fmla="*/ 1055473 h 1055473"/>
                <a:gd name="connsiteX0" fmla="*/ 0 w 1656148"/>
                <a:gd name="connsiteY0" fmla="*/ 1055473 h 1055473"/>
                <a:gd name="connsiteX1" fmla="*/ 0 w 1656148"/>
                <a:gd name="connsiteY1" fmla="*/ 952500 h 1055473"/>
                <a:gd name="connsiteX2" fmla="*/ 1656148 w 1656148"/>
                <a:gd name="connsiteY2" fmla="*/ 0 h 1055473"/>
                <a:gd name="connsiteX3" fmla="*/ 1653287 w 1656148"/>
                <a:gd name="connsiteY3" fmla="*/ 91532 h 1055473"/>
                <a:gd name="connsiteX4" fmla="*/ 0 w 1656148"/>
                <a:gd name="connsiteY4" fmla="*/ 1055473 h 1055473"/>
                <a:gd name="connsiteX0" fmla="*/ 0 w 1653288"/>
                <a:gd name="connsiteY0" fmla="*/ 1049752 h 1049752"/>
                <a:gd name="connsiteX1" fmla="*/ 0 w 1653288"/>
                <a:gd name="connsiteY1" fmla="*/ 946779 h 1049752"/>
                <a:gd name="connsiteX2" fmla="*/ 1653288 w 1653288"/>
                <a:gd name="connsiteY2" fmla="*/ 0 h 1049752"/>
                <a:gd name="connsiteX3" fmla="*/ 1653287 w 1653288"/>
                <a:gd name="connsiteY3" fmla="*/ 85811 h 1049752"/>
                <a:gd name="connsiteX4" fmla="*/ 0 w 1653288"/>
                <a:gd name="connsiteY4" fmla="*/ 1049752 h 104975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653288" h="1049752">
                  <a:moveTo>
                    <a:pt x="0" y="1049752"/>
                  </a:moveTo>
                  <a:lnTo>
                    <a:pt x="0" y="946779"/>
                  </a:lnTo>
                  <a:lnTo>
                    <a:pt x="1653288" y="0"/>
                  </a:lnTo>
                  <a:cubicBezTo>
                    <a:pt x="1653288" y="30510"/>
                    <a:pt x="1653287" y="55301"/>
                    <a:pt x="1653287" y="85811"/>
                  </a:cubicBezTo>
                  <a:lnTo>
                    <a:pt x="0" y="1049752"/>
                  </a:lnTo>
                  <a:close/>
                </a:path>
              </a:pathLst>
            </a:cu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50000" t="50000" r="50000" b="50000"/>
              </a:path>
              <a:tileRect/>
            </a:gradFill>
            <a:ln w="12700">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244" name="Freeform 243"/>
            <xdr:cNvSpPr/>
          </xdr:nvSpPr>
          <xdr:spPr>
            <a:xfrm>
              <a:off x="6553200" y="20373975"/>
              <a:ext cx="200025" cy="161925"/>
            </a:xfrm>
            <a:custGeom>
              <a:avLst/>
              <a:gdLst>
                <a:gd name="connsiteX0" fmla="*/ 0 w 208806"/>
                <a:gd name="connsiteY0" fmla="*/ 163040 h 163040"/>
                <a:gd name="connsiteX1" fmla="*/ 208806 w 208806"/>
                <a:gd name="connsiteY1" fmla="*/ 97252 h 163040"/>
                <a:gd name="connsiteX2" fmla="*/ 203086 w 208806"/>
                <a:gd name="connsiteY2" fmla="*/ 0 h 163040"/>
                <a:gd name="connsiteX3" fmla="*/ 8581 w 208806"/>
                <a:gd name="connsiteY3" fmla="*/ 65788 h 163040"/>
                <a:gd name="connsiteX4" fmla="*/ 0 w 208806"/>
                <a:gd name="connsiteY4" fmla="*/ 163040 h 163040"/>
                <a:gd name="connsiteX0" fmla="*/ 2861 w 200225"/>
                <a:gd name="connsiteY0" fmla="*/ 163040 h 163040"/>
                <a:gd name="connsiteX1" fmla="*/ 200225 w 200225"/>
                <a:gd name="connsiteY1" fmla="*/ 97252 h 163040"/>
                <a:gd name="connsiteX2" fmla="*/ 194505 w 200225"/>
                <a:gd name="connsiteY2" fmla="*/ 0 h 163040"/>
                <a:gd name="connsiteX3" fmla="*/ 0 w 200225"/>
                <a:gd name="connsiteY3" fmla="*/ 65788 h 163040"/>
                <a:gd name="connsiteX4" fmla="*/ 2861 w 200225"/>
                <a:gd name="connsiteY4" fmla="*/ 163040 h 163040"/>
                <a:gd name="connsiteX0" fmla="*/ 2861 w 200225"/>
                <a:gd name="connsiteY0" fmla="*/ 163040 h 163040"/>
                <a:gd name="connsiteX1" fmla="*/ 200225 w 200225"/>
                <a:gd name="connsiteY1" fmla="*/ 97252 h 163040"/>
                <a:gd name="connsiteX2" fmla="*/ 194505 w 200225"/>
                <a:gd name="connsiteY2" fmla="*/ 0 h 163040"/>
                <a:gd name="connsiteX3" fmla="*/ 0 w 200225"/>
                <a:gd name="connsiteY3" fmla="*/ 65788 h 163040"/>
                <a:gd name="connsiteX4" fmla="*/ 2861 w 200225"/>
                <a:gd name="connsiteY4" fmla="*/ 163040 h 16304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00225" h="163040">
                  <a:moveTo>
                    <a:pt x="2861" y="163040"/>
                  </a:moveTo>
                  <a:lnTo>
                    <a:pt x="200225" y="97252"/>
                  </a:lnTo>
                  <a:lnTo>
                    <a:pt x="194505" y="0"/>
                  </a:lnTo>
                  <a:lnTo>
                    <a:pt x="0" y="65788"/>
                  </a:lnTo>
                  <a:cubicBezTo>
                    <a:pt x="954" y="98205"/>
                    <a:pt x="1907" y="130623"/>
                    <a:pt x="2861" y="163040"/>
                  </a:cubicBezTo>
                  <a:close/>
                </a:path>
              </a:pathLst>
            </a:custGeom>
            <a:solidFill>
              <a:schemeClr val="accent1">
                <a:lumMod val="20000"/>
                <a:lumOff val="80000"/>
              </a:schemeClr>
            </a:solidFill>
            <a:ln w="12700">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245" name="Freeform 244"/>
            <xdr:cNvSpPr/>
          </xdr:nvSpPr>
          <xdr:spPr>
            <a:xfrm>
              <a:off x="8401050" y="19316700"/>
              <a:ext cx="114300" cy="200025"/>
            </a:xfrm>
            <a:custGeom>
              <a:avLst/>
              <a:gdLst>
                <a:gd name="connsiteX0" fmla="*/ 0 w 208806"/>
                <a:gd name="connsiteY0" fmla="*/ 163040 h 163040"/>
                <a:gd name="connsiteX1" fmla="*/ 208806 w 208806"/>
                <a:gd name="connsiteY1" fmla="*/ 97252 h 163040"/>
                <a:gd name="connsiteX2" fmla="*/ 203086 w 208806"/>
                <a:gd name="connsiteY2" fmla="*/ 0 h 163040"/>
                <a:gd name="connsiteX3" fmla="*/ 8581 w 208806"/>
                <a:gd name="connsiteY3" fmla="*/ 65788 h 163040"/>
                <a:gd name="connsiteX4" fmla="*/ 0 w 208806"/>
                <a:gd name="connsiteY4" fmla="*/ 163040 h 163040"/>
                <a:gd name="connsiteX0" fmla="*/ 2861 w 200225"/>
                <a:gd name="connsiteY0" fmla="*/ 163040 h 163040"/>
                <a:gd name="connsiteX1" fmla="*/ 200225 w 200225"/>
                <a:gd name="connsiteY1" fmla="*/ 97252 h 163040"/>
                <a:gd name="connsiteX2" fmla="*/ 194505 w 200225"/>
                <a:gd name="connsiteY2" fmla="*/ 0 h 163040"/>
                <a:gd name="connsiteX3" fmla="*/ 0 w 200225"/>
                <a:gd name="connsiteY3" fmla="*/ 65788 h 163040"/>
                <a:gd name="connsiteX4" fmla="*/ 2861 w 200225"/>
                <a:gd name="connsiteY4" fmla="*/ 163040 h 163040"/>
                <a:gd name="connsiteX0" fmla="*/ 2861 w 200225"/>
                <a:gd name="connsiteY0" fmla="*/ 163040 h 163040"/>
                <a:gd name="connsiteX1" fmla="*/ 200225 w 200225"/>
                <a:gd name="connsiteY1" fmla="*/ 97252 h 163040"/>
                <a:gd name="connsiteX2" fmla="*/ 194505 w 200225"/>
                <a:gd name="connsiteY2" fmla="*/ 0 h 163040"/>
                <a:gd name="connsiteX3" fmla="*/ 0 w 200225"/>
                <a:gd name="connsiteY3" fmla="*/ 65788 h 163040"/>
                <a:gd name="connsiteX4" fmla="*/ 2861 w 200225"/>
                <a:gd name="connsiteY4" fmla="*/ 163040 h 163040"/>
                <a:gd name="connsiteX0" fmla="*/ 2861 w 200225"/>
                <a:gd name="connsiteY0" fmla="*/ 220247 h 220247"/>
                <a:gd name="connsiteX1" fmla="*/ 200225 w 200225"/>
                <a:gd name="connsiteY1" fmla="*/ 154459 h 220247"/>
                <a:gd name="connsiteX2" fmla="*/ 134438 w 200225"/>
                <a:gd name="connsiteY2" fmla="*/ 0 h 220247"/>
                <a:gd name="connsiteX3" fmla="*/ 0 w 200225"/>
                <a:gd name="connsiteY3" fmla="*/ 122995 h 220247"/>
                <a:gd name="connsiteX4" fmla="*/ 2861 w 200225"/>
                <a:gd name="connsiteY4" fmla="*/ 220247 h 220247"/>
                <a:gd name="connsiteX0" fmla="*/ 2861 w 134438"/>
                <a:gd name="connsiteY0" fmla="*/ 220247 h 220247"/>
                <a:gd name="connsiteX1" fmla="*/ 134437 w 134438"/>
                <a:gd name="connsiteY1" fmla="*/ 128715 h 220247"/>
                <a:gd name="connsiteX2" fmla="*/ 134438 w 134438"/>
                <a:gd name="connsiteY2" fmla="*/ 0 h 220247"/>
                <a:gd name="connsiteX3" fmla="*/ 0 w 134438"/>
                <a:gd name="connsiteY3" fmla="*/ 122995 h 220247"/>
                <a:gd name="connsiteX4" fmla="*/ 2861 w 134438"/>
                <a:gd name="connsiteY4" fmla="*/ 220247 h 220247"/>
                <a:gd name="connsiteX0" fmla="*/ 2861 w 134438"/>
                <a:gd name="connsiteY0" fmla="*/ 220247 h 220247"/>
                <a:gd name="connsiteX1" fmla="*/ 134437 w 134438"/>
                <a:gd name="connsiteY1" fmla="*/ 117274 h 220247"/>
                <a:gd name="connsiteX2" fmla="*/ 134438 w 134438"/>
                <a:gd name="connsiteY2" fmla="*/ 0 h 220247"/>
                <a:gd name="connsiteX3" fmla="*/ 0 w 134438"/>
                <a:gd name="connsiteY3" fmla="*/ 122995 h 220247"/>
                <a:gd name="connsiteX4" fmla="*/ 2861 w 134438"/>
                <a:gd name="connsiteY4" fmla="*/ 220247 h 220247"/>
                <a:gd name="connsiteX0" fmla="*/ 2861 w 134438"/>
                <a:gd name="connsiteY0" fmla="*/ 220247 h 220247"/>
                <a:gd name="connsiteX1" fmla="*/ 134437 w 134438"/>
                <a:gd name="connsiteY1" fmla="*/ 108693 h 220247"/>
                <a:gd name="connsiteX2" fmla="*/ 134438 w 134438"/>
                <a:gd name="connsiteY2" fmla="*/ 0 h 220247"/>
                <a:gd name="connsiteX3" fmla="*/ 0 w 134438"/>
                <a:gd name="connsiteY3" fmla="*/ 122995 h 220247"/>
                <a:gd name="connsiteX4" fmla="*/ 2861 w 134438"/>
                <a:gd name="connsiteY4" fmla="*/ 220247 h 220247"/>
                <a:gd name="connsiteX0" fmla="*/ 31 w 131608"/>
                <a:gd name="connsiteY0" fmla="*/ 220247 h 220247"/>
                <a:gd name="connsiteX1" fmla="*/ 131607 w 131608"/>
                <a:gd name="connsiteY1" fmla="*/ 108693 h 220247"/>
                <a:gd name="connsiteX2" fmla="*/ 131608 w 131608"/>
                <a:gd name="connsiteY2" fmla="*/ 0 h 220247"/>
                <a:gd name="connsiteX3" fmla="*/ 20053 w 131608"/>
                <a:gd name="connsiteY3" fmla="*/ 102973 h 220247"/>
                <a:gd name="connsiteX4" fmla="*/ 31 w 131608"/>
                <a:gd name="connsiteY4" fmla="*/ 220247 h 220247"/>
                <a:gd name="connsiteX0" fmla="*/ 31 w 131608"/>
                <a:gd name="connsiteY0" fmla="*/ 220247 h 220247"/>
                <a:gd name="connsiteX1" fmla="*/ 131607 w 131608"/>
                <a:gd name="connsiteY1" fmla="*/ 108693 h 220247"/>
                <a:gd name="connsiteX2" fmla="*/ 131608 w 131608"/>
                <a:gd name="connsiteY2" fmla="*/ 0 h 220247"/>
                <a:gd name="connsiteX3" fmla="*/ 20053 w 131608"/>
                <a:gd name="connsiteY3" fmla="*/ 105834 h 220247"/>
                <a:gd name="connsiteX4" fmla="*/ 31 w 131608"/>
                <a:gd name="connsiteY4" fmla="*/ 220247 h 220247"/>
                <a:gd name="connsiteX0" fmla="*/ 5721 w 111555"/>
                <a:gd name="connsiteY0" fmla="*/ 194503 h 194503"/>
                <a:gd name="connsiteX1" fmla="*/ 111554 w 111555"/>
                <a:gd name="connsiteY1" fmla="*/ 108693 h 194503"/>
                <a:gd name="connsiteX2" fmla="*/ 111555 w 111555"/>
                <a:gd name="connsiteY2" fmla="*/ 0 h 194503"/>
                <a:gd name="connsiteX3" fmla="*/ 0 w 111555"/>
                <a:gd name="connsiteY3" fmla="*/ 105834 h 194503"/>
                <a:gd name="connsiteX4" fmla="*/ 5721 w 111555"/>
                <a:gd name="connsiteY4" fmla="*/ 194503 h 194503"/>
                <a:gd name="connsiteX0" fmla="*/ 275 w 111829"/>
                <a:gd name="connsiteY0" fmla="*/ 200223 h 200223"/>
                <a:gd name="connsiteX1" fmla="*/ 111828 w 111829"/>
                <a:gd name="connsiteY1" fmla="*/ 108693 h 200223"/>
                <a:gd name="connsiteX2" fmla="*/ 111829 w 111829"/>
                <a:gd name="connsiteY2" fmla="*/ 0 h 200223"/>
                <a:gd name="connsiteX3" fmla="*/ 274 w 111829"/>
                <a:gd name="connsiteY3" fmla="*/ 105834 h 200223"/>
                <a:gd name="connsiteX4" fmla="*/ 275 w 111829"/>
                <a:gd name="connsiteY4" fmla="*/ 200223 h 20022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11829" h="200223">
                  <a:moveTo>
                    <a:pt x="275" y="200223"/>
                  </a:moveTo>
                  <a:lnTo>
                    <a:pt x="111828" y="108693"/>
                  </a:lnTo>
                  <a:cubicBezTo>
                    <a:pt x="111828" y="65788"/>
                    <a:pt x="111829" y="42905"/>
                    <a:pt x="111829" y="0"/>
                  </a:cubicBezTo>
                  <a:lnTo>
                    <a:pt x="274" y="105834"/>
                  </a:lnTo>
                  <a:cubicBezTo>
                    <a:pt x="1228" y="138251"/>
                    <a:pt x="-679" y="167806"/>
                    <a:pt x="275" y="200223"/>
                  </a:cubicBezTo>
                  <a:close/>
                </a:path>
              </a:pathLst>
            </a:custGeom>
            <a:solidFill>
              <a:schemeClr val="accent1">
                <a:lumMod val="40000"/>
                <a:lumOff val="60000"/>
              </a:schemeClr>
            </a:solidFill>
            <a:ln w="12700">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grpSp>
      <xdr:grpSp>
        <xdr:nvGrpSpPr>
          <xdr:cNvPr id="10334" name="Group 245"/>
          <xdr:cNvGrpSpPr>
            <a:grpSpLocks/>
          </xdr:cNvGrpSpPr>
        </xdr:nvGrpSpPr>
        <xdr:grpSpPr bwMode="auto">
          <a:xfrm>
            <a:off x="4581525" y="8848725"/>
            <a:ext cx="1974021" cy="1220287"/>
            <a:chOff x="6543675" y="19316700"/>
            <a:chExt cx="1974021" cy="1220287"/>
          </a:xfrm>
        </xdr:grpSpPr>
        <xdr:sp macro="" textlink="">
          <xdr:nvSpPr>
            <xdr:cNvPr id="247" name="Freeform 246"/>
            <xdr:cNvSpPr/>
          </xdr:nvSpPr>
          <xdr:spPr>
            <a:xfrm>
              <a:off x="6543675" y="19316700"/>
              <a:ext cx="1971675" cy="1123950"/>
            </a:xfrm>
            <a:custGeom>
              <a:avLst/>
              <a:gdLst>
                <a:gd name="connsiteX0" fmla="*/ 0 w 1971675"/>
                <a:gd name="connsiteY0" fmla="*/ 1123950 h 1123950"/>
                <a:gd name="connsiteX1" fmla="*/ 1971675 w 1971675"/>
                <a:gd name="connsiteY1" fmla="*/ 0 h 1123950"/>
                <a:gd name="connsiteX2" fmla="*/ 1838325 w 1971675"/>
                <a:gd name="connsiteY2" fmla="*/ 123825 h 1123950"/>
                <a:gd name="connsiteX3" fmla="*/ 209550 w 1971675"/>
                <a:gd name="connsiteY3" fmla="*/ 1057275 h 1123950"/>
                <a:gd name="connsiteX4" fmla="*/ 0 w 1971675"/>
                <a:gd name="connsiteY4" fmla="*/ 1123950 h 1123950"/>
                <a:gd name="connsiteX0" fmla="*/ 0 w 1971675"/>
                <a:gd name="connsiteY0" fmla="*/ 1123950 h 1123950"/>
                <a:gd name="connsiteX1" fmla="*/ 1971675 w 1971675"/>
                <a:gd name="connsiteY1" fmla="*/ 0 h 1123950"/>
                <a:gd name="connsiteX2" fmla="*/ 1864082 w 1971675"/>
                <a:gd name="connsiteY2" fmla="*/ 109621 h 1123950"/>
                <a:gd name="connsiteX3" fmla="*/ 209550 w 1971675"/>
                <a:gd name="connsiteY3" fmla="*/ 1057275 h 1123950"/>
                <a:gd name="connsiteX4" fmla="*/ 0 w 1971675"/>
                <a:gd name="connsiteY4" fmla="*/ 1123950 h 11239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71675" h="1123950">
                  <a:moveTo>
                    <a:pt x="0" y="1123950"/>
                  </a:moveTo>
                  <a:lnTo>
                    <a:pt x="1971675" y="0"/>
                  </a:lnTo>
                  <a:lnTo>
                    <a:pt x="1864082" y="109621"/>
                  </a:lnTo>
                  <a:lnTo>
                    <a:pt x="209550" y="1057275"/>
                  </a:lnTo>
                  <a:lnTo>
                    <a:pt x="0" y="1123950"/>
                  </a:lnTo>
                  <a:close/>
                </a:path>
              </a:pathLst>
            </a:custGeom>
            <a:solidFill>
              <a:schemeClr val="accent1">
                <a:lumMod val="20000"/>
                <a:lumOff val="80000"/>
              </a:schemeClr>
            </a:solidFill>
            <a:ln w="952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248" name="Freeform 247"/>
            <xdr:cNvSpPr/>
          </xdr:nvSpPr>
          <xdr:spPr>
            <a:xfrm>
              <a:off x="6543675" y="19411950"/>
              <a:ext cx="1971675" cy="1123950"/>
            </a:xfrm>
            <a:custGeom>
              <a:avLst/>
              <a:gdLst>
                <a:gd name="connsiteX0" fmla="*/ 0 w 1971675"/>
                <a:gd name="connsiteY0" fmla="*/ 1123950 h 1123950"/>
                <a:gd name="connsiteX1" fmla="*/ 1971675 w 1971675"/>
                <a:gd name="connsiteY1" fmla="*/ 0 h 1123950"/>
                <a:gd name="connsiteX2" fmla="*/ 1838325 w 1971675"/>
                <a:gd name="connsiteY2" fmla="*/ 123825 h 1123950"/>
                <a:gd name="connsiteX3" fmla="*/ 209550 w 1971675"/>
                <a:gd name="connsiteY3" fmla="*/ 1057275 h 1123950"/>
                <a:gd name="connsiteX4" fmla="*/ 0 w 1971675"/>
                <a:gd name="connsiteY4" fmla="*/ 1123950 h 11239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71675" h="1123950">
                  <a:moveTo>
                    <a:pt x="0" y="1123950"/>
                  </a:moveTo>
                  <a:lnTo>
                    <a:pt x="1971675" y="0"/>
                  </a:lnTo>
                  <a:lnTo>
                    <a:pt x="1838325" y="123825"/>
                  </a:lnTo>
                  <a:lnTo>
                    <a:pt x="209550" y="1057275"/>
                  </a:lnTo>
                  <a:lnTo>
                    <a:pt x="0" y="1123950"/>
                  </a:lnTo>
                  <a:close/>
                </a:path>
              </a:pathLst>
            </a:cu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249" name="Freeform 248"/>
            <xdr:cNvSpPr/>
          </xdr:nvSpPr>
          <xdr:spPr>
            <a:xfrm>
              <a:off x="6753225" y="19431000"/>
              <a:ext cx="1657350" cy="1038225"/>
            </a:xfrm>
            <a:custGeom>
              <a:avLst/>
              <a:gdLst>
                <a:gd name="connsiteX0" fmla="*/ 0 w 1627545"/>
                <a:gd name="connsiteY0" fmla="*/ 1038311 h 1038311"/>
                <a:gd name="connsiteX1" fmla="*/ 0 w 1627545"/>
                <a:gd name="connsiteY1" fmla="*/ 935338 h 1038311"/>
                <a:gd name="connsiteX2" fmla="*/ 1627545 w 1627545"/>
                <a:gd name="connsiteY2" fmla="*/ 0 h 1038311"/>
                <a:gd name="connsiteX3" fmla="*/ 1627545 w 1627545"/>
                <a:gd name="connsiteY3" fmla="*/ 94392 h 1038311"/>
                <a:gd name="connsiteX4" fmla="*/ 0 w 1627545"/>
                <a:gd name="connsiteY4" fmla="*/ 1038311 h 1038311"/>
                <a:gd name="connsiteX0" fmla="*/ 0 w 1656148"/>
                <a:gd name="connsiteY0" fmla="*/ 1055473 h 1055473"/>
                <a:gd name="connsiteX1" fmla="*/ 0 w 1656148"/>
                <a:gd name="connsiteY1" fmla="*/ 952500 h 1055473"/>
                <a:gd name="connsiteX2" fmla="*/ 1656148 w 1656148"/>
                <a:gd name="connsiteY2" fmla="*/ 0 h 1055473"/>
                <a:gd name="connsiteX3" fmla="*/ 1627545 w 1656148"/>
                <a:gd name="connsiteY3" fmla="*/ 111554 h 1055473"/>
                <a:gd name="connsiteX4" fmla="*/ 0 w 1656148"/>
                <a:gd name="connsiteY4" fmla="*/ 1055473 h 1055473"/>
                <a:gd name="connsiteX0" fmla="*/ 0 w 1656149"/>
                <a:gd name="connsiteY0" fmla="*/ 1055473 h 1055473"/>
                <a:gd name="connsiteX1" fmla="*/ 0 w 1656149"/>
                <a:gd name="connsiteY1" fmla="*/ 952500 h 1055473"/>
                <a:gd name="connsiteX2" fmla="*/ 1656148 w 1656149"/>
                <a:gd name="connsiteY2" fmla="*/ 0 h 1055473"/>
                <a:gd name="connsiteX3" fmla="*/ 1656149 w 1656149"/>
                <a:gd name="connsiteY3" fmla="*/ 91531 h 1055473"/>
                <a:gd name="connsiteX4" fmla="*/ 0 w 1656149"/>
                <a:gd name="connsiteY4" fmla="*/ 1055473 h 1055473"/>
                <a:gd name="connsiteX0" fmla="*/ 0 w 1661870"/>
                <a:gd name="connsiteY0" fmla="*/ 1055473 h 1055473"/>
                <a:gd name="connsiteX1" fmla="*/ 0 w 1661870"/>
                <a:gd name="connsiteY1" fmla="*/ 952500 h 1055473"/>
                <a:gd name="connsiteX2" fmla="*/ 1656148 w 1661870"/>
                <a:gd name="connsiteY2" fmla="*/ 0 h 1055473"/>
                <a:gd name="connsiteX3" fmla="*/ 1661870 w 1661870"/>
                <a:gd name="connsiteY3" fmla="*/ 91531 h 1055473"/>
                <a:gd name="connsiteX4" fmla="*/ 0 w 1661870"/>
                <a:gd name="connsiteY4" fmla="*/ 1055473 h 1055473"/>
                <a:gd name="connsiteX0" fmla="*/ 0 w 1656148"/>
                <a:gd name="connsiteY0" fmla="*/ 1055473 h 1055473"/>
                <a:gd name="connsiteX1" fmla="*/ 0 w 1656148"/>
                <a:gd name="connsiteY1" fmla="*/ 952500 h 1055473"/>
                <a:gd name="connsiteX2" fmla="*/ 1656148 w 1656148"/>
                <a:gd name="connsiteY2" fmla="*/ 0 h 1055473"/>
                <a:gd name="connsiteX3" fmla="*/ 1653288 w 1656148"/>
                <a:gd name="connsiteY3" fmla="*/ 94392 h 1055473"/>
                <a:gd name="connsiteX4" fmla="*/ 0 w 1656148"/>
                <a:gd name="connsiteY4" fmla="*/ 1055473 h 1055473"/>
                <a:gd name="connsiteX0" fmla="*/ 0 w 1661869"/>
                <a:gd name="connsiteY0" fmla="*/ 1055473 h 1055473"/>
                <a:gd name="connsiteX1" fmla="*/ 0 w 1661869"/>
                <a:gd name="connsiteY1" fmla="*/ 952500 h 1055473"/>
                <a:gd name="connsiteX2" fmla="*/ 1656148 w 1661869"/>
                <a:gd name="connsiteY2" fmla="*/ 0 h 1055473"/>
                <a:gd name="connsiteX3" fmla="*/ 1661869 w 1661869"/>
                <a:gd name="connsiteY3" fmla="*/ 91532 h 1055473"/>
                <a:gd name="connsiteX4" fmla="*/ 0 w 1661869"/>
                <a:gd name="connsiteY4" fmla="*/ 1055473 h 1055473"/>
                <a:gd name="connsiteX0" fmla="*/ 0 w 1656148"/>
                <a:gd name="connsiteY0" fmla="*/ 1055473 h 1055473"/>
                <a:gd name="connsiteX1" fmla="*/ 0 w 1656148"/>
                <a:gd name="connsiteY1" fmla="*/ 952500 h 1055473"/>
                <a:gd name="connsiteX2" fmla="*/ 1656148 w 1656148"/>
                <a:gd name="connsiteY2" fmla="*/ 0 h 1055473"/>
                <a:gd name="connsiteX3" fmla="*/ 1653287 w 1656148"/>
                <a:gd name="connsiteY3" fmla="*/ 91532 h 1055473"/>
                <a:gd name="connsiteX4" fmla="*/ 0 w 1656148"/>
                <a:gd name="connsiteY4" fmla="*/ 1055473 h 1055473"/>
                <a:gd name="connsiteX0" fmla="*/ 0 w 1653288"/>
                <a:gd name="connsiteY0" fmla="*/ 1049752 h 1049752"/>
                <a:gd name="connsiteX1" fmla="*/ 0 w 1653288"/>
                <a:gd name="connsiteY1" fmla="*/ 946779 h 1049752"/>
                <a:gd name="connsiteX2" fmla="*/ 1653288 w 1653288"/>
                <a:gd name="connsiteY2" fmla="*/ 0 h 1049752"/>
                <a:gd name="connsiteX3" fmla="*/ 1653287 w 1653288"/>
                <a:gd name="connsiteY3" fmla="*/ 85811 h 1049752"/>
                <a:gd name="connsiteX4" fmla="*/ 0 w 1653288"/>
                <a:gd name="connsiteY4" fmla="*/ 1049752 h 104975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653288" h="1049752">
                  <a:moveTo>
                    <a:pt x="0" y="1049752"/>
                  </a:moveTo>
                  <a:lnTo>
                    <a:pt x="0" y="946779"/>
                  </a:lnTo>
                  <a:lnTo>
                    <a:pt x="1653288" y="0"/>
                  </a:lnTo>
                  <a:cubicBezTo>
                    <a:pt x="1653288" y="30510"/>
                    <a:pt x="1653287" y="55301"/>
                    <a:pt x="1653287" y="85811"/>
                  </a:cubicBezTo>
                  <a:lnTo>
                    <a:pt x="0" y="1049752"/>
                  </a:lnTo>
                  <a:close/>
                </a:path>
              </a:pathLst>
            </a:cu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50000" t="50000" r="50000" b="50000"/>
              </a:path>
              <a:tileRect/>
            </a:gradFill>
            <a:ln w="12700">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250" name="Freeform 249"/>
            <xdr:cNvSpPr/>
          </xdr:nvSpPr>
          <xdr:spPr>
            <a:xfrm>
              <a:off x="6553200" y="20373975"/>
              <a:ext cx="200025" cy="161925"/>
            </a:xfrm>
            <a:custGeom>
              <a:avLst/>
              <a:gdLst>
                <a:gd name="connsiteX0" fmla="*/ 0 w 208806"/>
                <a:gd name="connsiteY0" fmla="*/ 163040 h 163040"/>
                <a:gd name="connsiteX1" fmla="*/ 208806 w 208806"/>
                <a:gd name="connsiteY1" fmla="*/ 97252 h 163040"/>
                <a:gd name="connsiteX2" fmla="*/ 203086 w 208806"/>
                <a:gd name="connsiteY2" fmla="*/ 0 h 163040"/>
                <a:gd name="connsiteX3" fmla="*/ 8581 w 208806"/>
                <a:gd name="connsiteY3" fmla="*/ 65788 h 163040"/>
                <a:gd name="connsiteX4" fmla="*/ 0 w 208806"/>
                <a:gd name="connsiteY4" fmla="*/ 163040 h 163040"/>
                <a:gd name="connsiteX0" fmla="*/ 2861 w 200225"/>
                <a:gd name="connsiteY0" fmla="*/ 163040 h 163040"/>
                <a:gd name="connsiteX1" fmla="*/ 200225 w 200225"/>
                <a:gd name="connsiteY1" fmla="*/ 97252 h 163040"/>
                <a:gd name="connsiteX2" fmla="*/ 194505 w 200225"/>
                <a:gd name="connsiteY2" fmla="*/ 0 h 163040"/>
                <a:gd name="connsiteX3" fmla="*/ 0 w 200225"/>
                <a:gd name="connsiteY3" fmla="*/ 65788 h 163040"/>
                <a:gd name="connsiteX4" fmla="*/ 2861 w 200225"/>
                <a:gd name="connsiteY4" fmla="*/ 163040 h 163040"/>
                <a:gd name="connsiteX0" fmla="*/ 2861 w 200225"/>
                <a:gd name="connsiteY0" fmla="*/ 163040 h 163040"/>
                <a:gd name="connsiteX1" fmla="*/ 200225 w 200225"/>
                <a:gd name="connsiteY1" fmla="*/ 97252 h 163040"/>
                <a:gd name="connsiteX2" fmla="*/ 194505 w 200225"/>
                <a:gd name="connsiteY2" fmla="*/ 0 h 163040"/>
                <a:gd name="connsiteX3" fmla="*/ 0 w 200225"/>
                <a:gd name="connsiteY3" fmla="*/ 65788 h 163040"/>
                <a:gd name="connsiteX4" fmla="*/ 2861 w 200225"/>
                <a:gd name="connsiteY4" fmla="*/ 163040 h 16304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00225" h="163040">
                  <a:moveTo>
                    <a:pt x="2861" y="163040"/>
                  </a:moveTo>
                  <a:lnTo>
                    <a:pt x="200225" y="97252"/>
                  </a:lnTo>
                  <a:lnTo>
                    <a:pt x="194505" y="0"/>
                  </a:lnTo>
                  <a:lnTo>
                    <a:pt x="0" y="65788"/>
                  </a:lnTo>
                  <a:cubicBezTo>
                    <a:pt x="954" y="98205"/>
                    <a:pt x="1907" y="130623"/>
                    <a:pt x="2861" y="163040"/>
                  </a:cubicBezTo>
                  <a:close/>
                </a:path>
              </a:pathLst>
            </a:custGeom>
            <a:solidFill>
              <a:schemeClr val="accent1">
                <a:lumMod val="20000"/>
                <a:lumOff val="80000"/>
              </a:schemeClr>
            </a:solidFill>
            <a:ln w="12700">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251" name="Freeform 250"/>
            <xdr:cNvSpPr/>
          </xdr:nvSpPr>
          <xdr:spPr>
            <a:xfrm>
              <a:off x="8401050" y="19316700"/>
              <a:ext cx="114300" cy="200025"/>
            </a:xfrm>
            <a:custGeom>
              <a:avLst/>
              <a:gdLst>
                <a:gd name="connsiteX0" fmla="*/ 0 w 208806"/>
                <a:gd name="connsiteY0" fmla="*/ 163040 h 163040"/>
                <a:gd name="connsiteX1" fmla="*/ 208806 w 208806"/>
                <a:gd name="connsiteY1" fmla="*/ 97252 h 163040"/>
                <a:gd name="connsiteX2" fmla="*/ 203086 w 208806"/>
                <a:gd name="connsiteY2" fmla="*/ 0 h 163040"/>
                <a:gd name="connsiteX3" fmla="*/ 8581 w 208806"/>
                <a:gd name="connsiteY3" fmla="*/ 65788 h 163040"/>
                <a:gd name="connsiteX4" fmla="*/ 0 w 208806"/>
                <a:gd name="connsiteY4" fmla="*/ 163040 h 163040"/>
                <a:gd name="connsiteX0" fmla="*/ 2861 w 200225"/>
                <a:gd name="connsiteY0" fmla="*/ 163040 h 163040"/>
                <a:gd name="connsiteX1" fmla="*/ 200225 w 200225"/>
                <a:gd name="connsiteY1" fmla="*/ 97252 h 163040"/>
                <a:gd name="connsiteX2" fmla="*/ 194505 w 200225"/>
                <a:gd name="connsiteY2" fmla="*/ 0 h 163040"/>
                <a:gd name="connsiteX3" fmla="*/ 0 w 200225"/>
                <a:gd name="connsiteY3" fmla="*/ 65788 h 163040"/>
                <a:gd name="connsiteX4" fmla="*/ 2861 w 200225"/>
                <a:gd name="connsiteY4" fmla="*/ 163040 h 163040"/>
                <a:gd name="connsiteX0" fmla="*/ 2861 w 200225"/>
                <a:gd name="connsiteY0" fmla="*/ 163040 h 163040"/>
                <a:gd name="connsiteX1" fmla="*/ 200225 w 200225"/>
                <a:gd name="connsiteY1" fmla="*/ 97252 h 163040"/>
                <a:gd name="connsiteX2" fmla="*/ 194505 w 200225"/>
                <a:gd name="connsiteY2" fmla="*/ 0 h 163040"/>
                <a:gd name="connsiteX3" fmla="*/ 0 w 200225"/>
                <a:gd name="connsiteY3" fmla="*/ 65788 h 163040"/>
                <a:gd name="connsiteX4" fmla="*/ 2861 w 200225"/>
                <a:gd name="connsiteY4" fmla="*/ 163040 h 163040"/>
                <a:gd name="connsiteX0" fmla="*/ 2861 w 200225"/>
                <a:gd name="connsiteY0" fmla="*/ 220247 h 220247"/>
                <a:gd name="connsiteX1" fmla="*/ 200225 w 200225"/>
                <a:gd name="connsiteY1" fmla="*/ 154459 h 220247"/>
                <a:gd name="connsiteX2" fmla="*/ 134438 w 200225"/>
                <a:gd name="connsiteY2" fmla="*/ 0 h 220247"/>
                <a:gd name="connsiteX3" fmla="*/ 0 w 200225"/>
                <a:gd name="connsiteY3" fmla="*/ 122995 h 220247"/>
                <a:gd name="connsiteX4" fmla="*/ 2861 w 200225"/>
                <a:gd name="connsiteY4" fmla="*/ 220247 h 220247"/>
                <a:gd name="connsiteX0" fmla="*/ 2861 w 134438"/>
                <a:gd name="connsiteY0" fmla="*/ 220247 h 220247"/>
                <a:gd name="connsiteX1" fmla="*/ 134437 w 134438"/>
                <a:gd name="connsiteY1" fmla="*/ 128715 h 220247"/>
                <a:gd name="connsiteX2" fmla="*/ 134438 w 134438"/>
                <a:gd name="connsiteY2" fmla="*/ 0 h 220247"/>
                <a:gd name="connsiteX3" fmla="*/ 0 w 134438"/>
                <a:gd name="connsiteY3" fmla="*/ 122995 h 220247"/>
                <a:gd name="connsiteX4" fmla="*/ 2861 w 134438"/>
                <a:gd name="connsiteY4" fmla="*/ 220247 h 220247"/>
                <a:gd name="connsiteX0" fmla="*/ 2861 w 134438"/>
                <a:gd name="connsiteY0" fmla="*/ 220247 h 220247"/>
                <a:gd name="connsiteX1" fmla="*/ 134437 w 134438"/>
                <a:gd name="connsiteY1" fmla="*/ 117274 h 220247"/>
                <a:gd name="connsiteX2" fmla="*/ 134438 w 134438"/>
                <a:gd name="connsiteY2" fmla="*/ 0 h 220247"/>
                <a:gd name="connsiteX3" fmla="*/ 0 w 134438"/>
                <a:gd name="connsiteY3" fmla="*/ 122995 h 220247"/>
                <a:gd name="connsiteX4" fmla="*/ 2861 w 134438"/>
                <a:gd name="connsiteY4" fmla="*/ 220247 h 220247"/>
                <a:gd name="connsiteX0" fmla="*/ 2861 w 134438"/>
                <a:gd name="connsiteY0" fmla="*/ 220247 h 220247"/>
                <a:gd name="connsiteX1" fmla="*/ 134437 w 134438"/>
                <a:gd name="connsiteY1" fmla="*/ 108693 h 220247"/>
                <a:gd name="connsiteX2" fmla="*/ 134438 w 134438"/>
                <a:gd name="connsiteY2" fmla="*/ 0 h 220247"/>
                <a:gd name="connsiteX3" fmla="*/ 0 w 134438"/>
                <a:gd name="connsiteY3" fmla="*/ 122995 h 220247"/>
                <a:gd name="connsiteX4" fmla="*/ 2861 w 134438"/>
                <a:gd name="connsiteY4" fmla="*/ 220247 h 220247"/>
                <a:gd name="connsiteX0" fmla="*/ 31 w 131608"/>
                <a:gd name="connsiteY0" fmla="*/ 220247 h 220247"/>
                <a:gd name="connsiteX1" fmla="*/ 131607 w 131608"/>
                <a:gd name="connsiteY1" fmla="*/ 108693 h 220247"/>
                <a:gd name="connsiteX2" fmla="*/ 131608 w 131608"/>
                <a:gd name="connsiteY2" fmla="*/ 0 h 220247"/>
                <a:gd name="connsiteX3" fmla="*/ 20053 w 131608"/>
                <a:gd name="connsiteY3" fmla="*/ 102973 h 220247"/>
                <a:gd name="connsiteX4" fmla="*/ 31 w 131608"/>
                <a:gd name="connsiteY4" fmla="*/ 220247 h 220247"/>
                <a:gd name="connsiteX0" fmla="*/ 31 w 131608"/>
                <a:gd name="connsiteY0" fmla="*/ 220247 h 220247"/>
                <a:gd name="connsiteX1" fmla="*/ 131607 w 131608"/>
                <a:gd name="connsiteY1" fmla="*/ 108693 h 220247"/>
                <a:gd name="connsiteX2" fmla="*/ 131608 w 131608"/>
                <a:gd name="connsiteY2" fmla="*/ 0 h 220247"/>
                <a:gd name="connsiteX3" fmla="*/ 20053 w 131608"/>
                <a:gd name="connsiteY3" fmla="*/ 105834 h 220247"/>
                <a:gd name="connsiteX4" fmla="*/ 31 w 131608"/>
                <a:gd name="connsiteY4" fmla="*/ 220247 h 220247"/>
                <a:gd name="connsiteX0" fmla="*/ 5721 w 111555"/>
                <a:gd name="connsiteY0" fmla="*/ 194503 h 194503"/>
                <a:gd name="connsiteX1" fmla="*/ 111554 w 111555"/>
                <a:gd name="connsiteY1" fmla="*/ 108693 h 194503"/>
                <a:gd name="connsiteX2" fmla="*/ 111555 w 111555"/>
                <a:gd name="connsiteY2" fmla="*/ 0 h 194503"/>
                <a:gd name="connsiteX3" fmla="*/ 0 w 111555"/>
                <a:gd name="connsiteY3" fmla="*/ 105834 h 194503"/>
                <a:gd name="connsiteX4" fmla="*/ 5721 w 111555"/>
                <a:gd name="connsiteY4" fmla="*/ 194503 h 194503"/>
                <a:gd name="connsiteX0" fmla="*/ 275 w 111829"/>
                <a:gd name="connsiteY0" fmla="*/ 200223 h 200223"/>
                <a:gd name="connsiteX1" fmla="*/ 111828 w 111829"/>
                <a:gd name="connsiteY1" fmla="*/ 108693 h 200223"/>
                <a:gd name="connsiteX2" fmla="*/ 111829 w 111829"/>
                <a:gd name="connsiteY2" fmla="*/ 0 h 200223"/>
                <a:gd name="connsiteX3" fmla="*/ 274 w 111829"/>
                <a:gd name="connsiteY3" fmla="*/ 105834 h 200223"/>
                <a:gd name="connsiteX4" fmla="*/ 275 w 111829"/>
                <a:gd name="connsiteY4" fmla="*/ 200223 h 20022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11829" h="200223">
                  <a:moveTo>
                    <a:pt x="275" y="200223"/>
                  </a:moveTo>
                  <a:lnTo>
                    <a:pt x="111828" y="108693"/>
                  </a:lnTo>
                  <a:cubicBezTo>
                    <a:pt x="111828" y="65788"/>
                    <a:pt x="111829" y="42905"/>
                    <a:pt x="111829" y="0"/>
                  </a:cubicBezTo>
                  <a:lnTo>
                    <a:pt x="274" y="105834"/>
                  </a:lnTo>
                  <a:cubicBezTo>
                    <a:pt x="1228" y="138251"/>
                    <a:pt x="-679" y="167806"/>
                    <a:pt x="275" y="200223"/>
                  </a:cubicBezTo>
                  <a:close/>
                </a:path>
              </a:pathLst>
            </a:custGeom>
            <a:solidFill>
              <a:schemeClr val="accent1">
                <a:lumMod val="40000"/>
                <a:lumOff val="60000"/>
              </a:schemeClr>
            </a:solidFill>
            <a:ln w="12700">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grpSp>
      <xdr:grpSp>
        <xdr:nvGrpSpPr>
          <xdr:cNvPr id="10335" name="Group 251"/>
          <xdr:cNvGrpSpPr>
            <a:grpSpLocks/>
          </xdr:cNvGrpSpPr>
        </xdr:nvGrpSpPr>
        <xdr:grpSpPr bwMode="auto">
          <a:xfrm>
            <a:off x="4581525" y="9553575"/>
            <a:ext cx="1974021" cy="1220287"/>
            <a:chOff x="6543675" y="19316700"/>
            <a:chExt cx="1974021" cy="1220287"/>
          </a:xfrm>
        </xdr:grpSpPr>
        <xdr:sp macro="" textlink="">
          <xdr:nvSpPr>
            <xdr:cNvPr id="253" name="Freeform 252"/>
            <xdr:cNvSpPr/>
          </xdr:nvSpPr>
          <xdr:spPr>
            <a:xfrm>
              <a:off x="6543675" y="19316700"/>
              <a:ext cx="1971675" cy="1123950"/>
            </a:xfrm>
            <a:custGeom>
              <a:avLst/>
              <a:gdLst>
                <a:gd name="connsiteX0" fmla="*/ 0 w 1971675"/>
                <a:gd name="connsiteY0" fmla="*/ 1123950 h 1123950"/>
                <a:gd name="connsiteX1" fmla="*/ 1971675 w 1971675"/>
                <a:gd name="connsiteY1" fmla="*/ 0 h 1123950"/>
                <a:gd name="connsiteX2" fmla="*/ 1838325 w 1971675"/>
                <a:gd name="connsiteY2" fmla="*/ 123825 h 1123950"/>
                <a:gd name="connsiteX3" fmla="*/ 209550 w 1971675"/>
                <a:gd name="connsiteY3" fmla="*/ 1057275 h 1123950"/>
                <a:gd name="connsiteX4" fmla="*/ 0 w 1971675"/>
                <a:gd name="connsiteY4" fmla="*/ 1123950 h 1123950"/>
                <a:gd name="connsiteX0" fmla="*/ 0 w 1971675"/>
                <a:gd name="connsiteY0" fmla="*/ 1123950 h 1123950"/>
                <a:gd name="connsiteX1" fmla="*/ 1971675 w 1971675"/>
                <a:gd name="connsiteY1" fmla="*/ 0 h 1123950"/>
                <a:gd name="connsiteX2" fmla="*/ 1864082 w 1971675"/>
                <a:gd name="connsiteY2" fmla="*/ 109621 h 1123950"/>
                <a:gd name="connsiteX3" fmla="*/ 209550 w 1971675"/>
                <a:gd name="connsiteY3" fmla="*/ 1057275 h 1123950"/>
                <a:gd name="connsiteX4" fmla="*/ 0 w 1971675"/>
                <a:gd name="connsiteY4" fmla="*/ 1123950 h 11239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71675" h="1123950">
                  <a:moveTo>
                    <a:pt x="0" y="1123950"/>
                  </a:moveTo>
                  <a:lnTo>
                    <a:pt x="1971675" y="0"/>
                  </a:lnTo>
                  <a:lnTo>
                    <a:pt x="1864082" y="109621"/>
                  </a:lnTo>
                  <a:lnTo>
                    <a:pt x="209550" y="1057275"/>
                  </a:lnTo>
                  <a:lnTo>
                    <a:pt x="0" y="1123950"/>
                  </a:lnTo>
                  <a:close/>
                </a:path>
              </a:pathLst>
            </a:custGeom>
            <a:solidFill>
              <a:schemeClr val="accent1">
                <a:lumMod val="20000"/>
                <a:lumOff val="80000"/>
              </a:schemeClr>
            </a:solidFill>
            <a:ln w="952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254" name="Freeform 253"/>
            <xdr:cNvSpPr/>
          </xdr:nvSpPr>
          <xdr:spPr>
            <a:xfrm>
              <a:off x="6543675" y="19411950"/>
              <a:ext cx="1971675" cy="1123950"/>
            </a:xfrm>
            <a:custGeom>
              <a:avLst/>
              <a:gdLst>
                <a:gd name="connsiteX0" fmla="*/ 0 w 1971675"/>
                <a:gd name="connsiteY0" fmla="*/ 1123950 h 1123950"/>
                <a:gd name="connsiteX1" fmla="*/ 1971675 w 1971675"/>
                <a:gd name="connsiteY1" fmla="*/ 0 h 1123950"/>
                <a:gd name="connsiteX2" fmla="*/ 1838325 w 1971675"/>
                <a:gd name="connsiteY2" fmla="*/ 123825 h 1123950"/>
                <a:gd name="connsiteX3" fmla="*/ 209550 w 1971675"/>
                <a:gd name="connsiteY3" fmla="*/ 1057275 h 1123950"/>
                <a:gd name="connsiteX4" fmla="*/ 0 w 1971675"/>
                <a:gd name="connsiteY4" fmla="*/ 1123950 h 11239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71675" h="1123950">
                  <a:moveTo>
                    <a:pt x="0" y="1123950"/>
                  </a:moveTo>
                  <a:lnTo>
                    <a:pt x="1971675" y="0"/>
                  </a:lnTo>
                  <a:lnTo>
                    <a:pt x="1838325" y="123825"/>
                  </a:lnTo>
                  <a:lnTo>
                    <a:pt x="209550" y="1057275"/>
                  </a:lnTo>
                  <a:lnTo>
                    <a:pt x="0" y="1123950"/>
                  </a:lnTo>
                  <a:close/>
                </a:path>
              </a:pathLst>
            </a:cu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255" name="Freeform 254"/>
            <xdr:cNvSpPr/>
          </xdr:nvSpPr>
          <xdr:spPr>
            <a:xfrm>
              <a:off x="6753225" y="19431000"/>
              <a:ext cx="1657350" cy="1038225"/>
            </a:xfrm>
            <a:custGeom>
              <a:avLst/>
              <a:gdLst>
                <a:gd name="connsiteX0" fmla="*/ 0 w 1627545"/>
                <a:gd name="connsiteY0" fmla="*/ 1038311 h 1038311"/>
                <a:gd name="connsiteX1" fmla="*/ 0 w 1627545"/>
                <a:gd name="connsiteY1" fmla="*/ 935338 h 1038311"/>
                <a:gd name="connsiteX2" fmla="*/ 1627545 w 1627545"/>
                <a:gd name="connsiteY2" fmla="*/ 0 h 1038311"/>
                <a:gd name="connsiteX3" fmla="*/ 1627545 w 1627545"/>
                <a:gd name="connsiteY3" fmla="*/ 94392 h 1038311"/>
                <a:gd name="connsiteX4" fmla="*/ 0 w 1627545"/>
                <a:gd name="connsiteY4" fmla="*/ 1038311 h 1038311"/>
                <a:gd name="connsiteX0" fmla="*/ 0 w 1656148"/>
                <a:gd name="connsiteY0" fmla="*/ 1055473 h 1055473"/>
                <a:gd name="connsiteX1" fmla="*/ 0 w 1656148"/>
                <a:gd name="connsiteY1" fmla="*/ 952500 h 1055473"/>
                <a:gd name="connsiteX2" fmla="*/ 1656148 w 1656148"/>
                <a:gd name="connsiteY2" fmla="*/ 0 h 1055473"/>
                <a:gd name="connsiteX3" fmla="*/ 1627545 w 1656148"/>
                <a:gd name="connsiteY3" fmla="*/ 111554 h 1055473"/>
                <a:gd name="connsiteX4" fmla="*/ 0 w 1656148"/>
                <a:gd name="connsiteY4" fmla="*/ 1055473 h 1055473"/>
                <a:gd name="connsiteX0" fmla="*/ 0 w 1656149"/>
                <a:gd name="connsiteY0" fmla="*/ 1055473 h 1055473"/>
                <a:gd name="connsiteX1" fmla="*/ 0 w 1656149"/>
                <a:gd name="connsiteY1" fmla="*/ 952500 h 1055473"/>
                <a:gd name="connsiteX2" fmla="*/ 1656148 w 1656149"/>
                <a:gd name="connsiteY2" fmla="*/ 0 h 1055473"/>
                <a:gd name="connsiteX3" fmla="*/ 1656149 w 1656149"/>
                <a:gd name="connsiteY3" fmla="*/ 91531 h 1055473"/>
                <a:gd name="connsiteX4" fmla="*/ 0 w 1656149"/>
                <a:gd name="connsiteY4" fmla="*/ 1055473 h 1055473"/>
                <a:gd name="connsiteX0" fmla="*/ 0 w 1661870"/>
                <a:gd name="connsiteY0" fmla="*/ 1055473 h 1055473"/>
                <a:gd name="connsiteX1" fmla="*/ 0 w 1661870"/>
                <a:gd name="connsiteY1" fmla="*/ 952500 h 1055473"/>
                <a:gd name="connsiteX2" fmla="*/ 1656148 w 1661870"/>
                <a:gd name="connsiteY2" fmla="*/ 0 h 1055473"/>
                <a:gd name="connsiteX3" fmla="*/ 1661870 w 1661870"/>
                <a:gd name="connsiteY3" fmla="*/ 91531 h 1055473"/>
                <a:gd name="connsiteX4" fmla="*/ 0 w 1661870"/>
                <a:gd name="connsiteY4" fmla="*/ 1055473 h 1055473"/>
                <a:gd name="connsiteX0" fmla="*/ 0 w 1656148"/>
                <a:gd name="connsiteY0" fmla="*/ 1055473 h 1055473"/>
                <a:gd name="connsiteX1" fmla="*/ 0 w 1656148"/>
                <a:gd name="connsiteY1" fmla="*/ 952500 h 1055473"/>
                <a:gd name="connsiteX2" fmla="*/ 1656148 w 1656148"/>
                <a:gd name="connsiteY2" fmla="*/ 0 h 1055473"/>
                <a:gd name="connsiteX3" fmla="*/ 1653288 w 1656148"/>
                <a:gd name="connsiteY3" fmla="*/ 94392 h 1055473"/>
                <a:gd name="connsiteX4" fmla="*/ 0 w 1656148"/>
                <a:gd name="connsiteY4" fmla="*/ 1055473 h 1055473"/>
                <a:gd name="connsiteX0" fmla="*/ 0 w 1661869"/>
                <a:gd name="connsiteY0" fmla="*/ 1055473 h 1055473"/>
                <a:gd name="connsiteX1" fmla="*/ 0 w 1661869"/>
                <a:gd name="connsiteY1" fmla="*/ 952500 h 1055473"/>
                <a:gd name="connsiteX2" fmla="*/ 1656148 w 1661869"/>
                <a:gd name="connsiteY2" fmla="*/ 0 h 1055473"/>
                <a:gd name="connsiteX3" fmla="*/ 1661869 w 1661869"/>
                <a:gd name="connsiteY3" fmla="*/ 91532 h 1055473"/>
                <a:gd name="connsiteX4" fmla="*/ 0 w 1661869"/>
                <a:gd name="connsiteY4" fmla="*/ 1055473 h 1055473"/>
                <a:gd name="connsiteX0" fmla="*/ 0 w 1656148"/>
                <a:gd name="connsiteY0" fmla="*/ 1055473 h 1055473"/>
                <a:gd name="connsiteX1" fmla="*/ 0 w 1656148"/>
                <a:gd name="connsiteY1" fmla="*/ 952500 h 1055473"/>
                <a:gd name="connsiteX2" fmla="*/ 1656148 w 1656148"/>
                <a:gd name="connsiteY2" fmla="*/ 0 h 1055473"/>
                <a:gd name="connsiteX3" fmla="*/ 1653287 w 1656148"/>
                <a:gd name="connsiteY3" fmla="*/ 91532 h 1055473"/>
                <a:gd name="connsiteX4" fmla="*/ 0 w 1656148"/>
                <a:gd name="connsiteY4" fmla="*/ 1055473 h 1055473"/>
                <a:gd name="connsiteX0" fmla="*/ 0 w 1653288"/>
                <a:gd name="connsiteY0" fmla="*/ 1049752 h 1049752"/>
                <a:gd name="connsiteX1" fmla="*/ 0 w 1653288"/>
                <a:gd name="connsiteY1" fmla="*/ 946779 h 1049752"/>
                <a:gd name="connsiteX2" fmla="*/ 1653288 w 1653288"/>
                <a:gd name="connsiteY2" fmla="*/ 0 h 1049752"/>
                <a:gd name="connsiteX3" fmla="*/ 1653287 w 1653288"/>
                <a:gd name="connsiteY3" fmla="*/ 85811 h 1049752"/>
                <a:gd name="connsiteX4" fmla="*/ 0 w 1653288"/>
                <a:gd name="connsiteY4" fmla="*/ 1049752 h 104975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653288" h="1049752">
                  <a:moveTo>
                    <a:pt x="0" y="1049752"/>
                  </a:moveTo>
                  <a:lnTo>
                    <a:pt x="0" y="946779"/>
                  </a:lnTo>
                  <a:lnTo>
                    <a:pt x="1653288" y="0"/>
                  </a:lnTo>
                  <a:cubicBezTo>
                    <a:pt x="1653288" y="30510"/>
                    <a:pt x="1653287" y="55301"/>
                    <a:pt x="1653287" y="85811"/>
                  </a:cubicBezTo>
                  <a:lnTo>
                    <a:pt x="0" y="1049752"/>
                  </a:lnTo>
                  <a:close/>
                </a:path>
              </a:pathLst>
            </a:cu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50000" t="50000" r="50000" b="50000"/>
              </a:path>
              <a:tileRect/>
            </a:gradFill>
            <a:ln w="12700">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256" name="Freeform 255"/>
            <xdr:cNvSpPr/>
          </xdr:nvSpPr>
          <xdr:spPr>
            <a:xfrm>
              <a:off x="6553200" y="20373975"/>
              <a:ext cx="200025" cy="161925"/>
            </a:xfrm>
            <a:custGeom>
              <a:avLst/>
              <a:gdLst>
                <a:gd name="connsiteX0" fmla="*/ 0 w 208806"/>
                <a:gd name="connsiteY0" fmla="*/ 163040 h 163040"/>
                <a:gd name="connsiteX1" fmla="*/ 208806 w 208806"/>
                <a:gd name="connsiteY1" fmla="*/ 97252 h 163040"/>
                <a:gd name="connsiteX2" fmla="*/ 203086 w 208806"/>
                <a:gd name="connsiteY2" fmla="*/ 0 h 163040"/>
                <a:gd name="connsiteX3" fmla="*/ 8581 w 208806"/>
                <a:gd name="connsiteY3" fmla="*/ 65788 h 163040"/>
                <a:gd name="connsiteX4" fmla="*/ 0 w 208806"/>
                <a:gd name="connsiteY4" fmla="*/ 163040 h 163040"/>
                <a:gd name="connsiteX0" fmla="*/ 2861 w 200225"/>
                <a:gd name="connsiteY0" fmla="*/ 163040 h 163040"/>
                <a:gd name="connsiteX1" fmla="*/ 200225 w 200225"/>
                <a:gd name="connsiteY1" fmla="*/ 97252 h 163040"/>
                <a:gd name="connsiteX2" fmla="*/ 194505 w 200225"/>
                <a:gd name="connsiteY2" fmla="*/ 0 h 163040"/>
                <a:gd name="connsiteX3" fmla="*/ 0 w 200225"/>
                <a:gd name="connsiteY3" fmla="*/ 65788 h 163040"/>
                <a:gd name="connsiteX4" fmla="*/ 2861 w 200225"/>
                <a:gd name="connsiteY4" fmla="*/ 163040 h 163040"/>
                <a:gd name="connsiteX0" fmla="*/ 2861 w 200225"/>
                <a:gd name="connsiteY0" fmla="*/ 163040 h 163040"/>
                <a:gd name="connsiteX1" fmla="*/ 200225 w 200225"/>
                <a:gd name="connsiteY1" fmla="*/ 97252 h 163040"/>
                <a:gd name="connsiteX2" fmla="*/ 194505 w 200225"/>
                <a:gd name="connsiteY2" fmla="*/ 0 h 163040"/>
                <a:gd name="connsiteX3" fmla="*/ 0 w 200225"/>
                <a:gd name="connsiteY3" fmla="*/ 65788 h 163040"/>
                <a:gd name="connsiteX4" fmla="*/ 2861 w 200225"/>
                <a:gd name="connsiteY4" fmla="*/ 163040 h 16304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00225" h="163040">
                  <a:moveTo>
                    <a:pt x="2861" y="163040"/>
                  </a:moveTo>
                  <a:lnTo>
                    <a:pt x="200225" y="97252"/>
                  </a:lnTo>
                  <a:lnTo>
                    <a:pt x="194505" y="0"/>
                  </a:lnTo>
                  <a:lnTo>
                    <a:pt x="0" y="65788"/>
                  </a:lnTo>
                  <a:cubicBezTo>
                    <a:pt x="954" y="98205"/>
                    <a:pt x="1907" y="130623"/>
                    <a:pt x="2861" y="163040"/>
                  </a:cubicBezTo>
                  <a:close/>
                </a:path>
              </a:pathLst>
            </a:custGeom>
            <a:solidFill>
              <a:schemeClr val="accent1">
                <a:lumMod val="20000"/>
                <a:lumOff val="80000"/>
              </a:schemeClr>
            </a:solidFill>
            <a:ln w="12700">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257" name="Freeform 256"/>
            <xdr:cNvSpPr/>
          </xdr:nvSpPr>
          <xdr:spPr>
            <a:xfrm>
              <a:off x="8401050" y="19316700"/>
              <a:ext cx="114300" cy="200025"/>
            </a:xfrm>
            <a:custGeom>
              <a:avLst/>
              <a:gdLst>
                <a:gd name="connsiteX0" fmla="*/ 0 w 208806"/>
                <a:gd name="connsiteY0" fmla="*/ 163040 h 163040"/>
                <a:gd name="connsiteX1" fmla="*/ 208806 w 208806"/>
                <a:gd name="connsiteY1" fmla="*/ 97252 h 163040"/>
                <a:gd name="connsiteX2" fmla="*/ 203086 w 208806"/>
                <a:gd name="connsiteY2" fmla="*/ 0 h 163040"/>
                <a:gd name="connsiteX3" fmla="*/ 8581 w 208806"/>
                <a:gd name="connsiteY3" fmla="*/ 65788 h 163040"/>
                <a:gd name="connsiteX4" fmla="*/ 0 w 208806"/>
                <a:gd name="connsiteY4" fmla="*/ 163040 h 163040"/>
                <a:gd name="connsiteX0" fmla="*/ 2861 w 200225"/>
                <a:gd name="connsiteY0" fmla="*/ 163040 h 163040"/>
                <a:gd name="connsiteX1" fmla="*/ 200225 w 200225"/>
                <a:gd name="connsiteY1" fmla="*/ 97252 h 163040"/>
                <a:gd name="connsiteX2" fmla="*/ 194505 w 200225"/>
                <a:gd name="connsiteY2" fmla="*/ 0 h 163040"/>
                <a:gd name="connsiteX3" fmla="*/ 0 w 200225"/>
                <a:gd name="connsiteY3" fmla="*/ 65788 h 163040"/>
                <a:gd name="connsiteX4" fmla="*/ 2861 w 200225"/>
                <a:gd name="connsiteY4" fmla="*/ 163040 h 163040"/>
                <a:gd name="connsiteX0" fmla="*/ 2861 w 200225"/>
                <a:gd name="connsiteY0" fmla="*/ 163040 h 163040"/>
                <a:gd name="connsiteX1" fmla="*/ 200225 w 200225"/>
                <a:gd name="connsiteY1" fmla="*/ 97252 h 163040"/>
                <a:gd name="connsiteX2" fmla="*/ 194505 w 200225"/>
                <a:gd name="connsiteY2" fmla="*/ 0 h 163040"/>
                <a:gd name="connsiteX3" fmla="*/ 0 w 200225"/>
                <a:gd name="connsiteY3" fmla="*/ 65788 h 163040"/>
                <a:gd name="connsiteX4" fmla="*/ 2861 w 200225"/>
                <a:gd name="connsiteY4" fmla="*/ 163040 h 163040"/>
                <a:gd name="connsiteX0" fmla="*/ 2861 w 200225"/>
                <a:gd name="connsiteY0" fmla="*/ 220247 h 220247"/>
                <a:gd name="connsiteX1" fmla="*/ 200225 w 200225"/>
                <a:gd name="connsiteY1" fmla="*/ 154459 h 220247"/>
                <a:gd name="connsiteX2" fmla="*/ 134438 w 200225"/>
                <a:gd name="connsiteY2" fmla="*/ 0 h 220247"/>
                <a:gd name="connsiteX3" fmla="*/ 0 w 200225"/>
                <a:gd name="connsiteY3" fmla="*/ 122995 h 220247"/>
                <a:gd name="connsiteX4" fmla="*/ 2861 w 200225"/>
                <a:gd name="connsiteY4" fmla="*/ 220247 h 220247"/>
                <a:gd name="connsiteX0" fmla="*/ 2861 w 134438"/>
                <a:gd name="connsiteY0" fmla="*/ 220247 h 220247"/>
                <a:gd name="connsiteX1" fmla="*/ 134437 w 134438"/>
                <a:gd name="connsiteY1" fmla="*/ 128715 h 220247"/>
                <a:gd name="connsiteX2" fmla="*/ 134438 w 134438"/>
                <a:gd name="connsiteY2" fmla="*/ 0 h 220247"/>
                <a:gd name="connsiteX3" fmla="*/ 0 w 134438"/>
                <a:gd name="connsiteY3" fmla="*/ 122995 h 220247"/>
                <a:gd name="connsiteX4" fmla="*/ 2861 w 134438"/>
                <a:gd name="connsiteY4" fmla="*/ 220247 h 220247"/>
                <a:gd name="connsiteX0" fmla="*/ 2861 w 134438"/>
                <a:gd name="connsiteY0" fmla="*/ 220247 h 220247"/>
                <a:gd name="connsiteX1" fmla="*/ 134437 w 134438"/>
                <a:gd name="connsiteY1" fmla="*/ 117274 h 220247"/>
                <a:gd name="connsiteX2" fmla="*/ 134438 w 134438"/>
                <a:gd name="connsiteY2" fmla="*/ 0 h 220247"/>
                <a:gd name="connsiteX3" fmla="*/ 0 w 134438"/>
                <a:gd name="connsiteY3" fmla="*/ 122995 h 220247"/>
                <a:gd name="connsiteX4" fmla="*/ 2861 w 134438"/>
                <a:gd name="connsiteY4" fmla="*/ 220247 h 220247"/>
                <a:gd name="connsiteX0" fmla="*/ 2861 w 134438"/>
                <a:gd name="connsiteY0" fmla="*/ 220247 h 220247"/>
                <a:gd name="connsiteX1" fmla="*/ 134437 w 134438"/>
                <a:gd name="connsiteY1" fmla="*/ 108693 h 220247"/>
                <a:gd name="connsiteX2" fmla="*/ 134438 w 134438"/>
                <a:gd name="connsiteY2" fmla="*/ 0 h 220247"/>
                <a:gd name="connsiteX3" fmla="*/ 0 w 134438"/>
                <a:gd name="connsiteY3" fmla="*/ 122995 h 220247"/>
                <a:gd name="connsiteX4" fmla="*/ 2861 w 134438"/>
                <a:gd name="connsiteY4" fmla="*/ 220247 h 220247"/>
                <a:gd name="connsiteX0" fmla="*/ 31 w 131608"/>
                <a:gd name="connsiteY0" fmla="*/ 220247 h 220247"/>
                <a:gd name="connsiteX1" fmla="*/ 131607 w 131608"/>
                <a:gd name="connsiteY1" fmla="*/ 108693 h 220247"/>
                <a:gd name="connsiteX2" fmla="*/ 131608 w 131608"/>
                <a:gd name="connsiteY2" fmla="*/ 0 h 220247"/>
                <a:gd name="connsiteX3" fmla="*/ 20053 w 131608"/>
                <a:gd name="connsiteY3" fmla="*/ 102973 h 220247"/>
                <a:gd name="connsiteX4" fmla="*/ 31 w 131608"/>
                <a:gd name="connsiteY4" fmla="*/ 220247 h 220247"/>
                <a:gd name="connsiteX0" fmla="*/ 31 w 131608"/>
                <a:gd name="connsiteY0" fmla="*/ 220247 h 220247"/>
                <a:gd name="connsiteX1" fmla="*/ 131607 w 131608"/>
                <a:gd name="connsiteY1" fmla="*/ 108693 h 220247"/>
                <a:gd name="connsiteX2" fmla="*/ 131608 w 131608"/>
                <a:gd name="connsiteY2" fmla="*/ 0 h 220247"/>
                <a:gd name="connsiteX3" fmla="*/ 20053 w 131608"/>
                <a:gd name="connsiteY3" fmla="*/ 105834 h 220247"/>
                <a:gd name="connsiteX4" fmla="*/ 31 w 131608"/>
                <a:gd name="connsiteY4" fmla="*/ 220247 h 220247"/>
                <a:gd name="connsiteX0" fmla="*/ 5721 w 111555"/>
                <a:gd name="connsiteY0" fmla="*/ 194503 h 194503"/>
                <a:gd name="connsiteX1" fmla="*/ 111554 w 111555"/>
                <a:gd name="connsiteY1" fmla="*/ 108693 h 194503"/>
                <a:gd name="connsiteX2" fmla="*/ 111555 w 111555"/>
                <a:gd name="connsiteY2" fmla="*/ 0 h 194503"/>
                <a:gd name="connsiteX3" fmla="*/ 0 w 111555"/>
                <a:gd name="connsiteY3" fmla="*/ 105834 h 194503"/>
                <a:gd name="connsiteX4" fmla="*/ 5721 w 111555"/>
                <a:gd name="connsiteY4" fmla="*/ 194503 h 194503"/>
                <a:gd name="connsiteX0" fmla="*/ 275 w 111829"/>
                <a:gd name="connsiteY0" fmla="*/ 200223 h 200223"/>
                <a:gd name="connsiteX1" fmla="*/ 111828 w 111829"/>
                <a:gd name="connsiteY1" fmla="*/ 108693 h 200223"/>
                <a:gd name="connsiteX2" fmla="*/ 111829 w 111829"/>
                <a:gd name="connsiteY2" fmla="*/ 0 h 200223"/>
                <a:gd name="connsiteX3" fmla="*/ 274 w 111829"/>
                <a:gd name="connsiteY3" fmla="*/ 105834 h 200223"/>
                <a:gd name="connsiteX4" fmla="*/ 275 w 111829"/>
                <a:gd name="connsiteY4" fmla="*/ 200223 h 20022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11829" h="200223">
                  <a:moveTo>
                    <a:pt x="275" y="200223"/>
                  </a:moveTo>
                  <a:lnTo>
                    <a:pt x="111828" y="108693"/>
                  </a:lnTo>
                  <a:cubicBezTo>
                    <a:pt x="111828" y="65788"/>
                    <a:pt x="111829" y="42905"/>
                    <a:pt x="111829" y="0"/>
                  </a:cubicBezTo>
                  <a:lnTo>
                    <a:pt x="274" y="105834"/>
                  </a:lnTo>
                  <a:cubicBezTo>
                    <a:pt x="1228" y="138251"/>
                    <a:pt x="-679" y="167806"/>
                    <a:pt x="275" y="200223"/>
                  </a:cubicBezTo>
                  <a:close/>
                </a:path>
              </a:pathLst>
            </a:custGeom>
            <a:solidFill>
              <a:schemeClr val="accent1">
                <a:lumMod val="40000"/>
                <a:lumOff val="60000"/>
              </a:schemeClr>
            </a:solidFill>
            <a:ln w="12700">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grpSp>
      <xdr:grpSp>
        <xdr:nvGrpSpPr>
          <xdr:cNvPr id="10336" name="Group 257"/>
          <xdr:cNvGrpSpPr>
            <a:grpSpLocks/>
          </xdr:cNvGrpSpPr>
        </xdr:nvGrpSpPr>
        <xdr:grpSpPr bwMode="auto">
          <a:xfrm>
            <a:off x="4581525" y="10306049"/>
            <a:ext cx="1974021" cy="1220287"/>
            <a:chOff x="6543675" y="19316700"/>
            <a:chExt cx="1974021" cy="1220287"/>
          </a:xfrm>
        </xdr:grpSpPr>
        <xdr:sp macro="" textlink="">
          <xdr:nvSpPr>
            <xdr:cNvPr id="259" name="Freeform 258"/>
            <xdr:cNvSpPr/>
          </xdr:nvSpPr>
          <xdr:spPr>
            <a:xfrm>
              <a:off x="6543675" y="19316701"/>
              <a:ext cx="1971675" cy="1123950"/>
            </a:xfrm>
            <a:custGeom>
              <a:avLst/>
              <a:gdLst>
                <a:gd name="connsiteX0" fmla="*/ 0 w 1971675"/>
                <a:gd name="connsiteY0" fmla="*/ 1123950 h 1123950"/>
                <a:gd name="connsiteX1" fmla="*/ 1971675 w 1971675"/>
                <a:gd name="connsiteY1" fmla="*/ 0 h 1123950"/>
                <a:gd name="connsiteX2" fmla="*/ 1838325 w 1971675"/>
                <a:gd name="connsiteY2" fmla="*/ 123825 h 1123950"/>
                <a:gd name="connsiteX3" fmla="*/ 209550 w 1971675"/>
                <a:gd name="connsiteY3" fmla="*/ 1057275 h 1123950"/>
                <a:gd name="connsiteX4" fmla="*/ 0 w 1971675"/>
                <a:gd name="connsiteY4" fmla="*/ 1123950 h 1123950"/>
                <a:gd name="connsiteX0" fmla="*/ 0 w 1971675"/>
                <a:gd name="connsiteY0" fmla="*/ 1123950 h 1123950"/>
                <a:gd name="connsiteX1" fmla="*/ 1971675 w 1971675"/>
                <a:gd name="connsiteY1" fmla="*/ 0 h 1123950"/>
                <a:gd name="connsiteX2" fmla="*/ 1864082 w 1971675"/>
                <a:gd name="connsiteY2" fmla="*/ 109621 h 1123950"/>
                <a:gd name="connsiteX3" fmla="*/ 209550 w 1971675"/>
                <a:gd name="connsiteY3" fmla="*/ 1057275 h 1123950"/>
                <a:gd name="connsiteX4" fmla="*/ 0 w 1971675"/>
                <a:gd name="connsiteY4" fmla="*/ 1123950 h 11239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71675" h="1123950">
                  <a:moveTo>
                    <a:pt x="0" y="1123950"/>
                  </a:moveTo>
                  <a:lnTo>
                    <a:pt x="1971675" y="0"/>
                  </a:lnTo>
                  <a:lnTo>
                    <a:pt x="1864082" y="109621"/>
                  </a:lnTo>
                  <a:lnTo>
                    <a:pt x="209550" y="1057275"/>
                  </a:lnTo>
                  <a:lnTo>
                    <a:pt x="0" y="1123950"/>
                  </a:lnTo>
                  <a:close/>
                </a:path>
              </a:pathLst>
            </a:custGeom>
            <a:solidFill>
              <a:schemeClr val="accent1">
                <a:lumMod val="20000"/>
                <a:lumOff val="80000"/>
              </a:schemeClr>
            </a:solidFill>
            <a:ln w="952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260" name="Freeform 259"/>
            <xdr:cNvSpPr/>
          </xdr:nvSpPr>
          <xdr:spPr>
            <a:xfrm>
              <a:off x="6543675" y="19411951"/>
              <a:ext cx="1971675" cy="1123950"/>
            </a:xfrm>
            <a:custGeom>
              <a:avLst/>
              <a:gdLst>
                <a:gd name="connsiteX0" fmla="*/ 0 w 1971675"/>
                <a:gd name="connsiteY0" fmla="*/ 1123950 h 1123950"/>
                <a:gd name="connsiteX1" fmla="*/ 1971675 w 1971675"/>
                <a:gd name="connsiteY1" fmla="*/ 0 h 1123950"/>
                <a:gd name="connsiteX2" fmla="*/ 1838325 w 1971675"/>
                <a:gd name="connsiteY2" fmla="*/ 123825 h 1123950"/>
                <a:gd name="connsiteX3" fmla="*/ 209550 w 1971675"/>
                <a:gd name="connsiteY3" fmla="*/ 1057275 h 1123950"/>
                <a:gd name="connsiteX4" fmla="*/ 0 w 1971675"/>
                <a:gd name="connsiteY4" fmla="*/ 1123950 h 11239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71675" h="1123950">
                  <a:moveTo>
                    <a:pt x="0" y="1123950"/>
                  </a:moveTo>
                  <a:lnTo>
                    <a:pt x="1971675" y="0"/>
                  </a:lnTo>
                  <a:lnTo>
                    <a:pt x="1838325" y="123825"/>
                  </a:lnTo>
                  <a:lnTo>
                    <a:pt x="209550" y="1057275"/>
                  </a:lnTo>
                  <a:lnTo>
                    <a:pt x="0" y="1123950"/>
                  </a:lnTo>
                  <a:close/>
                </a:path>
              </a:pathLst>
            </a:cu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261" name="Freeform 260"/>
            <xdr:cNvSpPr/>
          </xdr:nvSpPr>
          <xdr:spPr>
            <a:xfrm>
              <a:off x="6753225" y="19431001"/>
              <a:ext cx="1657350" cy="1038225"/>
            </a:xfrm>
            <a:custGeom>
              <a:avLst/>
              <a:gdLst>
                <a:gd name="connsiteX0" fmla="*/ 0 w 1627545"/>
                <a:gd name="connsiteY0" fmla="*/ 1038311 h 1038311"/>
                <a:gd name="connsiteX1" fmla="*/ 0 w 1627545"/>
                <a:gd name="connsiteY1" fmla="*/ 935338 h 1038311"/>
                <a:gd name="connsiteX2" fmla="*/ 1627545 w 1627545"/>
                <a:gd name="connsiteY2" fmla="*/ 0 h 1038311"/>
                <a:gd name="connsiteX3" fmla="*/ 1627545 w 1627545"/>
                <a:gd name="connsiteY3" fmla="*/ 94392 h 1038311"/>
                <a:gd name="connsiteX4" fmla="*/ 0 w 1627545"/>
                <a:gd name="connsiteY4" fmla="*/ 1038311 h 1038311"/>
                <a:gd name="connsiteX0" fmla="*/ 0 w 1656148"/>
                <a:gd name="connsiteY0" fmla="*/ 1055473 h 1055473"/>
                <a:gd name="connsiteX1" fmla="*/ 0 w 1656148"/>
                <a:gd name="connsiteY1" fmla="*/ 952500 h 1055473"/>
                <a:gd name="connsiteX2" fmla="*/ 1656148 w 1656148"/>
                <a:gd name="connsiteY2" fmla="*/ 0 h 1055473"/>
                <a:gd name="connsiteX3" fmla="*/ 1627545 w 1656148"/>
                <a:gd name="connsiteY3" fmla="*/ 111554 h 1055473"/>
                <a:gd name="connsiteX4" fmla="*/ 0 w 1656148"/>
                <a:gd name="connsiteY4" fmla="*/ 1055473 h 1055473"/>
                <a:gd name="connsiteX0" fmla="*/ 0 w 1656149"/>
                <a:gd name="connsiteY0" fmla="*/ 1055473 h 1055473"/>
                <a:gd name="connsiteX1" fmla="*/ 0 w 1656149"/>
                <a:gd name="connsiteY1" fmla="*/ 952500 h 1055473"/>
                <a:gd name="connsiteX2" fmla="*/ 1656148 w 1656149"/>
                <a:gd name="connsiteY2" fmla="*/ 0 h 1055473"/>
                <a:gd name="connsiteX3" fmla="*/ 1656149 w 1656149"/>
                <a:gd name="connsiteY3" fmla="*/ 91531 h 1055473"/>
                <a:gd name="connsiteX4" fmla="*/ 0 w 1656149"/>
                <a:gd name="connsiteY4" fmla="*/ 1055473 h 1055473"/>
                <a:gd name="connsiteX0" fmla="*/ 0 w 1661870"/>
                <a:gd name="connsiteY0" fmla="*/ 1055473 h 1055473"/>
                <a:gd name="connsiteX1" fmla="*/ 0 w 1661870"/>
                <a:gd name="connsiteY1" fmla="*/ 952500 h 1055473"/>
                <a:gd name="connsiteX2" fmla="*/ 1656148 w 1661870"/>
                <a:gd name="connsiteY2" fmla="*/ 0 h 1055473"/>
                <a:gd name="connsiteX3" fmla="*/ 1661870 w 1661870"/>
                <a:gd name="connsiteY3" fmla="*/ 91531 h 1055473"/>
                <a:gd name="connsiteX4" fmla="*/ 0 w 1661870"/>
                <a:gd name="connsiteY4" fmla="*/ 1055473 h 1055473"/>
                <a:gd name="connsiteX0" fmla="*/ 0 w 1656148"/>
                <a:gd name="connsiteY0" fmla="*/ 1055473 h 1055473"/>
                <a:gd name="connsiteX1" fmla="*/ 0 w 1656148"/>
                <a:gd name="connsiteY1" fmla="*/ 952500 h 1055473"/>
                <a:gd name="connsiteX2" fmla="*/ 1656148 w 1656148"/>
                <a:gd name="connsiteY2" fmla="*/ 0 h 1055473"/>
                <a:gd name="connsiteX3" fmla="*/ 1653288 w 1656148"/>
                <a:gd name="connsiteY3" fmla="*/ 94392 h 1055473"/>
                <a:gd name="connsiteX4" fmla="*/ 0 w 1656148"/>
                <a:gd name="connsiteY4" fmla="*/ 1055473 h 1055473"/>
                <a:gd name="connsiteX0" fmla="*/ 0 w 1661869"/>
                <a:gd name="connsiteY0" fmla="*/ 1055473 h 1055473"/>
                <a:gd name="connsiteX1" fmla="*/ 0 w 1661869"/>
                <a:gd name="connsiteY1" fmla="*/ 952500 h 1055473"/>
                <a:gd name="connsiteX2" fmla="*/ 1656148 w 1661869"/>
                <a:gd name="connsiteY2" fmla="*/ 0 h 1055473"/>
                <a:gd name="connsiteX3" fmla="*/ 1661869 w 1661869"/>
                <a:gd name="connsiteY3" fmla="*/ 91532 h 1055473"/>
                <a:gd name="connsiteX4" fmla="*/ 0 w 1661869"/>
                <a:gd name="connsiteY4" fmla="*/ 1055473 h 1055473"/>
                <a:gd name="connsiteX0" fmla="*/ 0 w 1656148"/>
                <a:gd name="connsiteY0" fmla="*/ 1055473 h 1055473"/>
                <a:gd name="connsiteX1" fmla="*/ 0 w 1656148"/>
                <a:gd name="connsiteY1" fmla="*/ 952500 h 1055473"/>
                <a:gd name="connsiteX2" fmla="*/ 1656148 w 1656148"/>
                <a:gd name="connsiteY2" fmla="*/ 0 h 1055473"/>
                <a:gd name="connsiteX3" fmla="*/ 1653287 w 1656148"/>
                <a:gd name="connsiteY3" fmla="*/ 91532 h 1055473"/>
                <a:gd name="connsiteX4" fmla="*/ 0 w 1656148"/>
                <a:gd name="connsiteY4" fmla="*/ 1055473 h 1055473"/>
                <a:gd name="connsiteX0" fmla="*/ 0 w 1653288"/>
                <a:gd name="connsiteY0" fmla="*/ 1049752 h 1049752"/>
                <a:gd name="connsiteX1" fmla="*/ 0 w 1653288"/>
                <a:gd name="connsiteY1" fmla="*/ 946779 h 1049752"/>
                <a:gd name="connsiteX2" fmla="*/ 1653288 w 1653288"/>
                <a:gd name="connsiteY2" fmla="*/ 0 h 1049752"/>
                <a:gd name="connsiteX3" fmla="*/ 1653287 w 1653288"/>
                <a:gd name="connsiteY3" fmla="*/ 85811 h 1049752"/>
                <a:gd name="connsiteX4" fmla="*/ 0 w 1653288"/>
                <a:gd name="connsiteY4" fmla="*/ 1049752 h 104975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653288" h="1049752">
                  <a:moveTo>
                    <a:pt x="0" y="1049752"/>
                  </a:moveTo>
                  <a:lnTo>
                    <a:pt x="0" y="946779"/>
                  </a:lnTo>
                  <a:lnTo>
                    <a:pt x="1653288" y="0"/>
                  </a:lnTo>
                  <a:cubicBezTo>
                    <a:pt x="1653288" y="30510"/>
                    <a:pt x="1653287" y="55301"/>
                    <a:pt x="1653287" y="85811"/>
                  </a:cubicBezTo>
                  <a:lnTo>
                    <a:pt x="0" y="1049752"/>
                  </a:lnTo>
                  <a:close/>
                </a:path>
              </a:pathLst>
            </a:cu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50000" t="50000" r="50000" b="50000"/>
              </a:path>
              <a:tileRect/>
            </a:gradFill>
            <a:ln w="12700">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262" name="Freeform 261"/>
            <xdr:cNvSpPr/>
          </xdr:nvSpPr>
          <xdr:spPr>
            <a:xfrm>
              <a:off x="6553200" y="20373976"/>
              <a:ext cx="200025" cy="161925"/>
            </a:xfrm>
            <a:custGeom>
              <a:avLst/>
              <a:gdLst>
                <a:gd name="connsiteX0" fmla="*/ 0 w 208806"/>
                <a:gd name="connsiteY0" fmla="*/ 163040 h 163040"/>
                <a:gd name="connsiteX1" fmla="*/ 208806 w 208806"/>
                <a:gd name="connsiteY1" fmla="*/ 97252 h 163040"/>
                <a:gd name="connsiteX2" fmla="*/ 203086 w 208806"/>
                <a:gd name="connsiteY2" fmla="*/ 0 h 163040"/>
                <a:gd name="connsiteX3" fmla="*/ 8581 w 208806"/>
                <a:gd name="connsiteY3" fmla="*/ 65788 h 163040"/>
                <a:gd name="connsiteX4" fmla="*/ 0 w 208806"/>
                <a:gd name="connsiteY4" fmla="*/ 163040 h 163040"/>
                <a:gd name="connsiteX0" fmla="*/ 2861 w 200225"/>
                <a:gd name="connsiteY0" fmla="*/ 163040 h 163040"/>
                <a:gd name="connsiteX1" fmla="*/ 200225 w 200225"/>
                <a:gd name="connsiteY1" fmla="*/ 97252 h 163040"/>
                <a:gd name="connsiteX2" fmla="*/ 194505 w 200225"/>
                <a:gd name="connsiteY2" fmla="*/ 0 h 163040"/>
                <a:gd name="connsiteX3" fmla="*/ 0 w 200225"/>
                <a:gd name="connsiteY3" fmla="*/ 65788 h 163040"/>
                <a:gd name="connsiteX4" fmla="*/ 2861 w 200225"/>
                <a:gd name="connsiteY4" fmla="*/ 163040 h 163040"/>
                <a:gd name="connsiteX0" fmla="*/ 2861 w 200225"/>
                <a:gd name="connsiteY0" fmla="*/ 163040 h 163040"/>
                <a:gd name="connsiteX1" fmla="*/ 200225 w 200225"/>
                <a:gd name="connsiteY1" fmla="*/ 97252 h 163040"/>
                <a:gd name="connsiteX2" fmla="*/ 194505 w 200225"/>
                <a:gd name="connsiteY2" fmla="*/ 0 h 163040"/>
                <a:gd name="connsiteX3" fmla="*/ 0 w 200225"/>
                <a:gd name="connsiteY3" fmla="*/ 65788 h 163040"/>
                <a:gd name="connsiteX4" fmla="*/ 2861 w 200225"/>
                <a:gd name="connsiteY4" fmla="*/ 163040 h 16304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00225" h="163040">
                  <a:moveTo>
                    <a:pt x="2861" y="163040"/>
                  </a:moveTo>
                  <a:lnTo>
                    <a:pt x="200225" y="97252"/>
                  </a:lnTo>
                  <a:lnTo>
                    <a:pt x="194505" y="0"/>
                  </a:lnTo>
                  <a:lnTo>
                    <a:pt x="0" y="65788"/>
                  </a:lnTo>
                  <a:cubicBezTo>
                    <a:pt x="954" y="98205"/>
                    <a:pt x="1907" y="130623"/>
                    <a:pt x="2861" y="163040"/>
                  </a:cubicBezTo>
                  <a:close/>
                </a:path>
              </a:pathLst>
            </a:custGeom>
            <a:solidFill>
              <a:schemeClr val="accent1">
                <a:lumMod val="20000"/>
                <a:lumOff val="80000"/>
              </a:schemeClr>
            </a:solidFill>
            <a:ln w="12700">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263" name="Freeform 262"/>
            <xdr:cNvSpPr/>
          </xdr:nvSpPr>
          <xdr:spPr>
            <a:xfrm>
              <a:off x="8401050" y="19316701"/>
              <a:ext cx="114300" cy="200025"/>
            </a:xfrm>
            <a:custGeom>
              <a:avLst/>
              <a:gdLst>
                <a:gd name="connsiteX0" fmla="*/ 0 w 208806"/>
                <a:gd name="connsiteY0" fmla="*/ 163040 h 163040"/>
                <a:gd name="connsiteX1" fmla="*/ 208806 w 208806"/>
                <a:gd name="connsiteY1" fmla="*/ 97252 h 163040"/>
                <a:gd name="connsiteX2" fmla="*/ 203086 w 208806"/>
                <a:gd name="connsiteY2" fmla="*/ 0 h 163040"/>
                <a:gd name="connsiteX3" fmla="*/ 8581 w 208806"/>
                <a:gd name="connsiteY3" fmla="*/ 65788 h 163040"/>
                <a:gd name="connsiteX4" fmla="*/ 0 w 208806"/>
                <a:gd name="connsiteY4" fmla="*/ 163040 h 163040"/>
                <a:gd name="connsiteX0" fmla="*/ 2861 w 200225"/>
                <a:gd name="connsiteY0" fmla="*/ 163040 h 163040"/>
                <a:gd name="connsiteX1" fmla="*/ 200225 w 200225"/>
                <a:gd name="connsiteY1" fmla="*/ 97252 h 163040"/>
                <a:gd name="connsiteX2" fmla="*/ 194505 w 200225"/>
                <a:gd name="connsiteY2" fmla="*/ 0 h 163040"/>
                <a:gd name="connsiteX3" fmla="*/ 0 w 200225"/>
                <a:gd name="connsiteY3" fmla="*/ 65788 h 163040"/>
                <a:gd name="connsiteX4" fmla="*/ 2861 w 200225"/>
                <a:gd name="connsiteY4" fmla="*/ 163040 h 163040"/>
                <a:gd name="connsiteX0" fmla="*/ 2861 w 200225"/>
                <a:gd name="connsiteY0" fmla="*/ 163040 h 163040"/>
                <a:gd name="connsiteX1" fmla="*/ 200225 w 200225"/>
                <a:gd name="connsiteY1" fmla="*/ 97252 h 163040"/>
                <a:gd name="connsiteX2" fmla="*/ 194505 w 200225"/>
                <a:gd name="connsiteY2" fmla="*/ 0 h 163040"/>
                <a:gd name="connsiteX3" fmla="*/ 0 w 200225"/>
                <a:gd name="connsiteY3" fmla="*/ 65788 h 163040"/>
                <a:gd name="connsiteX4" fmla="*/ 2861 w 200225"/>
                <a:gd name="connsiteY4" fmla="*/ 163040 h 163040"/>
                <a:gd name="connsiteX0" fmla="*/ 2861 w 200225"/>
                <a:gd name="connsiteY0" fmla="*/ 220247 h 220247"/>
                <a:gd name="connsiteX1" fmla="*/ 200225 w 200225"/>
                <a:gd name="connsiteY1" fmla="*/ 154459 h 220247"/>
                <a:gd name="connsiteX2" fmla="*/ 134438 w 200225"/>
                <a:gd name="connsiteY2" fmla="*/ 0 h 220247"/>
                <a:gd name="connsiteX3" fmla="*/ 0 w 200225"/>
                <a:gd name="connsiteY3" fmla="*/ 122995 h 220247"/>
                <a:gd name="connsiteX4" fmla="*/ 2861 w 200225"/>
                <a:gd name="connsiteY4" fmla="*/ 220247 h 220247"/>
                <a:gd name="connsiteX0" fmla="*/ 2861 w 134438"/>
                <a:gd name="connsiteY0" fmla="*/ 220247 h 220247"/>
                <a:gd name="connsiteX1" fmla="*/ 134437 w 134438"/>
                <a:gd name="connsiteY1" fmla="*/ 128715 h 220247"/>
                <a:gd name="connsiteX2" fmla="*/ 134438 w 134438"/>
                <a:gd name="connsiteY2" fmla="*/ 0 h 220247"/>
                <a:gd name="connsiteX3" fmla="*/ 0 w 134438"/>
                <a:gd name="connsiteY3" fmla="*/ 122995 h 220247"/>
                <a:gd name="connsiteX4" fmla="*/ 2861 w 134438"/>
                <a:gd name="connsiteY4" fmla="*/ 220247 h 220247"/>
                <a:gd name="connsiteX0" fmla="*/ 2861 w 134438"/>
                <a:gd name="connsiteY0" fmla="*/ 220247 h 220247"/>
                <a:gd name="connsiteX1" fmla="*/ 134437 w 134438"/>
                <a:gd name="connsiteY1" fmla="*/ 117274 h 220247"/>
                <a:gd name="connsiteX2" fmla="*/ 134438 w 134438"/>
                <a:gd name="connsiteY2" fmla="*/ 0 h 220247"/>
                <a:gd name="connsiteX3" fmla="*/ 0 w 134438"/>
                <a:gd name="connsiteY3" fmla="*/ 122995 h 220247"/>
                <a:gd name="connsiteX4" fmla="*/ 2861 w 134438"/>
                <a:gd name="connsiteY4" fmla="*/ 220247 h 220247"/>
                <a:gd name="connsiteX0" fmla="*/ 2861 w 134438"/>
                <a:gd name="connsiteY0" fmla="*/ 220247 h 220247"/>
                <a:gd name="connsiteX1" fmla="*/ 134437 w 134438"/>
                <a:gd name="connsiteY1" fmla="*/ 108693 h 220247"/>
                <a:gd name="connsiteX2" fmla="*/ 134438 w 134438"/>
                <a:gd name="connsiteY2" fmla="*/ 0 h 220247"/>
                <a:gd name="connsiteX3" fmla="*/ 0 w 134438"/>
                <a:gd name="connsiteY3" fmla="*/ 122995 h 220247"/>
                <a:gd name="connsiteX4" fmla="*/ 2861 w 134438"/>
                <a:gd name="connsiteY4" fmla="*/ 220247 h 220247"/>
                <a:gd name="connsiteX0" fmla="*/ 31 w 131608"/>
                <a:gd name="connsiteY0" fmla="*/ 220247 h 220247"/>
                <a:gd name="connsiteX1" fmla="*/ 131607 w 131608"/>
                <a:gd name="connsiteY1" fmla="*/ 108693 h 220247"/>
                <a:gd name="connsiteX2" fmla="*/ 131608 w 131608"/>
                <a:gd name="connsiteY2" fmla="*/ 0 h 220247"/>
                <a:gd name="connsiteX3" fmla="*/ 20053 w 131608"/>
                <a:gd name="connsiteY3" fmla="*/ 102973 h 220247"/>
                <a:gd name="connsiteX4" fmla="*/ 31 w 131608"/>
                <a:gd name="connsiteY4" fmla="*/ 220247 h 220247"/>
                <a:gd name="connsiteX0" fmla="*/ 31 w 131608"/>
                <a:gd name="connsiteY0" fmla="*/ 220247 h 220247"/>
                <a:gd name="connsiteX1" fmla="*/ 131607 w 131608"/>
                <a:gd name="connsiteY1" fmla="*/ 108693 h 220247"/>
                <a:gd name="connsiteX2" fmla="*/ 131608 w 131608"/>
                <a:gd name="connsiteY2" fmla="*/ 0 h 220247"/>
                <a:gd name="connsiteX3" fmla="*/ 20053 w 131608"/>
                <a:gd name="connsiteY3" fmla="*/ 105834 h 220247"/>
                <a:gd name="connsiteX4" fmla="*/ 31 w 131608"/>
                <a:gd name="connsiteY4" fmla="*/ 220247 h 220247"/>
                <a:gd name="connsiteX0" fmla="*/ 5721 w 111555"/>
                <a:gd name="connsiteY0" fmla="*/ 194503 h 194503"/>
                <a:gd name="connsiteX1" fmla="*/ 111554 w 111555"/>
                <a:gd name="connsiteY1" fmla="*/ 108693 h 194503"/>
                <a:gd name="connsiteX2" fmla="*/ 111555 w 111555"/>
                <a:gd name="connsiteY2" fmla="*/ 0 h 194503"/>
                <a:gd name="connsiteX3" fmla="*/ 0 w 111555"/>
                <a:gd name="connsiteY3" fmla="*/ 105834 h 194503"/>
                <a:gd name="connsiteX4" fmla="*/ 5721 w 111555"/>
                <a:gd name="connsiteY4" fmla="*/ 194503 h 194503"/>
                <a:gd name="connsiteX0" fmla="*/ 275 w 111829"/>
                <a:gd name="connsiteY0" fmla="*/ 200223 h 200223"/>
                <a:gd name="connsiteX1" fmla="*/ 111828 w 111829"/>
                <a:gd name="connsiteY1" fmla="*/ 108693 h 200223"/>
                <a:gd name="connsiteX2" fmla="*/ 111829 w 111829"/>
                <a:gd name="connsiteY2" fmla="*/ 0 h 200223"/>
                <a:gd name="connsiteX3" fmla="*/ 274 w 111829"/>
                <a:gd name="connsiteY3" fmla="*/ 105834 h 200223"/>
                <a:gd name="connsiteX4" fmla="*/ 275 w 111829"/>
                <a:gd name="connsiteY4" fmla="*/ 200223 h 20022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11829" h="200223">
                  <a:moveTo>
                    <a:pt x="275" y="200223"/>
                  </a:moveTo>
                  <a:lnTo>
                    <a:pt x="111828" y="108693"/>
                  </a:lnTo>
                  <a:cubicBezTo>
                    <a:pt x="111828" y="65788"/>
                    <a:pt x="111829" y="42905"/>
                    <a:pt x="111829" y="0"/>
                  </a:cubicBezTo>
                  <a:lnTo>
                    <a:pt x="274" y="105834"/>
                  </a:lnTo>
                  <a:cubicBezTo>
                    <a:pt x="1228" y="138251"/>
                    <a:pt x="-679" y="167806"/>
                    <a:pt x="275" y="200223"/>
                  </a:cubicBezTo>
                  <a:close/>
                </a:path>
              </a:pathLst>
            </a:custGeom>
            <a:solidFill>
              <a:schemeClr val="accent1">
                <a:lumMod val="40000"/>
                <a:lumOff val="60000"/>
              </a:schemeClr>
            </a:solidFill>
            <a:ln w="12700">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grpSp>
      <xdr:sp macro="" textlink="">
        <xdr:nvSpPr>
          <xdr:cNvPr id="266" name="Freeform 265"/>
          <xdr:cNvSpPr/>
        </xdr:nvSpPr>
        <xdr:spPr bwMode="auto">
          <a:xfrm>
            <a:off x="4581525" y="11106425"/>
            <a:ext cx="1971672" cy="1123680"/>
          </a:xfrm>
          <a:custGeom>
            <a:avLst/>
            <a:gdLst>
              <a:gd name="connsiteX0" fmla="*/ 0 w 1971675"/>
              <a:gd name="connsiteY0" fmla="*/ 1123950 h 1123950"/>
              <a:gd name="connsiteX1" fmla="*/ 1971675 w 1971675"/>
              <a:gd name="connsiteY1" fmla="*/ 0 h 1123950"/>
              <a:gd name="connsiteX2" fmla="*/ 1838325 w 1971675"/>
              <a:gd name="connsiteY2" fmla="*/ 123825 h 1123950"/>
              <a:gd name="connsiteX3" fmla="*/ 209550 w 1971675"/>
              <a:gd name="connsiteY3" fmla="*/ 1057275 h 1123950"/>
              <a:gd name="connsiteX4" fmla="*/ 0 w 1971675"/>
              <a:gd name="connsiteY4" fmla="*/ 1123950 h 11239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71675" h="1123950">
                <a:moveTo>
                  <a:pt x="0" y="1123950"/>
                </a:moveTo>
                <a:lnTo>
                  <a:pt x="1971675" y="0"/>
                </a:lnTo>
                <a:lnTo>
                  <a:pt x="1838325" y="123825"/>
                </a:lnTo>
                <a:lnTo>
                  <a:pt x="209550" y="1057275"/>
                </a:lnTo>
                <a:lnTo>
                  <a:pt x="0" y="1123950"/>
                </a:lnTo>
                <a:close/>
              </a:path>
            </a:pathLst>
          </a:cu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267" name="Freeform 266"/>
          <xdr:cNvSpPr/>
        </xdr:nvSpPr>
        <xdr:spPr bwMode="auto">
          <a:xfrm>
            <a:off x="4791386" y="11125384"/>
            <a:ext cx="1656880" cy="1038367"/>
          </a:xfrm>
          <a:custGeom>
            <a:avLst/>
            <a:gdLst>
              <a:gd name="connsiteX0" fmla="*/ 0 w 1627545"/>
              <a:gd name="connsiteY0" fmla="*/ 1038311 h 1038311"/>
              <a:gd name="connsiteX1" fmla="*/ 0 w 1627545"/>
              <a:gd name="connsiteY1" fmla="*/ 935338 h 1038311"/>
              <a:gd name="connsiteX2" fmla="*/ 1627545 w 1627545"/>
              <a:gd name="connsiteY2" fmla="*/ 0 h 1038311"/>
              <a:gd name="connsiteX3" fmla="*/ 1627545 w 1627545"/>
              <a:gd name="connsiteY3" fmla="*/ 94392 h 1038311"/>
              <a:gd name="connsiteX4" fmla="*/ 0 w 1627545"/>
              <a:gd name="connsiteY4" fmla="*/ 1038311 h 1038311"/>
              <a:gd name="connsiteX0" fmla="*/ 0 w 1656148"/>
              <a:gd name="connsiteY0" fmla="*/ 1055473 h 1055473"/>
              <a:gd name="connsiteX1" fmla="*/ 0 w 1656148"/>
              <a:gd name="connsiteY1" fmla="*/ 952500 h 1055473"/>
              <a:gd name="connsiteX2" fmla="*/ 1656148 w 1656148"/>
              <a:gd name="connsiteY2" fmla="*/ 0 h 1055473"/>
              <a:gd name="connsiteX3" fmla="*/ 1627545 w 1656148"/>
              <a:gd name="connsiteY3" fmla="*/ 111554 h 1055473"/>
              <a:gd name="connsiteX4" fmla="*/ 0 w 1656148"/>
              <a:gd name="connsiteY4" fmla="*/ 1055473 h 1055473"/>
              <a:gd name="connsiteX0" fmla="*/ 0 w 1656149"/>
              <a:gd name="connsiteY0" fmla="*/ 1055473 h 1055473"/>
              <a:gd name="connsiteX1" fmla="*/ 0 w 1656149"/>
              <a:gd name="connsiteY1" fmla="*/ 952500 h 1055473"/>
              <a:gd name="connsiteX2" fmla="*/ 1656148 w 1656149"/>
              <a:gd name="connsiteY2" fmla="*/ 0 h 1055473"/>
              <a:gd name="connsiteX3" fmla="*/ 1656149 w 1656149"/>
              <a:gd name="connsiteY3" fmla="*/ 91531 h 1055473"/>
              <a:gd name="connsiteX4" fmla="*/ 0 w 1656149"/>
              <a:gd name="connsiteY4" fmla="*/ 1055473 h 1055473"/>
              <a:gd name="connsiteX0" fmla="*/ 0 w 1661870"/>
              <a:gd name="connsiteY0" fmla="*/ 1055473 h 1055473"/>
              <a:gd name="connsiteX1" fmla="*/ 0 w 1661870"/>
              <a:gd name="connsiteY1" fmla="*/ 952500 h 1055473"/>
              <a:gd name="connsiteX2" fmla="*/ 1656148 w 1661870"/>
              <a:gd name="connsiteY2" fmla="*/ 0 h 1055473"/>
              <a:gd name="connsiteX3" fmla="*/ 1661870 w 1661870"/>
              <a:gd name="connsiteY3" fmla="*/ 91531 h 1055473"/>
              <a:gd name="connsiteX4" fmla="*/ 0 w 1661870"/>
              <a:gd name="connsiteY4" fmla="*/ 1055473 h 1055473"/>
              <a:gd name="connsiteX0" fmla="*/ 0 w 1656148"/>
              <a:gd name="connsiteY0" fmla="*/ 1055473 h 1055473"/>
              <a:gd name="connsiteX1" fmla="*/ 0 w 1656148"/>
              <a:gd name="connsiteY1" fmla="*/ 952500 h 1055473"/>
              <a:gd name="connsiteX2" fmla="*/ 1656148 w 1656148"/>
              <a:gd name="connsiteY2" fmla="*/ 0 h 1055473"/>
              <a:gd name="connsiteX3" fmla="*/ 1653288 w 1656148"/>
              <a:gd name="connsiteY3" fmla="*/ 94392 h 1055473"/>
              <a:gd name="connsiteX4" fmla="*/ 0 w 1656148"/>
              <a:gd name="connsiteY4" fmla="*/ 1055473 h 1055473"/>
              <a:gd name="connsiteX0" fmla="*/ 0 w 1661869"/>
              <a:gd name="connsiteY0" fmla="*/ 1055473 h 1055473"/>
              <a:gd name="connsiteX1" fmla="*/ 0 w 1661869"/>
              <a:gd name="connsiteY1" fmla="*/ 952500 h 1055473"/>
              <a:gd name="connsiteX2" fmla="*/ 1656148 w 1661869"/>
              <a:gd name="connsiteY2" fmla="*/ 0 h 1055473"/>
              <a:gd name="connsiteX3" fmla="*/ 1661869 w 1661869"/>
              <a:gd name="connsiteY3" fmla="*/ 91532 h 1055473"/>
              <a:gd name="connsiteX4" fmla="*/ 0 w 1661869"/>
              <a:gd name="connsiteY4" fmla="*/ 1055473 h 1055473"/>
              <a:gd name="connsiteX0" fmla="*/ 0 w 1656148"/>
              <a:gd name="connsiteY0" fmla="*/ 1055473 h 1055473"/>
              <a:gd name="connsiteX1" fmla="*/ 0 w 1656148"/>
              <a:gd name="connsiteY1" fmla="*/ 952500 h 1055473"/>
              <a:gd name="connsiteX2" fmla="*/ 1656148 w 1656148"/>
              <a:gd name="connsiteY2" fmla="*/ 0 h 1055473"/>
              <a:gd name="connsiteX3" fmla="*/ 1653287 w 1656148"/>
              <a:gd name="connsiteY3" fmla="*/ 91532 h 1055473"/>
              <a:gd name="connsiteX4" fmla="*/ 0 w 1656148"/>
              <a:gd name="connsiteY4" fmla="*/ 1055473 h 1055473"/>
              <a:gd name="connsiteX0" fmla="*/ 0 w 1653288"/>
              <a:gd name="connsiteY0" fmla="*/ 1049752 h 1049752"/>
              <a:gd name="connsiteX1" fmla="*/ 0 w 1653288"/>
              <a:gd name="connsiteY1" fmla="*/ 946779 h 1049752"/>
              <a:gd name="connsiteX2" fmla="*/ 1653288 w 1653288"/>
              <a:gd name="connsiteY2" fmla="*/ 0 h 1049752"/>
              <a:gd name="connsiteX3" fmla="*/ 1653287 w 1653288"/>
              <a:gd name="connsiteY3" fmla="*/ 85811 h 1049752"/>
              <a:gd name="connsiteX4" fmla="*/ 0 w 1653288"/>
              <a:gd name="connsiteY4" fmla="*/ 1049752 h 104975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653288" h="1049752">
                <a:moveTo>
                  <a:pt x="0" y="1049752"/>
                </a:moveTo>
                <a:lnTo>
                  <a:pt x="0" y="946779"/>
                </a:lnTo>
                <a:lnTo>
                  <a:pt x="1653288" y="0"/>
                </a:lnTo>
                <a:cubicBezTo>
                  <a:pt x="1653288" y="30510"/>
                  <a:pt x="1653287" y="55301"/>
                  <a:pt x="1653287" y="85811"/>
                </a:cubicBezTo>
                <a:lnTo>
                  <a:pt x="0" y="1049752"/>
                </a:lnTo>
                <a:close/>
              </a:path>
            </a:pathLst>
          </a:cu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50000" t="50000" r="50000" b="50000"/>
            </a:path>
            <a:tileRect/>
          </a:gradFill>
          <a:ln w="12700">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268" name="Freeform 267"/>
          <xdr:cNvSpPr/>
        </xdr:nvSpPr>
        <xdr:spPr bwMode="auto">
          <a:xfrm>
            <a:off x="4591064" y="12068225"/>
            <a:ext cx="200322" cy="161880"/>
          </a:xfrm>
          <a:custGeom>
            <a:avLst/>
            <a:gdLst>
              <a:gd name="connsiteX0" fmla="*/ 0 w 208806"/>
              <a:gd name="connsiteY0" fmla="*/ 163040 h 163040"/>
              <a:gd name="connsiteX1" fmla="*/ 208806 w 208806"/>
              <a:gd name="connsiteY1" fmla="*/ 97252 h 163040"/>
              <a:gd name="connsiteX2" fmla="*/ 203086 w 208806"/>
              <a:gd name="connsiteY2" fmla="*/ 0 h 163040"/>
              <a:gd name="connsiteX3" fmla="*/ 8581 w 208806"/>
              <a:gd name="connsiteY3" fmla="*/ 65788 h 163040"/>
              <a:gd name="connsiteX4" fmla="*/ 0 w 208806"/>
              <a:gd name="connsiteY4" fmla="*/ 163040 h 163040"/>
              <a:gd name="connsiteX0" fmla="*/ 2861 w 200225"/>
              <a:gd name="connsiteY0" fmla="*/ 163040 h 163040"/>
              <a:gd name="connsiteX1" fmla="*/ 200225 w 200225"/>
              <a:gd name="connsiteY1" fmla="*/ 97252 h 163040"/>
              <a:gd name="connsiteX2" fmla="*/ 194505 w 200225"/>
              <a:gd name="connsiteY2" fmla="*/ 0 h 163040"/>
              <a:gd name="connsiteX3" fmla="*/ 0 w 200225"/>
              <a:gd name="connsiteY3" fmla="*/ 65788 h 163040"/>
              <a:gd name="connsiteX4" fmla="*/ 2861 w 200225"/>
              <a:gd name="connsiteY4" fmla="*/ 163040 h 163040"/>
              <a:gd name="connsiteX0" fmla="*/ 2861 w 200225"/>
              <a:gd name="connsiteY0" fmla="*/ 163040 h 163040"/>
              <a:gd name="connsiteX1" fmla="*/ 200225 w 200225"/>
              <a:gd name="connsiteY1" fmla="*/ 97252 h 163040"/>
              <a:gd name="connsiteX2" fmla="*/ 194505 w 200225"/>
              <a:gd name="connsiteY2" fmla="*/ 0 h 163040"/>
              <a:gd name="connsiteX3" fmla="*/ 0 w 200225"/>
              <a:gd name="connsiteY3" fmla="*/ 65788 h 163040"/>
              <a:gd name="connsiteX4" fmla="*/ 2861 w 200225"/>
              <a:gd name="connsiteY4" fmla="*/ 163040 h 16304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00225" h="163040">
                <a:moveTo>
                  <a:pt x="2861" y="163040"/>
                </a:moveTo>
                <a:lnTo>
                  <a:pt x="200225" y="97252"/>
                </a:lnTo>
                <a:lnTo>
                  <a:pt x="194505" y="0"/>
                </a:lnTo>
                <a:lnTo>
                  <a:pt x="0" y="65788"/>
                </a:lnTo>
                <a:cubicBezTo>
                  <a:pt x="954" y="98205"/>
                  <a:pt x="1907" y="130623"/>
                  <a:pt x="2861" y="163040"/>
                </a:cubicBezTo>
                <a:close/>
              </a:path>
            </a:pathLst>
          </a:custGeom>
          <a:solidFill>
            <a:schemeClr val="accent1">
              <a:lumMod val="20000"/>
              <a:lumOff val="80000"/>
            </a:schemeClr>
          </a:solidFill>
          <a:ln w="12700">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269" name="Freeform 268"/>
          <xdr:cNvSpPr/>
        </xdr:nvSpPr>
        <xdr:spPr bwMode="auto">
          <a:xfrm>
            <a:off x="6438727" y="11011633"/>
            <a:ext cx="114470" cy="199797"/>
          </a:xfrm>
          <a:custGeom>
            <a:avLst/>
            <a:gdLst>
              <a:gd name="connsiteX0" fmla="*/ 0 w 208806"/>
              <a:gd name="connsiteY0" fmla="*/ 163040 h 163040"/>
              <a:gd name="connsiteX1" fmla="*/ 208806 w 208806"/>
              <a:gd name="connsiteY1" fmla="*/ 97252 h 163040"/>
              <a:gd name="connsiteX2" fmla="*/ 203086 w 208806"/>
              <a:gd name="connsiteY2" fmla="*/ 0 h 163040"/>
              <a:gd name="connsiteX3" fmla="*/ 8581 w 208806"/>
              <a:gd name="connsiteY3" fmla="*/ 65788 h 163040"/>
              <a:gd name="connsiteX4" fmla="*/ 0 w 208806"/>
              <a:gd name="connsiteY4" fmla="*/ 163040 h 163040"/>
              <a:gd name="connsiteX0" fmla="*/ 2861 w 200225"/>
              <a:gd name="connsiteY0" fmla="*/ 163040 h 163040"/>
              <a:gd name="connsiteX1" fmla="*/ 200225 w 200225"/>
              <a:gd name="connsiteY1" fmla="*/ 97252 h 163040"/>
              <a:gd name="connsiteX2" fmla="*/ 194505 w 200225"/>
              <a:gd name="connsiteY2" fmla="*/ 0 h 163040"/>
              <a:gd name="connsiteX3" fmla="*/ 0 w 200225"/>
              <a:gd name="connsiteY3" fmla="*/ 65788 h 163040"/>
              <a:gd name="connsiteX4" fmla="*/ 2861 w 200225"/>
              <a:gd name="connsiteY4" fmla="*/ 163040 h 163040"/>
              <a:gd name="connsiteX0" fmla="*/ 2861 w 200225"/>
              <a:gd name="connsiteY0" fmla="*/ 163040 h 163040"/>
              <a:gd name="connsiteX1" fmla="*/ 200225 w 200225"/>
              <a:gd name="connsiteY1" fmla="*/ 97252 h 163040"/>
              <a:gd name="connsiteX2" fmla="*/ 194505 w 200225"/>
              <a:gd name="connsiteY2" fmla="*/ 0 h 163040"/>
              <a:gd name="connsiteX3" fmla="*/ 0 w 200225"/>
              <a:gd name="connsiteY3" fmla="*/ 65788 h 163040"/>
              <a:gd name="connsiteX4" fmla="*/ 2861 w 200225"/>
              <a:gd name="connsiteY4" fmla="*/ 163040 h 163040"/>
              <a:gd name="connsiteX0" fmla="*/ 2861 w 200225"/>
              <a:gd name="connsiteY0" fmla="*/ 220247 h 220247"/>
              <a:gd name="connsiteX1" fmla="*/ 200225 w 200225"/>
              <a:gd name="connsiteY1" fmla="*/ 154459 h 220247"/>
              <a:gd name="connsiteX2" fmla="*/ 134438 w 200225"/>
              <a:gd name="connsiteY2" fmla="*/ 0 h 220247"/>
              <a:gd name="connsiteX3" fmla="*/ 0 w 200225"/>
              <a:gd name="connsiteY3" fmla="*/ 122995 h 220247"/>
              <a:gd name="connsiteX4" fmla="*/ 2861 w 200225"/>
              <a:gd name="connsiteY4" fmla="*/ 220247 h 220247"/>
              <a:gd name="connsiteX0" fmla="*/ 2861 w 134438"/>
              <a:gd name="connsiteY0" fmla="*/ 220247 h 220247"/>
              <a:gd name="connsiteX1" fmla="*/ 134437 w 134438"/>
              <a:gd name="connsiteY1" fmla="*/ 128715 h 220247"/>
              <a:gd name="connsiteX2" fmla="*/ 134438 w 134438"/>
              <a:gd name="connsiteY2" fmla="*/ 0 h 220247"/>
              <a:gd name="connsiteX3" fmla="*/ 0 w 134438"/>
              <a:gd name="connsiteY3" fmla="*/ 122995 h 220247"/>
              <a:gd name="connsiteX4" fmla="*/ 2861 w 134438"/>
              <a:gd name="connsiteY4" fmla="*/ 220247 h 220247"/>
              <a:gd name="connsiteX0" fmla="*/ 2861 w 134438"/>
              <a:gd name="connsiteY0" fmla="*/ 220247 h 220247"/>
              <a:gd name="connsiteX1" fmla="*/ 134437 w 134438"/>
              <a:gd name="connsiteY1" fmla="*/ 117274 h 220247"/>
              <a:gd name="connsiteX2" fmla="*/ 134438 w 134438"/>
              <a:gd name="connsiteY2" fmla="*/ 0 h 220247"/>
              <a:gd name="connsiteX3" fmla="*/ 0 w 134438"/>
              <a:gd name="connsiteY3" fmla="*/ 122995 h 220247"/>
              <a:gd name="connsiteX4" fmla="*/ 2861 w 134438"/>
              <a:gd name="connsiteY4" fmla="*/ 220247 h 220247"/>
              <a:gd name="connsiteX0" fmla="*/ 2861 w 134438"/>
              <a:gd name="connsiteY0" fmla="*/ 220247 h 220247"/>
              <a:gd name="connsiteX1" fmla="*/ 134437 w 134438"/>
              <a:gd name="connsiteY1" fmla="*/ 108693 h 220247"/>
              <a:gd name="connsiteX2" fmla="*/ 134438 w 134438"/>
              <a:gd name="connsiteY2" fmla="*/ 0 h 220247"/>
              <a:gd name="connsiteX3" fmla="*/ 0 w 134438"/>
              <a:gd name="connsiteY3" fmla="*/ 122995 h 220247"/>
              <a:gd name="connsiteX4" fmla="*/ 2861 w 134438"/>
              <a:gd name="connsiteY4" fmla="*/ 220247 h 220247"/>
              <a:gd name="connsiteX0" fmla="*/ 31 w 131608"/>
              <a:gd name="connsiteY0" fmla="*/ 220247 h 220247"/>
              <a:gd name="connsiteX1" fmla="*/ 131607 w 131608"/>
              <a:gd name="connsiteY1" fmla="*/ 108693 h 220247"/>
              <a:gd name="connsiteX2" fmla="*/ 131608 w 131608"/>
              <a:gd name="connsiteY2" fmla="*/ 0 h 220247"/>
              <a:gd name="connsiteX3" fmla="*/ 20053 w 131608"/>
              <a:gd name="connsiteY3" fmla="*/ 102973 h 220247"/>
              <a:gd name="connsiteX4" fmla="*/ 31 w 131608"/>
              <a:gd name="connsiteY4" fmla="*/ 220247 h 220247"/>
              <a:gd name="connsiteX0" fmla="*/ 31 w 131608"/>
              <a:gd name="connsiteY0" fmla="*/ 220247 h 220247"/>
              <a:gd name="connsiteX1" fmla="*/ 131607 w 131608"/>
              <a:gd name="connsiteY1" fmla="*/ 108693 h 220247"/>
              <a:gd name="connsiteX2" fmla="*/ 131608 w 131608"/>
              <a:gd name="connsiteY2" fmla="*/ 0 h 220247"/>
              <a:gd name="connsiteX3" fmla="*/ 20053 w 131608"/>
              <a:gd name="connsiteY3" fmla="*/ 105834 h 220247"/>
              <a:gd name="connsiteX4" fmla="*/ 31 w 131608"/>
              <a:gd name="connsiteY4" fmla="*/ 220247 h 220247"/>
              <a:gd name="connsiteX0" fmla="*/ 5721 w 111555"/>
              <a:gd name="connsiteY0" fmla="*/ 194503 h 194503"/>
              <a:gd name="connsiteX1" fmla="*/ 111554 w 111555"/>
              <a:gd name="connsiteY1" fmla="*/ 108693 h 194503"/>
              <a:gd name="connsiteX2" fmla="*/ 111555 w 111555"/>
              <a:gd name="connsiteY2" fmla="*/ 0 h 194503"/>
              <a:gd name="connsiteX3" fmla="*/ 0 w 111555"/>
              <a:gd name="connsiteY3" fmla="*/ 105834 h 194503"/>
              <a:gd name="connsiteX4" fmla="*/ 5721 w 111555"/>
              <a:gd name="connsiteY4" fmla="*/ 194503 h 194503"/>
              <a:gd name="connsiteX0" fmla="*/ 275 w 111829"/>
              <a:gd name="connsiteY0" fmla="*/ 200223 h 200223"/>
              <a:gd name="connsiteX1" fmla="*/ 111828 w 111829"/>
              <a:gd name="connsiteY1" fmla="*/ 108693 h 200223"/>
              <a:gd name="connsiteX2" fmla="*/ 111829 w 111829"/>
              <a:gd name="connsiteY2" fmla="*/ 0 h 200223"/>
              <a:gd name="connsiteX3" fmla="*/ 274 w 111829"/>
              <a:gd name="connsiteY3" fmla="*/ 105834 h 200223"/>
              <a:gd name="connsiteX4" fmla="*/ 275 w 111829"/>
              <a:gd name="connsiteY4" fmla="*/ 200223 h 20022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11829" h="200223">
                <a:moveTo>
                  <a:pt x="275" y="200223"/>
                </a:moveTo>
                <a:lnTo>
                  <a:pt x="111828" y="108693"/>
                </a:lnTo>
                <a:cubicBezTo>
                  <a:pt x="111828" y="65788"/>
                  <a:pt x="111829" y="42905"/>
                  <a:pt x="111829" y="0"/>
                </a:cubicBezTo>
                <a:lnTo>
                  <a:pt x="274" y="105834"/>
                </a:lnTo>
                <a:cubicBezTo>
                  <a:pt x="1228" y="138251"/>
                  <a:pt x="-679" y="167806"/>
                  <a:pt x="275" y="200223"/>
                </a:cubicBezTo>
                <a:close/>
              </a:path>
            </a:pathLst>
          </a:custGeom>
          <a:solidFill>
            <a:schemeClr val="accent1">
              <a:lumMod val="40000"/>
              <a:lumOff val="60000"/>
            </a:schemeClr>
          </a:solidFill>
          <a:ln w="12700">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xnSp macro="">
        <xdr:nvCxnSpPr>
          <xdr:cNvPr id="17" name="Straight Connector 16"/>
          <xdr:cNvCxnSpPr>
            <a:endCxn id="10240" idx="3"/>
          </xdr:cNvCxnSpPr>
        </xdr:nvCxnSpPr>
        <xdr:spPr>
          <a:xfrm>
            <a:off x="2962275" y="6848475"/>
            <a:ext cx="3605299" cy="401423"/>
          </a:xfrm>
          <a:prstGeom prst="line">
            <a:avLst/>
          </a:prstGeom>
          <a:ln>
            <a:prstDash val="dash"/>
          </a:ln>
        </xdr:spPr>
        <xdr:style>
          <a:lnRef idx="1">
            <a:schemeClr val="dk1"/>
          </a:lnRef>
          <a:fillRef idx="0">
            <a:schemeClr val="dk1"/>
          </a:fillRef>
          <a:effectRef idx="0">
            <a:schemeClr val="dk1"/>
          </a:effectRef>
          <a:fontRef idx="minor">
            <a:schemeClr val="tx1"/>
          </a:fontRef>
        </xdr:style>
      </xdr:cxnSp>
      <xdr:cxnSp macro="">
        <xdr:nvCxnSpPr>
          <xdr:cNvPr id="277" name="Straight Connector 276"/>
          <xdr:cNvCxnSpPr>
            <a:endCxn id="10240" idx="0"/>
          </xdr:cNvCxnSpPr>
        </xdr:nvCxnSpPr>
        <xdr:spPr>
          <a:xfrm>
            <a:off x="962025" y="7953375"/>
            <a:ext cx="3600449" cy="402746"/>
          </a:xfrm>
          <a:prstGeom prst="line">
            <a:avLst/>
          </a:prstGeom>
          <a:ln>
            <a:prstDash val="dash"/>
          </a:ln>
        </xdr:spPr>
        <xdr:style>
          <a:lnRef idx="1">
            <a:schemeClr val="dk1"/>
          </a:lnRef>
          <a:fillRef idx="0">
            <a:schemeClr val="dk1"/>
          </a:fillRef>
          <a:effectRef idx="0">
            <a:schemeClr val="dk1"/>
          </a:effectRef>
          <a:fontRef idx="minor">
            <a:schemeClr val="tx1"/>
          </a:fontRef>
        </xdr:style>
      </xdr:cxnSp>
      <xdr:cxnSp macro="">
        <xdr:nvCxnSpPr>
          <xdr:cNvPr id="279" name="Straight Connector 278"/>
          <xdr:cNvCxnSpPr>
            <a:endCxn id="10240" idx="7"/>
          </xdr:cNvCxnSpPr>
        </xdr:nvCxnSpPr>
        <xdr:spPr>
          <a:xfrm>
            <a:off x="952500" y="12087225"/>
            <a:ext cx="3621105" cy="419734"/>
          </a:xfrm>
          <a:prstGeom prst="line">
            <a:avLst/>
          </a:prstGeom>
          <a:ln>
            <a:prstDash val="dash"/>
          </a:ln>
        </xdr:spPr>
        <xdr:style>
          <a:lnRef idx="1">
            <a:schemeClr val="dk1"/>
          </a:lnRef>
          <a:fillRef idx="0">
            <a:schemeClr val="dk1"/>
          </a:fillRef>
          <a:effectRef idx="0">
            <a:schemeClr val="dk1"/>
          </a:effectRef>
          <a:fontRef idx="minor">
            <a:schemeClr val="tx1"/>
          </a:fontRef>
        </xdr:style>
      </xdr:cxnSp>
      <xdr:cxnSp macro="">
        <xdr:nvCxnSpPr>
          <xdr:cNvPr id="8" name="Straight Connector 7"/>
          <xdr:cNvCxnSpPr>
            <a:endCxn id="263" idx="3"/>
          </xdr:cNvCxnSpPr>
        </xdr:nvCxnSpPr>
        <xdr:spPr>
          <a:xfrm flipH="1">
            <a:off x="6444009" y="10172700"/>
            <a:ext cx="423516" cy="243828"/>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21" name="Straight Connector 220"/>
          <xdr:cNvCxnSpPr/>
        </xdr:nvCxnSpPr>
        <xdr:spPr>
          <a:xfrm flipH="1">
            <a:off x="6444009" y="10267950"/>
            <a:ext cx="423516" cy="243828"/>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15" name="Straight Arrow Connector 14"/>
          <xdr:cNvCxnSpPr/>
        </xdr:nvCxnSpPr>
        <xdr:spPr>
          <a:xfrm flipH="1">
            <a:off x="6762750" y="10020300"/>
            <a:ext cx="1" cy="2286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xnSp macro="">
        <xdr:nvCxnSpPr>
          <xdr:cNvPr id="223" name="Straight Arrow Connector 222"/>
          <xdr:cNvCxnSpPr/>
        </xdr:nvCxnSpPr>
        <xdr:spPr>
          <a:xfrm flipH="1">
            <a:off x="6762750" y="10725150"/>
            <a:ext cx="1" cy="2286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xnSp macro="">
        <xdr:nvCxnSpPr>
          <xdr:cNvPr id="224" name="Straight Arrow Connector 223"/>
          <xdr:cNvCxnSpPr/>
        </xdr:nvCxnSpPr>
        <xdr:spPr>
          <a:xfrm flipH="1" flipV="1">
            <a:off x="6762750" y="10315575"/>
            <a:ext cx="2" cy="2381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sp macro="" textlink="">
        <xdr:nvSpPr>
          <xdr:cNvPr id="19" name="TextBox 18"/>
          <xdr:cNvSpPr txBox="1"/>
        </xdr:nvSpPr>
        <xdr:spPr>
          <a:xfrm>
            <a:off x="6629400" y="9734550"/>
            <a:ext cx="676275"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2</a:t>
            </a:r>
            <a:r>
              <a:rPr lang="en-US" sz="1600" b="1" baseline="0"/>
              <a:t> mm</a:t>
            </a:r>
            <a:endParaRPr lang="en-US" sz="1600" b="1"/>
          </a:p>
        </xdr:txBody>
      </xdr:sp>
      <xdr:sp macro="" textlink="">
        <xdr:nvSpPr>
          <xdr:cNvPr id="225" name="TextBox 224"/>
          <xdr:cNvSpPr txBox="1"/>
        </xdr:nvSpPr>
        <xdr:spPr>
          <a:xfrm>
            <a:off x="6610349" y="10487025"/>
            <a:ext cx="1047751"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̴10-20</a:t>
            </a:r>
            <a:r>
              <a:rPr lang="en-US" sz="1600" b="1" baseline="0"/>
              <a:t> mm</a:t>
            </a:r>
            <a:endParaRPr lang="en-US" sz="1600" b="1"/>
          </a:p>
        </xdr:txBody>
      </xdr:sp>
      <xdr:sp macro="" textlink="">
        <xdr:nvSpPr>
          <xdr:cNvPr id="218" name="Freeform 217"/>
          <xdr:cNvSpPr/>
        </xdr:nvSpPr>
        <xdr:spPr bwMode="auto">
          <a:xfrm>
            <a:off x="4797914" y="11130205"/>
            <a:ext cx="1653950" cy="1325715"/>
          </a:xfrm>
          <a:custGeom>
            <a:avLst/>
            <a:gdLst>
              <a:gd name="connsiteX0" fmla="*/ 0 w 1627545"/>
              <a:gd name="connsiteY0" fmla="*/ 1038311 h 1038311"/>
              <a:gd name="connsiteX1" fmla="*/ 0 w 1627545"/>
              <a:gd name="connsiteY1" fmla="*/ 935338 h 1038311"/>
              <a:gd name="connsiteX2" fmla="*/ 1627545 w 1627545"/>
              <a:gd name="connsiteY2" fmla="*/ 0 h 1038311"/>
              <a:gd name="connsiteX3" fmla="*/ 1627545 w 1627545"/>
              <a:gd name="connsiteY3" fmla="*/ 94392 h 1038311"/>
              <a:gd name="connsiteX4" fmla="*/ 0 w 1627545"/>
              <a:gd name="connsiteY4" fmla="*/ 1038311 h 1038311"/>
              <a:gd name="connsiteX0" fmla="*/ 0 w 1656148"/>
              <a:gd name="connsiteY0" fmla="*/ 1055473 h 1055473"/>
              <a:gd name="connsiteX1" fmla="*/ 0 w 1656148"/>
              <a:gd name="connsiteY1" fmla="*/ 952500 h 1055473"/>
              <a:gd name="connsiteX2" fmla="*/ 1656148 w 1656148"/>
              <a:gd name="connsiteY2" fmla="*/ 0 h 1055473"/>
              <a:gd name="connsiteX3" fmla="*/ 1627545 w 1656148"/>
              <a:gd name="connsiteY3" fmla="*/ 111554 h 1055473"/>
              <a:gd name="connsiteX4" fmla="*/ 0 w 1656148"/>
              <a:gd name="connsiteY4" fmla="*/ 1055473 h 1055473"/>
              <a:gd name="connsiteX0" fmla="*/ 0 w 1656149"/>
              <a:gd name="connsiteY0" fmla="*/ 1055473 h 1055473"/>
              <a:gd name="connsiteX1" fmla="*/ 0 w 1656149"/>
              <a:gd name="connsiteY1" fmla="*/ 952500 h 1055473"/>
              <a:gd name="connsiteX2" fmla="*/ 1656148 w 1656149"/>
              <a:gd name="connsiteY2" fmla="*/ 0 h 1055473"/>
              <a:gd name="connsiteX3" fmla="*/ 1656149 w 1656149"/>
              <a:gd name="connsiteY3" fmla="*/ 91531 h 1055473"/>
              <a:gd name="connsiteX4" fmla="*/ 0 w 1656149"/>
              <a:gd name="connsiteY4" fmla="*/ 1055473 h 1055473"/>
              <a:gd name="connsiteX0" fmla="*/ 0 w 1661870"/>
              <a:gd name="connsiteY0" fmla="*/ 1055473 h 1055473"/>
              <a:gd name="connsiteX1" fmla="*/ 0 w 1661870"/>
              <a:gd name="connsiteY1" fmla="*/ 952500 h 1055473"/>
              <a:gd name="connsiteX2" fmla="*/ 1656148 w 1661870"/>
              <a:gd name="connsiteY2" fmla="*/ 0 h 1055473"/>
              <a:gd name="connsiteX3" fmla="*/ 1661870 w 1661870"/>
              <a:gd name="connsiteY3" fmla="*/ 91531 h 1055473"/>
              <a:gd name="connsiteX4" fmla="*/ 0 w 1661870"/>
              <a:gd name="connsiteY4" fmla="*/ 1055473 h 1055473"/>
              <a:gd name="connsiteX0" fmla="*/ 0 w 1656148"/>
              <a:gd name="connsiteY0" fmla="*/ 1055473 h 1055473"/>
              <a:gd name="connsiteX1" fmla="*/ 0 w 1656148"/>
              <a:gd name="connsiteY1" fmla="*/ 952500 h 1055473"/>
              <a:gd name="connsiteX2" fmla="*/ 1656148 w 1656148"/>
              <a:gd name="connsiteY2" fmla="*/ 0 h 1055473"/>
              <a:gd name="connsiteX3" fmla="*/ 1653288 w 1656148"/>
              <a:gd name="connsiteY3" fmla="*/ 94392 h 1055473"/>
              <a:gd name="connsiteX4" fmla="*/ 0 w 1656148"/>
              <a:gd name="connsiteY4" fmla="*/ 1055473 h 1055473"/>
              <a:gd name="connsiteX0" fmla="*/ 0 w 1661869"/>
              <a:gd name="connsiteY0" fmla="*/ 1055473 h 1055473"/>
              <a:gd name="connsiteX1" fmla="*/ 0 w 1661869"/>
              <a:gd name="connsiteY1" fmla="*/ 952500 h 1055473"/>
              <a:gd name="connsiteX2" fmla="*/ 1656148 w 1661869"/>
              <a:gd name="connsiteY2" fmla="*/ 0 h 1055473"/>
              <a:gd name="connsiteX3" fmla="*/ 1661869 w 1661869"/>
              <a:gd name="connsiteY3" fmla="*/ 91532 h 1055473"/>
              <a:gd name="connsiteX4" fmla="*/ 0 w 1661869"/>
              <a:gd name="connsiteY4" fmla="*/ 1055473 h 1055473"/>
              <a:gd name="connsiteX0" fmla="*/ 0 w 1656148"/>
              <a:gd name="connsiteY0" fmla="*/ 1055473 h 1055473"/>
              <a:gd name="connsiteX1" fmla="*/ 0 w 1656148"/>
              <a:gd name="connsiteY1" fmla="*/ 952500 h 1055473"/>
              <a:gd name="connsiteX2" fmla="*/ 1656148 w 1656148"/>
              <a:gd name="connsiteY2" fmla="*/ 0 h 1055473"/>
              <a:gd name="connsiteX3" fmla="*/ 1653287 w 1656148"/>
              <a:gd name="connsiteY3" fmla="*/ 91532 h 1055473"/>
              <a:gd name="connsiteX4" fmla="*/ 0 w 1656148"/>
              <a:gd name="connsiteY4" fmla="*/ 1055473 h 1055473"/>
              <a:gd name="connsiteX0" fmla="*/ 0 w 1653288"/>
              <a:gd name="connsiteY0" fmla="*/ 1049752 h 1049752"/>
              <a:gd name="connsiteX1" fmla="*/ 0 w 1653288"/>
              <a:gd name="connsiteY1" fmla="*/ 946779 h 1049752"/>
              <a:gd name="connsiteX2" fmla="*/ 1653288 w 1653288"/>
              <a:gd name="connsiteY2" fmla="*/ 0 h 1049752"/>
              <a:gd name="connsiteX3" fmla="*/ 1653287 w 1653288"/>
              <a:gd name="connsiteY3" fmla="*/ 85811 h 1049752"/>
              <a:gd name="connsiteX4" fmla="*/ 0 w 1653288"/>
              <a:gd name="connsiteY4" fmla="*/ 1049752 h 1049752"/>
              <a:gd name="connsiteX0" fmla="*/ 0 w 1653288"/>
              <a:gd name="connsiteY0" fmla="*/ 1049752 h 1049752"/>
              <a:gd name="connsiteX1" fmla="*/ 0 w 1653288"/>
              <a:gd name="connsiteY1" fmla="*/ 359303 h 1049752"/>
              <a:gd name="connsiteX2" fmla="*/ 1653288 w 1653288"/>
              <a:gd name="connsiteY2" fmla="*/ 0 h 1049752"/>
              <a:gd name="connsiteX3" fmla="*/ 1653287 w 1653288"/>
              <a:gd name="connsiteY3" fmla="*/ 85811 h 1049752"/>
              <a:gd name="connsiteX4" fmla="*/ 0 w 1653288"/>
              <a:gd name="connsiteY4" fmla="*/ 1049752 h 1049752"/>
              <a:gd name="connsiteX0" fmla="*/ 0 w 1653287"/>
              <a:gd name="connsiteY0" fmla="*/ 1608336 h 1608336"/>
              <a:gd name="connsiteX1" fmla="*/ 0 w 1653287"/>
              <a:gd name="connsiteY1" fmla="*/ 917887 h 1608336"/>
              <a:gd name="connsiteX2" fmla="*/ 1643786 w 1653287"/>
              <a:gd name="connsiteY2" fmla="*/ 0 h 1608336"/>
              <a:gd name="connsiteX3" fmla="*/ 1653287 w 1653287"/>
              <a:gd name="connsiteY3" fmla="*/ 644395 h 1608336"/>
              <a:gd name="connsiteX4" fmla="*/ 0 w 1653287"/>
              <a:gd name="connsiteY4" fmla="*/ 1608336 h 1608336"/>
              <a:gd name="connsiteX0" fmla="*/ 0 w 1653287"/>
              <a:gd name="connsiteY0" fmla="*/ 1637228 h 1637228"/>
              <a:gd name="connsiteX1" fmla="*/ 0 w 1653287"/>
              <a:gd name="connsiteY1" fmla="*/ 946779 h 1637228"/>
              <a:gd name="connsiteX2" fmla="*/ 1643786 w 1653287"/>
              <a:gd name="connsiteY2" fmla="*/ 0 h 1637228"/>
              <a:gd name="connsiteX3" fmla="*/ 1653287 w 1653287"/>
              <a:gd name="connsiteY3" fmla="*/ 673287 h 1637228"/>
              <a:gd name="connsiteX4" fmla="*/ 0 w 1653287"/>
              <a:gd name="connsiteY4" fmla="*/ 1637228 h 1637228"/>
              <a:gd name="connsiteX0" fmla="*/ 0 w 1653287"/>
              <a:gd name="connsiteY0" fmla="*/ 1656490 h 1656490"/>
              <a:gd name="connsiteX1" fmla="*/ 0 w 1653287"/>
              <a:gd name="connsiteY1" fmla="*/ 966041 h 1656490"/>
              <a:gd name="connsiteX2" fmla="*/ 1643786 w 1653287"/>
              <a:gd name="connsiteY2" fmla="*/ 0 h 1656490"/>
              <a:gd name="connsiteX3" fmla="*/ 1653287 w 1653287"/>
              <a:gd name="connsiteY3" fmla="*/ 692549 h 1656490"/>
              <a:gd name="connsiteX4" fmla="*/ 0 w 1653287"/>
              <a:gd name="connsiteY4" fmla="*/ 1656490 h 1656490"/>
              <a:gd name="connsiteX0" fmla="*/ 0 w 1653287"/>
              <a:gd name="connsiteY0" fmla="*/ 1651530 h 1651530"/>
              <a:gd name="connsiteX1" fmla="*/ 0 w 1653287"/>
              <a:gd name="connsiteY1" fmla="*/ 961081 h 1651530"/>
              <a:gd name="connsiteX2" fmla="*/ 1638968 w 1653287"/>
              <a:gd name="connsiteY2" fmla="*/ 0 h 1651530"/>
              <a:gd name="connsiteX3" fmla="*/ 1653287 w 1653287"/>
              <a:gd name="connsiteY3" fmla="*/ 687589 h 1651530"/>
              <a:gd name="connsiteX4" fmla="*/ 0 w 1653287"/>
              <a:gd name="connsiteY4" fmla="*/ 1651530 h 1651530"/>
              <a:gd name="connsiteX0" fmla="*/ 0 w 1653287"/>
              <a:gd name="connsiteY0" fmla="*/ 1646570 h 1646570"/>
              <a:gd name="connsiteX1" fmla="*/ 0 w 1653287"/>
              <a:gd name="connsiteY1" fmla="*/ 956121 h 1646570"/>
              <a:gd name="connsiteX2" fmla="*/ 1636560 w 1653287"/>
              <a:gd name="connsiteY2" fmla="*/ 0 h 1646570"/>
              <a:gd name="connsiteX3" fmla="*/ 1653287 w 1653287"/>
              <a:gd name="connsiteY3" fmla="*/ 682629 h 1646570"/>
              <a:gd name="connsiteX4" fmla="*/ 0 w 1653287"/>
              <a:gd name="connsiteY4" fmla="*/ 1646570 h 1646570"/>
              <a:gd name="connsiteX0" fmla="*/ 0 w 1653287"/>
              <a:gd name="connsiteY0" fmla="*/ 1654012 h 1654012"/>
              <a:gd name="connsiteX1" fmla="*/ 0 w 1653287"/>
              <a:gd name="connsiteY1" fmla="*/ 963563 h 1654012"/>
              <a:gd name="connsiteX2" fmla="*/ 1636560 w 1653287"/>
              <a:gd name="connsiteY2" fmla="*/ 0 h 1654012"/>
              <a:gd name="connsiteX3" fmla="*/ 1653287 w 1653287"/>
              <a:gd name="connsiteY3" fmla="*/ 690071 h 1654012"/>
              <a:gd name="connsiteX4" fmla="*/ 0 w 1653287"/>
              <a:gd name="connsiteY4" fmla="*/ 1654012 h 1654012"/>
              <a:gd name="connsiteX0" fmla="*/ 0 w 1653287"/>
              <a:gd name="connsiteY0" fmla="*/ 1654012 h 1654012"/>
              <a:gd name="connsiteX1" fmla="*/ 0 w 1653287"/>
              <a:gd name="connsiteY1" fmla="*/ 963563 h 1654012"/>
              <a:gd name="connsiteX2" fmla="*/ 1636560 w 1653287"/>
              <a:gd name="connsiteY2" fmla="*/ 0 h 1654012"/>
              <a:gd name="connsiteX3" fmla="*/ 1653287 w 1653287"/>
              <a:gd name="connsiteY3" fmla="*/ 677668 h 1654012"/>
              <a:gd name="connsiteX4" fmla="*/ 0 w 1653287"/>
              <a:gd name="connsiteY4" fmla="*/ 1654012 h 1654012"/>
              <a:gd name="connsiteX0" fmla="*/ 7226 w 1653287"/>
              <a:gd name="connsiteY0" fmla="*/ 1686259 h 1686259"/>
              <a:gd name="connsiteX1" fmla="*/ 0 w 1653287"/>
              <a:gd name="connsiteY1" fmla="*/ 963563 h 1686259"/>
              <a:gd name="connsiteX2" fmla="*/ 1636560 w 1653287"/>
              <a:gd name="connsiteY2" fmla="*/ 0 h 1686259"/>
              <a:gd name="connsiteX3" fmla="*/ 1653287 w 1653287"/>
              <a:gd name="connsiteY3" fmla="*/ 677668 h 1686259"/>
              <a:gd name="connsiteX4" fmla="*/ 7226 w 1653287"/>
              <a:gd name="connsiteY4" fmla="*/ 1686259 h 1686259"/>
              <a:gd name="connsiteX0" fmla="*/ 696 w 1646757"/>
              <a:gd name="connsiteY0" fmla="*/ 1686259 h 1686259"/>
              <a:gd name="connsiteX1" fmla="*/ 696 w 1646757"/>
              <a:gd name="connsiteY1" fmla="*/ 958602 h 1686259"/>
              <a:gd name="connsiteX2" fmla="*/ 1630030 w 1646757"/>
              <a:gd name="connsiteY2" fmla="*/ 0 h 1686259"/>
              <a:gd name="connsiteX3" fmla="*/ 1646757 w 1646757"/>
              <a:gd name="connsiteY3" fmla="*/ 677668 h 1686259"/>
              <a:gd name="connsiteX4" fmla="*/ 696 w 1646757"/>
              <a:gd name="connsiteY4" fmla="*/ 1686259 h 1686259"/>
              <a:gd name="connsiteX0" fmla="*/ 500 w 1646561"/>
              <a:gd name="connsiteY0" fmla="*/ 1686259 h 1686259"/>
              <a:gd name="connsiteX1" fmla="*/ 2891 w 1646561"/>
              <a:gd name="connsiteY1" fmla="*/ 1095093 h 1686259"/>
              <a:gd name="connsiteX2" fmla="*/ 1629834 w 1646561"/>
              <a:gd name="connsiteY2" fmla="*/ 0 h 1686259"/>
              <a:gd name="connsiteX3" fmla="*/ 1646561 w 1646561"/>
              <a:gd name="connsiteY3" fmla="*/ 677668 h 1686259"/>
              <a:gd name="connsiteX4" fmla="*/ 500 w 1646561"/>
              <a:gd name="connsiteY4" fmla="*/ 1686259 h 1686259"/>
              <a:gd name="connsiteX0" fmla="*/ 500 w 1646561"/>
              <a:gd name="connsiteY0" fmla="*/ 1686259 h 1686259"/>
              <a:gd name="connsiteX1" fmla="*/ 2891 w 1646561"/>
              <a:gd name="connsiteY1" fmla="*/ 1095093 h 1686259"/>
              <a:gd name="connsiteX2" fmla="*/ 1629834 w 1646561"/>
              <a:gd name="connsiteY2" fmla="*/ 0 h 1686259"/>
              <a:gd name="connsiteX3" fmla="*/ 1646561 w 1646561"/>
              <a:gd name="connsiteY3" fmla="*/ 677668 h 1686259"/>
              <a:gd name="connsiteX4" fmla="*/ 500 w 1646561"/>
              <a:gd name="connsiteY4" fmla="*/ 1686259 h 1686259"/>
              <a:gd name="connsiteX0" fmla="*/ 500 w 1646561"/>
              <a:gd name="connsiteY0" fmla="*/ 1686259 h 1686259"/>
              <a:gd name="connsiteX1" fmla="*/ 2891 w 1646561"/>
              <a:gd name="connsiteY1" fmla="*/ 1095093 h 1686259"/>
              <a:gd name="connsiteX2" fmla="*/ 1629834 w 1646561"/>
              <a:gd name="connsiteY2" fmla="*/ 0 h 1686259"/>
              <a:gd name="connsiteX3" fmla="*/ 1646561 w 1646561"/>
              <a:gd name="connsiteY3" fmla="*/ 677668 h 1686259"/>
              <a:gd name="connsiteX4" fmla="*/ 500 w 1646561"/>
              <a:gd name="connsiteY4" fmla="*/ 1686259 h 1686259"/>
              <a:gd name="connsiteX0" fmla="*/ 500 w 1646561"/>
              <a:gd name="connsiteY0" fmla="*/ 1686259 h 1686259"/>
              <a:gd name="connsiteX1" fmla="*/ 2891 w 1646561"/>
              <a:gd name="connsiteY1" fmla="*/ 1095093 h 1686259"/>
              <a:gd name="connsiteX2" fmla="*/ 1629834 w 1646561"/>
              <a:gd name="connsiteY2" fmla="*/ 0 h 1686259"/>
              <a:gd name="connsiteX3" fmla="*/ 1646561 w 1646561"/>
              <a:gd name="connsiteY3" fmla="*/ 677668 h 1686259"/>
              <a:gd name="connsiteX4" fmla="*/ 500 w 1646561"/>
              <a:gd name="connsiteY4" fmla="*/ 1686259 h 1686259"/>
              <a:gd name="connsiteX0" fmla="*/ 500 w 1646561"/>
              <a:gd name="connsiteY0" fmla="*/ 1677902 h 1677902"/>
              <a:gd name="connsiteX1" fmla="*/ 2891 w 1646561"/>
              <a:gd name="connsiteY1" fmla="*/ 1086736 h 1677902"/>
              <a:gd name="connsiteX2" fmla="*/ 1625054 w 1646561"/>
              <a:gd name="connsiteY2" fmla="*/ 0 h 1677902"/>
              <a:gd name="connsiteX3" fmla="*/ 1646561 w 1646561"/>
              <a:gd name="connsiteY3" fmla="*/ 669311 h 1677902"/>
              <a:gd name="connsiteX4" fmla="*/ 500 w 1646561"/>
              <a:gd name="connsiteY4" fmla="*/ 1677902 h 1677902"/>
              <a:gd name="connsiteX0" fmla="*/ 500 w 1646561"/>
              <a:gd name="connsiteY0" fmla="*/ 1677902 h 1677902"/>
              <a:gd name="connsiteX1" fmla="*/ 2891 w 1646561"/>
              <a:gd name="connsiteY1" fmla="*/ 1086736 h 1677902"/>
              <a:gd name="connsiteX2" fmla="*/ 1625054 w 1646561"/>
              <a:gd name="connsiteY2" fmla="*/ 0 h 1677902"/>
              <a:gd name="connsiteX3" fmla="*/ 1646561 w 1646561"/>
              <a:gd name="connsiteY3" fmla="*/ 669311 h 1677902"/>
              <a:gd name="connsiteX4" fmla="*/ 500 w 1646561"/>
              <a:gd name="connsiteY4" fmla="*/ 1677902 h 1677902"/>
              <a:gd name="connsiteX0" fmla="*/ 500 w 1637000"/>
              <a:gd name="connsiteY0" fmla="*/ 1677902 h 1677902"/>
              <a:gd name="connsiteX1" fmla="*/ 2891 w 1637000"/>
              <a:gd name="connsiteY1" fmla="*/ 1086736 h 1677902"/>
              <a:gd name="connsiteX2" fmla="*/ 1625054 w 1637000"/>
              <a:gd name="connsiteY2" fmla="*/ 0 h 1677902"/>
              <a:gd name="connsiteX3" fmla="*/ 1637000 w 1637000"/>
              <a:gd name="connsiteY3" fmla="*/ 569032 h 1677902"/>
              <a:gd name="connsiteX4" fmla="*/ 500 w 1637000"/>
              <a:gd name="connsiteY4" fmla="*/ 1677902 h 1677902"/>
              <a:gd name="connsiteX0" fmla="*/ 2389 w 1638889"/>
              <a:gd name="connsiteY0" fmla="*/ 1677902 h 1677902"/>
              <a:gd name="connsiteX1" fmla="*/ 0 w 1638889"/>
              <a:gd name="connsiteY1" fmla="*/ 1154733 h 1677902"/>
              <a:gd name="connsiteX2" fmla="*/ 1626943 w 1638889"/>
              <a:gd name="connsiteY2" fmla="*/ 0 h 1677902"/>
              <a:gd name="connsiteX3" fmla="*/ 1638889 w 1638889"/>
              <a:gd name="connsiteY3" fmla="*/ 569032 h 1677902"/>
              <a:gd name="connsiteX4" fmla="*/ 2389 w 1638889"/>
              <a:gd name="connsiteY4" fmla="*/ 1677902 h 1677902"/>
              <a:gd name="connsiteX0" fmla="*/ 2389 w 1638889"/>
              <a:gd name="connsiteY0" fmla="*/ 1677902 h 1677902"/>
              <a:gd name="connsiteX1" fmla="*/ 0 w 1638889"/>
              <a:gd name="connsiteY1" fmla="*/ 1154733 h 1677902"/>
              <a:gd name="connsiteX2" fmla="*/ 1626943 w 1638889"/>
              <a:gd name="connsiteY2" fmla="*/ 0 h 1677902"/>
              <a:gd name="connsiteX3" fmla="*/ 1638889 w 1638889"/>
              <a:gd name="connsiteY3" fmla="*/ 569032 h 1677902"/>
              <a:gd name="connsiteX4" fmla="*/ 2389 w 1638889"/>
              <a:gd name="connsiteY4" fmla="*/ 1677902 h 1677902"/>
              <a:gd name="connsiteX0" fmla="*/ 2389 w 1638889"/>
              <a:gd name="connsiteY0" fmla="*/ 1671989 h 1671989"/>
              <a:gd name="connsiteX1" fmla="*/ 0 w 1638889"/>
              <a:gd name="connsiteY1" fmla="*/ 1148820 h 1671989"/>
              <a:gd name="connsiteX2" fmla="*/ 1626944 w 1638889"/>
              <a:gd name="connsiteY2" fmla="*/ 0 h 1671989"/>
              <a:gd name="connsiteX3" fmla="*/ 1638889 w 1638889"/>
              <a:gd name="connsiteY3" fmla="*/ 563119 h 1671989"/>
              <a:gd name="connsiteX4" fmla="*/ 2389 w 1638889"/>
              <a:gd name="connsiteY4" fmla="*/ 1671989 h 1671989"/>
              <a:gd name="connsiteX0" fmla="*/ 2389 w 1638889"/>
              <a:gd name="connsiteY0" fmla="*/ 1671989 h 1671989"/>
              <a:gd name="connsiteX1" fmla="*/ 0 w 1638889"/>
              <a:gd name="connsiteY1" fmla="*/ 1148820 h 1671989"/>
              <a:gd name="connsiteX2" fmla="*/ 1626944 w 1638889"/>
              <a:gd name="connsiteY2" fmla="*/ 0 h 1671989"/>
              <a:gd name="connsiteX3" fmla="*/ 1638889 w 1638889"/>
              <a:gd name="connsiteY3" fmla="*/ 563119 h 1671989"/>
              <a:gd name="connsiteX4" fmla="*/ 2389 w 1638889"/>
              <a:gd name="connsiteY4" fmla="*/ 1671989 h 1671989"/>
              <a:gd name="connsiteX0" fmla="*/ 2389 w 1634109"/>
              <a:gd name="connsiteY0" fmla="*/ 1671989 h 1671989"/>
              <a:gd name="connsiteX1" fmla="*/ 0 w 1634109"/>
              <a:gd name="connsiteY1" fmla="*/ 1148820 h 1671989"/>
              <a:gd name="connsiteX2" fmla="*/ 1626944 w 1634109"/>
              <a:gd name="connsiteY2" fmla="*/ 0 h 1671989"/>
              <a:gd name="connsiteX3" fmla="*/ 1634109 w 1634109"/>
              <a:gd name="connsiteY3" fmla="*/ 480337 h 1671989"/>
              <a:gd name="connsiteX4" fmla="*/ 2389 w 1634109"/>
              <a:gd name="connsiteY4" fmla="*/ 1671989 h 1671989"/>
              <a:gd name="connsiteX0" fmla="*/ 4779 w 1634109"/>
              <a:gd name="connsiteY0" fmla="*/ 1621729 h 1621729"/>
              <a:gd name="connsiteX1" fmla="*/ 0 w 1634109"/>
              <a:gd name="connsiteY1" fmla="*/ 1148820 h 1621729"/>
              <a:gd name="connsiteX2" fmla="*/ 1626944 w 1634109"/>
              <a:gd name="connsiteY2" fmla="*/ 0 h 1621729"/>
              <a:gd name="connsiteX3" fmla="*/ 1634109 w 1634109"/>
              <a:gd name="connsiteY3" fmla="*/ 480337 h 1621729"/>
              <a:gd name="connsiteX4" fmla="*/ 4779 w 1634109"/>
              <a:gd name="connsiteY4" fmla="*/ 1621729 h 162172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634109" h="1621729">
                <a:moveTo>
                  <a:pt x="4779" y="1621729"/>
                </a:moveTo>
                <a:cubicBezTo>
                  <a:pt x="2370" y="1380830"/>
                  <a:pt x="2409" y="1389719"/>
                  <a:pt x="0" y="1148820"/>
                </a:cubicBezTo>
                <a:cubicBezTo>
                  <a:pt x="543111" y="769423"/>
                  <a:pt x="1088614" y="364445"/>
                  <a:pt x="1626944" y="0"/>
                </a:cubicBezTo>
                <a:cubicBezTo>
                  <a:pt x="1626944" y="30510"/>
                  <a:pt x="1634109" y="449827"/>
                  <a:pt x="1634109" y="480337"/>
                </a:cubicBezTo>
                <a:lnTo>
                  <a:pt x="4779" y="1621729"/>
                </a:lnTo>
                <a:close/>
              </a:path>
            </a:pathLst>
          </a:cu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50000" t="50000" r="50000" b="50000"/>
            </a:path>
            <a:tileRect/>
          </a:gradFill>
          <a:ln w="12700">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219" name="Freeform 218"/>
          <xdr:cNvSpPr/>
        </xdr:nvSpPr>
        <xdr:spPr bwMode="auto">
          <a:xfrm>
            <a:off x="4578963" y="12065244"/>
            <a:ext cx="224097" cy="429941"/>
          </a:xfrm>
          <a:custGeom>
            <a:avLst/>
            <a:gdLst>
              <a:gd name="connsiteX0" fmla="*/ 0 w 208806"/>
              <a:gd name="connsiteY0" fmla="*/ 163040 h 163040"/>
              <a:gd name="connsiteX1" fmla="*/ 208806 w 208806"/>
              <a:gd name="connsiteY1" fmla="*/ 97252 h 163040"/>
              <a:gd name="connsiteX2" fmla="*/ 203086 w 208806"/>
              <a:gd name="connsiteY2" fmla="*/ 0 h 163040"/>
              <a:gd name="connsiteX3" fmla="*/ 8581 w 208806"/>
              <a:gd name="connsiteY3" fmla="*/ 65788 h 163040"/>
              <a:gd name="connsiteX4" fmla="*/ 0 w 208806"/>
              <a:gd name="connsiteY4" fmla="*/ 163040 h 163040"/>
              <a:gd name="connsiteX0" fmla="*/ 2861 w 200225"/>
              <a:gd name="connsiteY0" fmla="*/ 163040 h 163040"/>
              <a:gd name="connsiteX1" fmla="*/ 200225 w 200225"/>
              <a:gd name="connsiteY1" fmla="*/ 97252 h 163040"/>
              <a:gd name="connsiteX2" fmla="*/ 194505 w 200225"/>
              <a:gd name="connsiteY2" fmla="*/ 0 h 163040"/>
              <a:gd name="connsiteX3" fmla="*/ 0 w 200225"/>
              <a:gd name="connsiteY3" fmla="*/ 65788 h 163040"/>
              <a:gd name="connsiteX4" fmla="*/ 2861 w 200225"/>
              <a:gd name="connsiteY4" fmla="*/ 163040 h 163040"/>
              <a:gd name="connsiteX0" fmla="*/ 2861 w 200225"/>
              <a:gd name="connsiteY0" fmla="*/ 163040 h 163040"/>
              <a:gd name="connsiteX1" fmla="*/ 200225 w 200225"/>
              <a:gd name="connsiteY1" fmla="*/ 97252 h 163040"/>
              <a:gd name="connsiteX2" fmla="*/ 194505 w 200225"/>
              <a:gd name="connsiteY2" fmla="*/ 0 h 163040"/>
              <a:gd name="connsiteX3" fmla="*/ 0 w 200225"/>
              <a:gd name="connsiteY3" fmla="*/ 65788 h 163040"/>
              <a:gd name="connsiteX4" fmla="*/ 2861 w 200225"/>
              <a:gd name="connsiteY4" fmla="*/ 163040 h 163040"/>
              <a:gd name="connsiteX0" fmla="*/ 2861 w 200225"/>
              <a:gd name="connsiteY0" fmla="*/ 682902 h 682902"/>
              <a:gd name="connsiteX1" fmla="*/ 200225 w 200225"/>
              <a:gd name="connsiteY1" fmla="*/ 617114 h 682902"/>
              <a:gd name="connsiteX2" fmla="*/ 194505 w 200225"/>
              <a:gd name="connsiteY2" fmla="*/ 519862 h 682902"/>
              <a:gd name="connsiteX3" fmla="*/ 0 w 200225"/>
              <a:gd name="connsiteY3" fmla="*/ 624 h 682902"/>
              <a:gd name="connsiteX4" fmla="*/ 2861 w 200225"/>
              <a:gd name="connsiteY4" fmla="*/ 682902 h 682902"/>
              <a:gd name="connsiteX0" fmla="*/ 2861 w 200225"/>
              <a:gd name="connsiteY0" fmla="*/ 654164 h 654164"/>
              <a:gd name="connsiteX1" fmla="*/ 200225 w 200225"/>
              <a:gd name="connsiteY1" fmla="*/ 588376 h 654164"/>
              <a:gd name="connsiteX2" fmla="*/ 194505 w 200225"/>
              <a:gd name="connsiteY2" fmla="*/ 491124 h 654164"/>
              <a:gd name="connsiteX3" fmla="*/ 0 w 200225"/>
              <a:gd name="connsiteY3" fmla="*/ 658 h 654164"/>
              <a:gd name="connsiteX4" fmla="*/ 2861 w 200225"/>
              <a:gd name="connsiteY4" fmla="*/ 654164 h 654164"/>
              <a:gd name="connsiteX0" fmla="*/ 2861 w 200225"/>
              <a:gd name="connsiteY0" fmla="*/ 719293 h 719293"/>
              <a:gd name="connsiteX1" fmla="*/ 200225 w 200225"/>
              <a:gd name="connsiteY1" fmla="*/ 653505 h 719293"/>
              <a:gd name="connsiteX2" fmla="*/ 184971 w 200225"/>
              <a:gd name="connsiteY2" fmla="*/ 0 h 719293"/>
              <a:gd name="connsiteX3" fmla="*/ 0 w 200225"/>
              <a:gd name="connsiteY3" fmla="*/ 65787 h 719293"/>
              <a:gd name="connsiteX4" fmla="*/ 2861 w 200225"/>
              <a:gd name="connsiteY4" fmla="*/ 719293 h 719293"/>
              <a:gd name="connsiteX0" fmla="*/ 2861 w 184971"/>
              <a:gd name="connsiteY0" fmla="*/ 719293 h 719293"/>
              <a:gd name="connsiteX1" fmla="*/ 181338 w 184971"/>
              <a:gd name="connsiteY1" fmla="*/ 690392 h 719293"/>
              <a:gd name="connsiteX2" fmla="*/ 184971 w 184971"/>
              <a:gd name="connsiteY2" fmla="*/ 0 h 719293"/>
              <a:gd name="connsiteX3" fmla="*/ 0 w 184971"/>
              <a:gd name="connsiteY3" fmla="*/ 65787 h 719293"/>
              <a:gd name="connsiteX4" fmla="*/ 2861 w 184971"/>
              <a:gd name="connsiteY4" fmla="*/ 719293 h 719293"/>
              <a:gd name="connsiteX0" fmla="*/ 2861 w 190782"/>
              <a:gd name="connsiteY0" fmla="*/ 719293 h 719293"/>
              <a:gd name="connsiteX1" fmla="*/ 190782 w 190782"/>
              <a:gd name="connsiteY1" fmla="*/ 690393 h 719293"/>
              <a:gd name="connsiteX2" fmla="*/ 184971 w 190782"/>
              <a:gd name="connsiteY2" fmla="*/ 0 h 719293"/>
              <a:gd name="connsiteX3" fmla="*/ 0 w 190782"/>
              <a:gd name="connsiteY3" fmla="*/ 65787 h 719293"/>
              <a:gd name="connsiteX4" fmla="*/ 2861 w 190782"/>
              <a:gd name="connsiteY4" fmla="*/ 719293 h 719293"/>
              <a:gd name="connsiteX0" fmla="*/ 2861 w 194415"/>
              <a:gd name="connsiteY0" fmla="*/ 700850 h 700850"/>
              <a:gd name="connsiteX1" fmla="*/ 190782 w 194415"/>
              <a:gd name="connsiteY1" fmla="*/ 671950 h 700850"/>
              <a:gd name="connsiteX2" fmla="*/ 194415 w 194415"/>
              <a:gd name="connsiteY2" fmla="*/ 0 h 700850"/>
              <a:gd name="connsiteX3" fmla="*/ 0 w 194415"/>
              <a:gd name="connsiteY3" fmla="*/ 47344 h 700850"/>
              <a:gd name="connsiteX4" fmla="*/ 2861 w 194415"/>
              <a:gd name="connsiteY4" fmla="*/ 700850 h 700850"/>
              <a:gd name="connsiteX0" fmla="*/ 2861 w 206522"/>
              <a:gd name="connsiteY0" fmla="*/ 722239 h 722239"/>
              <a:gd name="connsiteX1" fmla="*/ 190782 w 206522"/>
              <a:gd name="connsiteY1" fmla="*/ 693339 h 722239"/>
              <a:gd name="connsiteX2" fmla="*/ 206522 w 206522"/>
              <a:gd name="connsiteY2" fmla="*/ 0 h 722239"/>
              <a:gd name="connsiteX3" fmla="*/ 0 w 206522"/>
              <a:gd name="connsiteY3" fmla="*/ 68733 h 722239"/>
              <a:gd name="connsiteX4" fmla="*/ 2861 w 206522"/>
              <a:gd name="connsiteY4" fmla="*/ 722239 h 722239"/>
              <a:gd name="connsiteX0" fmla="*/ 2861 w 206522"/>
              <a:gd name="connsiteY0" fmla="*/ 722239 h 722239"/>
              <a:gd name="connsiteX1" fmla="*/ 205310 w 206522"/>
              <a:gd name="connsiteY1" fmla="*/ 690962 h 722239"/>
              <a:gd name="connsiteX2" fmla="*/ 206522 w 206522"/>
              <a:gd name="connsiteY2" fmla="*/ 0 h 722239"/>
              <a:gd name="connsiteX3" fmla="*/ 0 w 206522"/>
              <a:gd name="connsiteY3" fmla="*/ 68733 h 722239"/>
              <a:gd name="connsiteX4" fmla="*/ 2861 w 206522"/>
              <a:gd name="connsiteY4" fmla="*/ 722239 h 722239"/>
              <a:gd name="connsiteX0" fmla="*/ 2861 w 206522"/>
              <a:gd name="connsiteY0" fmla="*/ 734122 h 734122"/>
              <a:gd name="connsiteX1" fmla="*/ 205310 w 206522"/>
              <a:gd name="connsiteY1" fmla="*/ 690962 h 734122"/>
              <a:gd name="connsiteX2" fmla="*/ 206522 w 206522"/>
              <a:gd name="connsiteY2" fmla="*/ 0 h 734122"/>
              <a:gd name="connsiteX3" fmla="*/ 0 w 206522"/>
              <a:gd name="connsiteY3" fmla="*/ 68733 h 734122"/>
              <a:gd name="connsiteX4" fmla="*/ 2861 w 206522"/>
              <a:gd name="connsiteY4" fmla="*/ 734122 h 734122"/>
              <a:gd name="connsiteX0" fmla="*/ 74 w 213178"/>
              <a:gd name="connsiteY0" fmla="*/ 512750 h 690962"/>
              <a:gd name="connsiteX1" fmla="*/ 211966 w 213178"/>
              <a:gd name="connsiteY1" fmla="*/ 690962 h 690962"/>
              <a:gd name="connsiteX2" fmla="*/ 213178 w 213178"/>
              <a:gd name="connsiteY2" fmla="*/ 0 h 690962"/>
              <a:gd name="connsiteX3" fmla="*/ 6656 w 213178"/>
              <a:gd name="connsiteY3" fmla="*/ 68733 h 690962"/>
              <a:gd name="connsiteX4" fmla="*/ 74 w 213178"/>
              <a:gd name="connsiteY4" fmla="*/ 512750 h 690962"/>
              <a:gd name="connsiteX0" fmla="*/ 74 w 213178"/>
              <a:gd name="connsiteY0" fmla="*/ 540422 h 690962"/>
              <a:gd name="connsiteX1" fmla="*/ 211966 w 213178"/>
              <a:gd name="connsiteY1" fmla="*/ 690962 h 690962"/>
              <a:gd name="connsiteX2" fmla="*/ 213178 w 213178"/>
              <a:gd name="connsiteY2" fmla="*/ 0 h 690962"/>
              <a:gd name="connsiteX3" fmla="*/ 6656 w 213178"/>
              <a:gd name="connsiteY3" fmla="*/ 68733 h 690962"/>
              <a:gd name="connsiteX4" fmla="*/ 74 w 213178"/>
              <a:gd name="connsiteY4" fmla="*/ 540422 h 690962"/>
              <a:gd name="connsiteX0" fmla="*/ 74 w 213178"/>
              <a:gd name="connsiteY0" fmla="*/ 540422 h 540422"/>
              <a:gd name="connsiteX1" fmla="*/ 202523 w 213178"/>
              <a:gd name="connsiteY1" fmla="*/ 515710 h 540422"/>
              <a:gd name="connsiteX2" fmla="*/ 213178 w 213178"/>
              <a:gd name="connsiteY2" fmla="*/ 0 h 540422"/>
              <a:gd name="connsiteX3" fmla="*/ 6656 w 213178"/>
              <a:gd name="connsiteY3" fmla="*/ 68733 h 540422"/>
              <a:gd name="connsiteX4" fmla="*/ 74 w 213178"/>
              <a:gd name="connsiteY4" fmla="*/ 540422 h 540422"/>
              <a:gd name="connsiteX0" fmla="*/ 74 w 213178"/>
              <a:gd name="connsiteY0" fmla="*/ 540422 h 540422"/>
              <a:gd name="connsiteX1" fmla="*/ 202523 w 213178"/>
              <a:gd name="connsiteY1" fmla="*/ 488038 h 540422"/>
              <a:gd name="connsiteX2" fmla="*/ 213178 w 213178"/>
              <a:gd name="connsiteY2" fmla="*/ 0 h 540422"/>
              <a:gd name="connsiteX3" fmla="*/ 6656 w 213178"/>
              <a:gd name="connsiteY3" fmla="*/ 68733 h 540422"/>
              <a:gd name="connsiteX4" fmla="*/ 74 w 213178"/>
              <a:gd name="connsiteY4" fmla="*/ 540422 h 540422"/>
              <a:gd name="connsiteX0" fmla="*/ 74 w 213178"/>
              <a:gd name="connsiteY0" fmla="*/ 540422 h 540422"/>
              <a:gd name="connsiteX1" fmla="*/ 209606 w 213178"/>
              <a:gd name="connsiteY1" fmla="*/ 485733 h 540422"/>
              <a:gd name="connsiteX2" fmla="*/ 213178 w 213178"/>
              <a:gd name="connsiteY2" fmla="*/ 0 h 540422"/>
              <a:gd name="connsiteX3" fmla="*/ 6656 w 213178"/>
              <a:gd name="connsiteY3" fmla="*/ 68733 h 540422"/>
              <a:gd name="connsiteX4" fmla="*/ 74 w 213178"/>
              <a:gd name="connsiteY4" fmla="*/ 540422 h 540422"/>
              <a:gd name="connsiteX0" fmla="*/ 74 w 216847"/>
              <a:gd name="connsiteY0" fmla="*/ 540422 h 540422"/>
              <a:gd name="connsiteX1" fmla="*/ 216688 w 216847"/>
              <a:gd name="connsiteY1" fmla="*/ 485733 h 540422"/>
              <a:gd name="connsiteX2" fmla="*/ 213178 w 216847"/>
              <a:gd name="connsiteY2" fmla="*/ 0 h 540422"/>
              <a:gd name="connsiteX3" fmla="*/ 6656 w 216847"/>
              <a:gd name="connsiteY3" fmla="*/ 68733 h 540422"/>
              <a:gd name="connsiteX4" fmla="*/ 74 w 216847"/>
              <a:gd name="connsiteY4" fmla="*/ 540422 h 540422"/>
              <a:gd name="connsiteX0" fmla="*/ 5401 w 222174"/>
              <a:gd name="connsiteY0" fmla="*/ 540422 h 540422"/>
              <a:gd name="connsiteX1" fmla="*/ 222015 w 222174"/>
              <a:gd name="connsiteY1" fmla="*/ 485733 h 540422"/>
              <a:gd name="connsiteX2" fmla="*/ 218505 w 222174"/>
              <a:gd name="connsiteY2" fmla="*/ 0 h 540422"/>
              <a:gd name="connsiteX3" fmla="*/ 0 w 222174"/>
              <a:gd name="connsiteY3" fmla="*/ 73414 h 540422"/>
              <a:gd name="connsiteX4" fmla="*/ 5401 w 222174"/>
              <a:gd name="connsiteY4" fmla="*/ 540422 h 540422"/>
              <a:gd name="connsiteX0" fmla="*/ 3004 w 222174"/>
              <a:gd name="connsiteY0" fmla="*/ 416378 h 485733"/>
              <a:gd name="connsiteX1" fmla="*/ 222015 w 222174"/>
              <a:gd name="connsiteY1" fmla="*/ 485733 h 485733"/>
              <a:gd name="connsiteX2" fmla="*/ 218505 w 222174"/>
              <a:gd name="connsiteY2" fmla="*/ 0 h 485733"/>
              <a:gd name="connsiteX3" fmla="*/ 0 w 222174"/>
              <a:gd name="connsiteY3" fmla="*/ 73414 h 485733"/>
              <a:gd name="connsiteX4" fmla="*/ 3004 w 222174"/>
              <a:gd name="connsiteY4" fmla="*/ 416378 h 485733"/>
              <a:gd name="connsiteX0" fmla="*/ 3004 w 222174"/>
              <a:gd name="connsiteY0" fmla="*/ 416378 h 416378"/>
              <a:gd name="connsiteX1" fmla="*/ 222015 w 222174"/>
              <a:gd name="connsiteY1" fmla="*/ 375731 h 416378"/>
              <a:gd name="connsiteX2" fmla="*/ 218505 w 222174"/>
              <a:gd name="connsiteY2" fmla="*/ 0 h 416378"/>
              <a:gd name="connsiteX3" fmla="*/ 0 w 222174"/>
              <a:gd name="connsiteY3" fmla="*/ 73414 h 416378"/>
              <a:gd name="connsiteX4" fmla="*/ 3004 w 222174"/>
              <a:gd name="connsiteY4" fmla="*/ 416378 h 416378"/>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22174" h="416378">
                <a:moveTo>
                  <a:pt x="3004" y="416378"/>
                </a:moveTo>
                <a:lnTo>
                  <a:pt x="222015" y="375731"/>
                </a:lnTo>
                <a:cubicBezTo>
                  <a:pt x="223206" y="213820"/>
                  <a:pt x="217314" y="161911"/>
                  <a:pt x="218505" y="0"/>
                </a:cubicBezTo>
                <a:lnTo>
                  <a:pt x="0" y="73414"/>
                </a:lnTo>
                <a:cubicBezTo>
                  <a:pt x="954" y="105831"/>
                  <a:pt x="2050" y="383961"/>
                  <a:pt x="3004" y="416378"/>
                </a:cubicBezTo>
                <a:close/>
              </a:path>
            </a:pathLst>
          </a:custGeom>
          <a:solidFill>
            <a:schemeClr val="accent1">
              <a:lumMod val="20000"/>
              <a:lumOff val="80000"/>
            </a:schemeClr>
          </a:solidFill>
          <a:ln w="12700">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220" name="Freeform 219"/>
          <xdr:cNvSpPr/>
        </xdr:nvSpPr>
        <xdr:spPr bwMode="auto">
          <a:xfrm>
            <a:off x="6447420" y="10994778"/>
            <a:ext cx="134356" cy="528876"/>
          </a:xfrm>
          <a:custGeom>
            <a:avLst/>
            <a:gdLst>
              <a:gd name="connsiteX0" fmla="*/ 0 w 208806"/>
              <a:gd name="connsiteY0" fmla="*/ 163040 h 163040"/>
              <a:gd name="connsiteX1" fmla="*/ 208806 w 208806"/>
              <a:gd name="connsiteY1" fmla="*/ 97252 h 163040"/>
              <a:gd name="connsiteX2" fmla="*/ 203086 w 208806"/>
              <a:gd name="connsiteY2" fmla="*/ 0 h 163040"/>
              <a:gd name="connsiteX3" fmla="*/ 8581 w 208806"/>
              <a:gd name="connsiteY3" fmla="*/ 65788 h 163040"/>
              <a:gd name="connsiteX4" fmla="*/ 0 w 208806"/>
              <a:gd name="connsiteY4" fmla="*/ 163040 h 163040"/>
              <a:gd name="connsiteX0" fmla="*/ 2861 w 200225"/>
              <a:gd name="connsiteY0" fmla="*/ 163040 h 163040"/>
              <a:gd name="connsiteX1" fmla="*/ 200225 w 200225"/>
              <a:gd name="connsiteY1" fmla="*/ 97252 h 163040"/>
              <a:gd name="connsiteX2" fmla="*/ 194505 w 200225"/>
              <a:gd name="connsiteY2" fmla="*/ 0 h 163040"/>
              <a:gd name="connsiteX3" fmla="*/ 0 w 200225"/>
              <a:gd name="connsiteY3" fmla="*/ 65788 h 163040"/>
              <a:gd name="connsiteX4" fmla="*/ 2861 w 200225"/>
              <a:gd name="connsiteY4" fmla="*/ 163040 h 163040"/>
              <a:gd name="connsiteX0" fmla="*/ 2861 w 200225"/>
              <a:gd name="connsiteY0" fmla="*/ 163040 h 163040"/>
              <a:gd name="connsiteX1" fmla="*/ 200225 w 200225"/>
              <a:gd name="connsiteY1" fmla="*/ 97252 h 163040"/>
              <a:gd name="connsiteX2" fmla="*/ 194505 w 200225"/>
              <a:gd name="connsiteY2" fmla="*/ 0 h 163040"/>
              <a:gd name="connsiteX3" fmla="*/ 0 w 200225"/>
              <a:gd name="connsiteY3" fmla="*/ 65788 h 163040"/>
              <a:gd name="connsiteX4" fmla="*/ 2861 w 200225"/>
              <a:gd name="connsiteY4" fmla="*/ 163040 h 163040"/>
              <a:gd name="connsiteX0" fmla="*/ 2861 w 200225"/>
              <a:gd name="connsiteY0" fmla="*/ 220247 h 220247"/>
              <a:gd name="connsiteX1" fmla="*/ 200225 w 200225"/>
              <a:gd name="connsiteY1" fmla="*/ 154459 h 220247"/>
              <a:gd name="connsiteX2" fmla="*/ 134438 w 200225"/>
              <a:gd name="connsiteY2" fmla="*/ 0 h 220247"/>
              <a:gd name="connsiteX3" fmla="*/ 0 w 200225"/>
              <a:gd name="connsiteY3" fmla="*/ 122995 h 220247"/>
              <a:gd name="connsiteX4" fmla="*/ 2861 w 200225"/>
              <a:gd name="connsiteY4" fmla="*/ 220247 h 220247"/>
              <a:gd name="connsiteX0" fmla="*/ 2861 w 134438"/>
              <a:gd name="connsiteY0" fmla="*/ 220247 h 220247"/>
              <a:gd name="connsiteX1" fmla="*/ 134437 w 134438"/>
              <a:gd name="connsiteY1" fmla="*/ 128715 h 220247"/>
              <a:gd name="connsiteX2" fmla="*/ 134438 w 134438"/>
              <a:gd name="connsiteY2" fmla="*/ 0 h 220247"/>
              <a:gd name="connsiteX3" fmla="*/ 0 w 134438"/>
              <a:gd name="connsiteY3" fmla="*/ 122995 h 220247"/>
              <a:gd name="connsiteX4" fmla="*/ 2861 w 134438"/>
              <a:gd name="connsiteY4" fmla="*/ 220247 h 220247"/>
              <a:gd name="connsiteX0" fmla="*/ 2861 w 134438"/>
              <a:gd name="connsiteY0" fmla="*/ 220247 h 220247"/>
              <a:gd name="connsiteX1" fmla="*/ 134437 w 134438"/>
              <a:gd name="connsiteY1" fmla="*/ 117274 h 220247"/>
              <a:gd name="connsiteX2" fmla="*/ 134438 w 134438"/>
              <a:gd name="connsiteY2" fmla="*/ 0 h 220247"/>
              <a:gd name="connsiteX3" fmla="*/ 0 w 134438"/>
              <a:gd name="connsiteY3" fmla="*/ 122995 h 220247"/>
              <a:gd name="connsiteX4" fmla="*/ 2861 w 134438"/>
              <a:gd name="connsiteY4" fmla="*/ 220247 h 220247"/>
              <a:gd name="connsiteX0" fmla="*/ 2861 w 134438"/>
              <a:gd name="connsiteY0" fmla="*/ 220247 h 220247"/>
              <a:gd name="connsiteX1" fmla="*/ 134437 w 134438"/>
              <a:gd name="connsiteY1" fmla="*/ 108693 h 220247"/>
              <a:gd name="connsiteX2" fmla="*/ 134438 w 134438"/>
              <a:gd name="connsiteY2" fmla="*/ 0 h 220247"/>
              <a:gd name="connsiteX3" fmla="*/ 0 w 134438"/>
              <a:gd name="connsiteY3" fmla="*/ 122995 h 220247"/>
              <a:gd name="connsiteX4" fmla="*/ 2861 w 134438"/>
              <a:gd name="connsiteY4" fmla="*/ 220247 h 220247"/>
              <a:gd name="connsiteX0" fmla="*/ 31 w 131608"/>
              <a:gd name="connsiteY0" fmla="*/ 220247 h 220247"/>
              <a:gd name="connsiteX1" fmla="*/ 131607 w 131608"/>
              <a:gd name="connsiteY1" fmla="*/ 108693 h 220247"/>
              <a:gd name="connsiteX2" fmla="*/ 131608 w 131608"/>
              <a:gd name="connsiteY2" fmla="*/ 0 h 220247"/>
              <a:gd name="connsiteX3" fmla="*/ 20053 w 131608"/>
              <a:gd name="connsiteY3" fmla="*/ 102973 h 220247"/>
              <a:gd name="connsiteX4" fmla="*/ 31 w 131608"/>
              <a:gd name="connsiteY4" fmla="*/ 220247 h 220247"/>
              <a:gd name="connsiteX0" fmla="*/ 31 w 131608"/>
              <a:gd name="connsiteY0" fmla="*/ 220247 h 220247"/>
              <a:gd name="connsiteX1" fmla="*/ 131607 w 131608"/>
              <a:gd name="connsiteY1" fmla="*/ 108693 h 220247"/>
              <a:gd name="connsiteX2" fmla="*/ 131608 w 131608"/>
              <a:gd name="connsiteY2" fmla="*/ 0 h 220247"/>
              <a:gd name="connsiteX3" fmla="*/ 20053 w 131608"/>
              <a:gd name="connsiteY3" fmla="*/ 105834 h 220247"/>
              <a:gd name="connsiteX4" fmla="*/ 31 w 131608"/>
              <a:gd name="connsiteY4" fmla="*/ 220247 h 220247"/>
              <a:gd name="connsiteX0" fmla="*/ 5721 w 111555"/>
              <a:gd name="connsiteY0" fmla="*/ 194503 h 194503"/>
              <a:gd name="connsiteX1" fmla="*/ 111554 w 111555"/>
              <a:gd name="connsiteY1" fmla="*/ 108693 h 194503"/>
              <a:gd name="connsiteX2" fmla="*/ 111555 w 111555"/>
              <a:gd name="connsiteY2" fmla="*/ 0 h 194503"/>
              <a:gd name="connsiteX3" fmla="*/ 0 w 111555"/>
              <a:gd name="connsiteY3" fmla="*/ 105834 h 194503"/>
              <a:gd name="connsiteX4" fmla="*/ 5721 w 111555"/>
              <a:gd name="connsiteY4" fmla="*/ 194503 h 194503"/>
              <a:gd name="connsiteX0" fmla="*/ 275 w 111829"/>
              <a:gd name="connsiteY0" fmla="*/ 200223 h 200223"/>
              <a:gd name="connsiteX1" fmla="*/ 111828 w 111829"/>
              <a:gd name="connsiteY1" fmla="*/ 108693 h 200223"/>
              <a:gd name="connsiteX2" fmla="*/ 111829 w 111829"/>
              <a:gd name="connsiteY2" fmla="*/ 0 h 200223"/>
              <a:gd name="connsiteX3" fmla="*/ 274 w 111829"/>
              <a:gd name="connsiteY3" fmla="*/ 105834 h 200223"/>
              <a:gd name="connsiteX4" fmla="*/ 275 w 111829"/>
              <a:gd name="connsiteY4" fmla="*/ 200223 h 200223"/>
              <a:gd name="connsiteX0" fmla="*/ 18639 w 130193"/>
              <a:gd name="connsiteY0" fmla="*/ 611104 h 611104"/>
              <a:gd name="connsiteX1" fmla="*/ 130192 w 130193"/>
              <a:gd name="connsiteY1" fmla="*/ 519574 h 611104"/>
              <a:gd name="connsiteX2" fmla="*/ 130193 w 130193"/>
              <a:gd name="connsiteY2" fmla="*/ 410881 h 611104"/>
              <a:gd name="connsiteX3" fmla="*/ 0 w 130193"/>
              <a:gd name="connsiteY3" fmla="*/ 1856 h 611104"/>
              <a:gd name="connsiteX4" fmla="*/ 18639 w 130193"/>
              <a:gd name="connsiteY4" fmla="*/ 611104 h 611104"/>
              <a:gd name="connsiteX0" fmla="*/ 9320 w 120874"/>
              <a:gd name="connsiteY0" fmla="*/ 601607 h 601607"/>
              <a:gd name="connsiteX1" fmla="*/ 120873 w 120874"/>
              <a:gd name="connsiteY1" fmla="*/ 510077 h 601607"/>
              <a:gd name="connsiteX2" fmla="*/ 120874 w 120874"/>
              <a:gd name="connsiteY2" fmla="*/ 401384 h 601607"/>
              <a:gd name="connsiteX3" fmla="*/ 0 w 120874"/>
              <a:gd name="connsiteY3" fmla="*/ 1893 h 601607"/>
              <a:gd name="connsiteX4" fmla="*/ 9320 w 120874"/>
              <a:gd name="connsiteY4" fmla="*/ 601607 h 601607"/>
              <a:gd name="connsiteX0" fmla="*/ 9320 w 120874"/>
              <a:gd name="connsiteY0" fmla="*/ 762754 h 762754"/>
              <a:gd name="connsiteX1" fmla="*/ 120873 w 120874"/>
              <a:gd name="connsiteY1" fmla="*/ 671224 h 762754"/>
              <a:gd name="connsiteX2" fmla="*/ 120874 w 120874"/>
              <a:gd name="connsiteY2" fmla="*/ 0 h 762754"/>
              <a:gd name="connsiteX3" fmla="*/ 0 w 120874"/>
              <a:gd name="connsiteY3" fmla="*/ 163040 h 762754"/>
              <a:gd name="connsiteX4" fmla="*/ 9320 w 120874"/>
              <a:gd name="connsiteY4" fmla="*/ 762754 h 762754"/>
              <a:gd name="connsiteX0" fmla="*/ 9320 w 120874"/>
              <a:gd name="connsiteY0" fmla="*/ 705547 h 705547"/>
              <a:gd name="connsiteX1" fmla="*/ 120873 w 120874"/>
              <a:gd name="connsiteY1" fmla="*/ 614017 h 705547"/>
              <a:gd name="connsiteX2" fmla="*/ 120874 w 120874"/>
              <a:gd name="connsiteY2" fmla="*/ 0 h 705547"/>
              <a:gd name="connsiteX3" fmla="*/ 0 w 120874"/>
              <a:gd name="connsiteY3" fmla="*/ 105833 h 705547"/>
              <a:gd name="connsiteX4" fmla="*/ 9320 w 120874"/>
              <a:gd name="connsiteY4" fmla="*/ 705547 h 705547"/>
              <a:gd name="connsiteX0" fmla="*/ 9320 w 120874"/>
              <a:gd name="connsiteY0" fmla="*/ 705547 h 705547"/>
              <a:gd name="connsiteX1" fmla="*/ 120873 w 120874"/>
              <a:gd name="connsiteY1" fmla="*/ 614017 h 705547"/>
              <a:gd name="connsiteX2" fmla="*/ 120874 w 120874"/>
              <a:gd name="connsiteY2" fmla="*/ 0 h 705547"/>
              <a:gd name="connsiteX3" fmla="*/ 0 w 120874"/>
              <a:gd name="connsiteY3" fmla="*/ 75947 h 705547"/>
              <a:gd name="connsiteX4" fmla="*/ 9320 w 120874"/>
              <a:gd name="connsiteY4" fmla="*/ 705547 h 705547"/>
              <a:gd name="connsiteX0" fmla="*/ 9320 w 120874"/>
              <a:gd name="connsiteY0" fmla="*/ 746929 h 746929"/>
              <a:gd name="connsiteX1" fmla="*/ 120873 w 120874"/>
              <a:gd name="connsiteY1" fmla="*/ 655399 h 746929"/>
              <a:gd name="connsiteX2" fmla="*/ 120874 w 120874"/>
              <a:gd name="connsiteY2" fmla="*/ 0 h 746929"/>
              <a:gd name="connsiteX3" fmla="*/ 0 w 120874"/>
              <a:gd name="connsiteY3" fmla="*/ 117329 h 746929"/>
              <a:gd name="connsiteX4" fmla="*/ 9320 w 120874"/>
              <a:gd name="connsiteY4" fmla="*/ 746929 h 746929"/>
              <a:gd name="connsiteX0" fmla="*/ 9320 w 120874"/>
              <a:gd name="connsiteY0" fmla="*/ 746929 h 746929"/>
              <a:gd name="connsiteX1" fmla="*/ 120873 w 120874"/>
              <a:gd name="connsiteY1" fmla="*/ 476507 h 746929"/>
              <a:gd name="connsiteX2" fmla="*/ 120874 w 120874"/>
              <a:gd name="connsiteY2" fmla="*/ 0 h 746929"/>
              <a:gd name="connsiteX3" fmla="*/ 0 w 120874"/>
              <a:gd name="connsiteY3" fmla="*/ 117329 h 746929"/>
              <a:gd name="connsiteX4" fmla="*/ 9320 w 120874"/>
              <a:gd name="connsiteY4" fmla="*/ 746929 h 746929"/>
              <a:gd name="connsiteX0" fmla="*/ 7145 w 120874"/>
              <a:gd name="connsiteY0" fmla="*/ 577095 h 577095"/>
              <a:gd name="connsiteX1" fmla="*/ 120873 w 120874"/>
              <a:gd name="connsiteY1" fmla="*/ 476507 h 577095"/>
              <a:gd name="connsiteX2" fmla="*/ 120874 w 120874"/>
              <a:gd name="connsiteY2" fmla="*/ 0 h 577095"/>
              <a:gd name="connsiteX3" fmla="*/ 0 w 120874"/>
              <a:gd name="connsiteY3" fmla="*/ 117329 h 577095"/>
              <a:gd name="connsiteX4" fmla="*/ 7145 w 120874"/>
              <a:gd name="connsiteY4" fmla="*/ 577095 h 577095"/>
              <a:gd name="connsiteX0" fmla="*/ 7145 w 120874"/>
              <a:gd name="connsiteY0" fmla="*/ 495575 h 495575"/>
              <a:gd name="connsiteX1" fmla="*/ 120873 w 120874"/>
              <a:gd name="connsiteY1" fmla="*/ 476507 h 495575"/>
              <a:gd name="connsiteX2" fmla="*/ 120874 w 120874"/>
              <a:gd name="connsiteY2" fmla="*/ 0 h 495575"/>
              <a:gd name="connsiteX3" fmla="*/ 0 w 120874"/>
              <a:gd name="connsiteY3" fmla="*/ 117329 h 495575"/>
              <a:gd name="connsiteX4" fmla="*/ 7145 w 120874"/>
              <a:gd name="connsiteY4" fmla="*/ 495575 h 495575"/>
              <a:gd name="connsiteX0" fmla="*/ 7145 w 120874"/>
              <a:gd name="connsiteY0" fmla="*/ 495575 h 495575"/>
              <a:gd name="connsiteX1" fmla="*/ 120873 w 120874"/>
              <a:gd name="connsiteY1" fmla="*/ 394987 h 495575"/>
              <a:gd name="connsiteX2" fmla="*/ 120874 w 120874"/>
              <a:gd name="connsiteY2" fmla="*/ 0 h 495575"/>
              <a:gd name="connsiteX3" fmla="*/ 0 w 120874"/>
              <a:gd name="connsiteY3" fmla="*/ 117329 h 495575"/>
              <a:gd name="connsiteX4" fmla="*/ 7145 w 120874"/>
              <a:gd name="connsiteY4" fmla="*/ 495575 h 49557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20874" h="495575">
                <a:moveTo>
                  <a:pt x="7145" y="495575"/>
                </a:moveTo>
                <a:cubicBezTo>
                  <a:pt x="44329" y="465065"/>
                  <a:pt x="83689" y="425497"/>
                  <a:pt x="120873" y="394987"/>
                </a:cubicBezTo>
                <a:cubicBezTo>
                  <a:pt x="120873" y="352082"/>
                  <a:pt x="120874" y="42905"/>
                  <a:pt x="120874" y="0"/>
                </a:cubicBezTo>
                <a:cubicBezTo>
                  <a:pt x="83689" y="35278"/>
                  <a:pt x="37185" y="82051"/>
                  <a:pt x="0" y="117329"/>
                </a:cubicBezTo>
                <a:cubicBezTo>
                  <a:pt x="954" y="149746"/>
                  <a:pt x="6191" y="463158"/>
                  <a:pt x="7145" y="495575"/>
                </a:cubicBezTo>
                <a:close/>
              </a:path>
            </a:pathLst>
          </a:custGeom>
          <a:solidFill>
            <a:schemeClr val="accent1">
              <a:lumMod val="40000"/>
              <a:lumOff val="60000"/>
            </a:schemeClr>
          </a:solidFill>
          <a:ln w="12700">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10240" name="Freeform 10239"/>
          <xdr:cNvSpPr/>
        </xdr:nvSpPr>
        <xdr:spPr>
          <a:xfrm>
            <a:off x="4562474" y="7249898"/>
            <a:ext cx="2020888" cy="5257061"/>
          </a:xfrm>
          <a:custGeom>
            <a:avLst/>
            <a:gdLst>
              <a:gd name="connsiteX0" fmla="*/ 0 w 2019300"/>
              <a:gd name="connsiteY0" fmla="*/ 1123950 h 5953125"/>
              <a:gd name="connsiteX1" fmla="*/ 209550 w 2019300"/>
              <a:gd name="connsiteY1" fmla="*/ 1047750 h 5953125"/>
              <a:gd name="connsiteX2" fmla="*/ 1857375 w 2019300"/>
              <a:gd name="connsiteY2" fmla="*/ 142875 h 5953125"/>
              <a:gd name="connsiteX3" fmla="*/ 2009775 w 2019300"/>
              <a:gd name="connsiteY3" fmla="*/ 0 h 5953125"/>
              <a:gd name="connsiteX4" fmla="*/ 2019300 w 2019300"/>
              <a:gd name="connsiteY4" fmla="*/ 4791075 h 5953125"/>
              <a:gd name="connsiteX5" fmla="*/ 1876425 w 2019300"/>
              <a:gd name="connsiteY5" fmla="*/ 4914900 h 5953125"/>
              <a:gd name="connsiteX6" fmla="*/ 238125 w 2019300"/>
              <a:gd name="connsiteY6" fmla="*/ 5848350 h 5953125"/>
              <a:gd name="connsiteX7" fmla="*/ 9525 w 2019300"/>
              <a:gd name="connsiteY7" fmla="*/ 5953125 h 5953125"/>
              <a:gd name="connsiteX8" fmla="*/ 0 w 2019300"/>
              <a:gd name="connsiteY8" fmla="*/ 1123950 h 5953125"/>
              <a:gd name="connsiteX0" fmla="*/ 0 w 2019300"/>
              <a:gd name="connsiteY0" fmla="*/ 1123950 h 5953125"/>
              <a:gd name="connsiteX1" fmla="*/ 209550 w 2019300"/>
              <a:gd name="connsiteY1" fmla="*/ 1047750 h 5953125"/>
              <a:gd name="connsiteX2" fmla="*/ 1857375 w 2019300"/>
              <a:gd name="connsiteY2" fmla="*/ 142875 h 5953125"/>
              <a:gd name="connsiteX3" fmla="*/ 2009775 w 2019300"/>
              <a:gd name="connsiteY3" fmla="*/ 0 h 5953125"/>
              <a:gd name="connsiteX4" fmla="*/ 2019300 w 2019300"/>
              <a:gd name="connsiteY4" fmla="*/ 4791075 h 5953125"/>
              <a:gd name="connsiteX5" fmla="*/ 1876425 w 2019300"/>
              <a:gd name="connsiteY5" fmla="*/ 4914900 h 5953125"/>
              <a:gd name="connsiteX6" fmla="*/ 238125 w 2019300"/>
              <a:gd name="connsiteY6" fmla="*/ 5895975 h 5953125"/>
              <a:gd name="connsiteX7" fmla="*/ 9525 w 2019300"/>
              <a:gd name="connsiteY7" fmla="*/ 5953125 h 5953125"/>
              <a:gd name="connsiteX8" fmla="*/ 0 w 2019300"/>
              <a:gd name="connsiteY8" fmla="*/ 1123950 h 5953125"/>
              <a:gd name="connsiteX0" fmla="*/ 0 w 2019300"/>
              <a:gd name="connsiteY0" fmla="*/ 1123950 h 5953125"/>
              <a:gd name="connsiteX1" fmla="*/ 209550 w 2019300"/>
              <a:gd name="connsiteY1" fmla="*/ 1047750 h 5953125"/>
              <a:gd name="connsiteX2" fmla="*/ 1857375 w 2019300"/>
              <a:gd name="connsiteY2" fmla="*/ 142875 h 5953125"/>
              <a:gd name="connsiteX3" fmla="*/ 2009775 w 2019300"/>
              <a:gd name="connsiteY3" fmla="*/ 0 h 5953125"/>
              <a:gd name="connsiteX4" fmla="*/ 2019300 w 2019300"/>
              <a:gd name="connsiteY4" fmla="*/ 4791075 h 5953125"/>
              <a:gd name="connsiteX5" fmla="*/ 1876425 w 2019300"/>
              <a:gd name="connsiteY5" fmla="*/ 4914900 h 5953125"/>
              <a:gd name="connsiteX6" fmla="*/ 238125 w 2019300"/>
              <a:gd name="connsiteY6" fmla="*/ 5886450 h 5953125"/>
              <a:gd name="connsiteX7" fmla="*/ 9525 w 2019300"/>
              <a:gd name="connsiteY7" fmla="*/ 5953125 h 5953125"/>
              <a:gd name="connsiteX8" fmla="*/ 0 w 2019300"/>
              <a:gd name="connsiteY8" fmla="*/ 1123950 h 5953125"/>
              <a:gd name="connsiteX0" fmla="*/ 0 w 2019300"/>
              <a:gd name="connsiteY0" fmla="*/ 1123950 h 5953125"/>
              <a:gd name="connsiteX1" fmla="*/ 209550 w 2019300"/>
              <a:gd name="connsiteY1" fmla="*/ 1047750 h 5953125"/>
              <a:gd name="connsiteX2" fmla="*/ 1857375 w 2019300"/>
              <a:gd name="connsiteY2" fmla="*/ 142875 h 5953125"/>
              <a:gd name="connsiteX3" fmla="*/ 2009775 w 2019300"/>
              <a:gd name="connsiteY3" fmla="*/ 0 h 5953125"/>
              <a:gd name="connsiteX4" fmla="*/ 2019300 w 2019300"/>
              <a:gd name="connsiteY4" fmla="*/ 4791075 h 5953125"/>
              <a:gd name="connsiteX5" fmla="*/ 1876425 w 2019300"/>
              <a:gd name="connsiteY5" fmla="*/ 4914900 h 5953125"/>
              <a:gd name="connsiteX6" fmla="*/ 228600 w 2019300"/>
              <a:gd name="connsiteY6" fmla="*/ 5895975 h 5953125"/>
              <a:gd name="connsiteX7" fmla="*/ 9525 w 2019300"/>
              <a:gd name="connsiteY7" fmla="*/ 5953125 h 5953125"/>
              <a:gd name="connsiteX8" fmla="*/ 0 w 2019300"/>
              <a:gd name="connsiteY8" fmla="*/ 1123950 h 5953125"/>
              <a:gd name="connsiteX0" fmla="*/ 0 w 2019300"/>
              <a:gd name="connsiteY0" fmla="*/ 1123950 h 5895975"/>
              <a:gd name="connsiteX1" fmla="*/ 209550 w 2019300"/>
              <a:gd name="connsiteY1" fmla="*/ 1047750 h 5895975"/>
              <a:gd name="connsiteX2" fmla="*/ 1857375 w 2019300"/>
              <a:gd name="connsiteY2" fmla="*/ 142875 h 5895975"/>
              <a:gd name="connsiteX3" fmla="*/ 2009775 w 2019300"/>
              <a:gd name="connsiteY3" fmla="*/ 0 h 5895975"/>
              <a:gd name="connsiteX4" fmla="*/ 2019300 w 2019300"/>
              <a:gd name="connsiteY4" fmla="*/ 4791075 h 5895975"/>
              <a:gd name="connsiteX5" fmla="*/ 1876425 w 2019300"/>
              <a:gd name="connsiteY5" fmla="*/ 4914900 h 5895975"/>
              <a:gd name="connsiteX6" fmla="*/ 228600 w 2019300"/>
              <a:gd name="connsiteY6" fmla="*/ 5895975 h 5895975"/>
              <a:gd name="connsiteX7" fmla="*/ 1606 w 2019300"/>
              <a:gd name="connsiteY7" fmla="*/ 5718303 h 5895975"/>
              <a:gd name="connsiteX8" fmla="*/ 0 w 2019300"/>
              <a:gd name="connsiteY8" fmla="*/ 1123950 h 5895975"/>
              <a:gd name="connsiteX0" fmla="*/ 0 w 2019300"/>
              <a:gd name="connsiteY0" fmla="*/ 1123950 h 5895975"/>
              <a:gd name="connsiteX1" fmla="*/ 209550 w 2019300"/>
              <a:gd name="connsiteY1" fmla="*/ 1047750 h 5895975"/>
              <a:gd name="connsiteX2" fmla="*/ 1857375 w 2019300"/>
              <a:gd name="connsiteY2" fmla="*/ 142875 h 5895975"/>
              <a:gd name="connsiteX3" fmla="*/ 2009775 w 2019300"/>
              <a:gd name="connsiteY3" fmla="*/ 0 h 5895975"/>
              <a:gd name="connsiteX4" fmla="*/ 2019300 w 2019300"/>
              <a:gd name="connsiteY4" fmla="*/ 4791075 h 5895975"/>
              <a:gd name="connsiteX5" fmla="*/ 1876425 w 2019300"/>
              <a:gd name="connsiteY5" fmla="*/ 4914900 h 5895975"/>
              <a:gd name="connsiteX6" fmla="*/ 228600 w 2019300"/>
              <a:gd name="connsiteY6" fmla="*/ 5895975 h 5895975"/>
              <a:gd name="connsiteX7" fmla="*/ 1606 w 2019300"/>
              <a:gd name="connsiteY7" fmla="*/ 5742595 h 5895975"/>
              <a:gd name="connsiteX8" fmla="*/ 0 w 2019300"/>
              <a:gd name="connsiteY8" fmla="*/ 1123950 h 5895975"/>
              <a:gd name="connsiteX0" fmla="*/ 0 w 2019300"/>
              <a:gd name="connsiteY0" fmla="*/ 1123950 h 5742595"/>
              <a:gd name="connsiteX1" fmla="*/ 209550 w 2019300"/>
              <a:gd name="connsiteY1" fmla="*/ 1047750 h 5742595"/>
              <a:gd name="connsiteX2" fmla="*/ 1857375 w 2019300"/>
              <a:gd name="connsiteY2" fmla="*/ 142875 h 5742595"/>
              <a:gd name="connsiteX3" fmla="*/ 2009775 w 2019300"/>
              <a:gd name="connsiteY3" fmla="*/ 0 h 5742595"/>
              <a:gd name="connsiteX4" fmla="*/ 2019300 w 2019300"/>
              <a:gd name="connsiteY4" fmla="*/ 4791075 h 5742595"/>
              <a:gd name="connsiteX5" fmla="*/ 1876425 w 2019300"/>
              <a:gd name="connsiteY5" fmla="*/ 4914900 h 5742595"/>
              <a:gd name="connsiteX6" fmla="*/ 228600 w 2019300"/>
              <a:gd name="connsiteY6" fmla="*/ 5701640 h 5742595"/>
              <a:gd name="connsiteX7" fmla="*/ 1606 w 2019300"/>
              <a:gd name="connsiteY7" fmla="*/ 5742595 h 5742595"/>
              <a:gd name="connsiteX8" fmla="*/ 0 w 2019300"/>
              <a:gd name="connsiteY8" fmla="*/ 1123950 h 5742595"/>
              <a:gd name="connsiteX0" fmla="*/ 0 w 2019300"/>
              <a:gd name="connsiteY0" fmla="*/ 1123950 h 5742595"/>
              <a:gd name="connsiteX1" fmla="*/ 209550 w 2019300"/>
              <a:gd name="connsiteY1" fmla="*/ 1047750 h 5742595"/>
              <a:gd name="connsiteX2" fmla="*/ 1857375 w 2019300"/>
              <a:gd name="connsiteY2" fmla="*/ 142875 h 5742595"/>
              <a:gd name="connsiteX3" fmla="*/ 2009775 w 2019300"/>
              <a:gd name="connsiteY3" fmla="*/ 0 h 5742595"/>
              <a:gd name="connsiteX4" fmla="*/ 2019300 w 2019300"/>
              <a:gd name="connsiteY4" fmla="*/ 4791075 h 5742595"/>
              <a:gd name="connsiteX5" fmla="*/ 1876425 w 2019300"/>
              <a:gd name="connsiteY5" fmla="*/ 4744857 h 5742595"/>
              <a:gd name="connsiteX6" fmla="*/ 228600 w 2019300"/>
              <a:gd name="connsiteY6" fmla="*/ 5701640 h 5742595"/>
              <a:gd name="connsiteX7" fmla="*/ 1606 w 2019300"/>
              <a:gd name="connsiteY7" fmla="*/ 5742595 h 5742595"/>
              <a:gd name="connsiteX8" fmla="*/ 0 w 2019300"/>
              <a:gd name="connsiteY8" fmla="*/ 1123950 h 5742595"/>
              <a:gd name="connsiteX0" fmla="*/ 0 w 2011382"/>
              <a:gd name="connsiteY0" fmla="*/ 1123950 h 5742595"/>
              <a:gd name="connsiteX1" fmla="*/ 209550 w 2011382"/>
              <a:gd name="connsiteY1" fmla="*/ 1047750 h 5742595"/>
              <a:gd name="connsiteX2" fmla="*/ 1857375 w 2011382"/>
              <a:gd name="connsiteY2" fmla="*/ 142875 h 5742595"/>
              <a:gd name="connsiteX3" fmla="*/ 2009775 w 2011382"/>
              <a:gd name="connsiteY3" fmla="*/ 0 h 5742595"/>
              <a:gd name="connsiteX4" fmla="*/ 2011382 w 2011382"/>
              <a:gd name="connsiteY4" fmla="*/ 4621033 h 5742595"/>
              <a:gd name="connsiteX5" fmla="*/ 1876425 w 2011382"/>
              <a:gd name="connsiteY5" fmla="*/ 4744857 h 5742595"/>
              <a:gd name="connsiteX6" fmla="*/ 228600 w 2011382"/>
              <a:gd name="connsiteY6" fmla="*/ 5701640 h 5742595"/>
              <a:gd name="connsiteX7" fmla="*/ 1606 w 2011382"/>
              <a:gd name="connsiteY7" fmla="*/ 5742595 h 5742595"/>
              <a:gd name="connsiteX8" fmla="*/ 0 w 2011382"/>
              <a:gd name="connsiteY8" fmla="*/ 1123950 h 5742595"/>
              <a:gd name="connsiteX0" fmla="*/ 0 w 2011382"/>
              <a:gd name="connsiteY0" fmla="*/ 1302090 h 5742595"/>
              <a:gd name="connsiteX1" fmla="*/ 209550 w 2011382"/>
              <a:gd name="connsiteY1" fmla="*/ 1047750 h 5742595"/>
              <a:gd name="connsiteX2" fmla="*/ 1857375 w 2011382"/>
              <a:gd name="connsiteY2" fmla="*/ 142875 h 5742595"/>
              <a:gd name="connsiteX3" fmla="*/ 2009775 w 2011382"/>
              <a:gd name="connsiteY3" fmla="*/ 0 h 5742595"/>
              <a:gd name="connsiteX4" fmla="*/ 2011382 w 2011382"/>
              <a:gd name="connsiteY4" fmla="*/ 4621033 h 5742595"/>
              <a:gd name="connsiteX5" fmla="*/ 1876425 w 2011382"/>
              <a:gd name="connsiteY5" fmla="*/ 4744857 h 5742595"/>
              <a:gd name="connsiteX6" fmla="*/ 228600 w 2011382"/>
              <a:gd name="connsiteY6" fmla="*/ 5701640 h 5742595"/>
              <a:gd name="connsiteX7" fmla="*/ 1606 w 2011382"/>
              <a:gd name="connsiteY7" fmla="*/ 5742595 h 5742595"/>
              <a:gd name="connsiteX8" fmla="*/ 0 w 2011382"/>
              <a:gd name="connsiteY8" fmla="*/ 1302090 h 5742595"/>
              <a:gd name="connsiteX0" fmla="*/ 0 w 2011382"/>
              <a:gd name="connsiteY0" fmla="*/ 1342577 h 5742595"/>
              <a:gd name="connsiteX1" fmla="*/ 209550 w 2011382"/>
              <a:gd name="connsiteY1" fmla="*/ 1047750 h 5742595"/>
              <a:gd name="connsiteX2" fmla="*/ 1857375 w 2011382"/>
              <a:gd name="connsiteY2" fmla="*/ 142875 h 5742595"/>
              <a:gd name="connsiteX3" fmla="*/ 2009775 w 2011382"/>
              <a:gd name="connsiteY3" fmla="*/ 0 h 5742595"/>
              <a:gd name="connsiteX4" fmla="*/ 2011382 w 2011382"/>
              <a:gd name="connsiteY4" fmla="*/ 4621033 h 5742595"/>
              <a:gd name="connsiteX5" fmla="*/ 1876425 w 2011382"/>
              <a:gd name="connsiteY5" fmla="*/ 4744857 h 5742595"/>
              <a:gd name="connsiteX6" fmla="*/ 228600 w 2011382"/>
              <a:gd name="connsiteY6" fmla="*/ 5701640 h 5742595"/>
              <a:gd name="connsiteX7" fmla="*/ 1606 w 2011382"/>
              <a:gd name="connsiteY7" fmla="*/ 5742595 h 5742595"/>
              <a:gd name="connsiteX8" fmla="*/ 0 w 2011382"/>
              <a:gd name="connsiteY8" fmla="*/ 1342577 h 5742595"/>
              <a:gd name="connsiteX0" fmla="*/ 0 w 2011382"/>
              <a:gd name="connsiteY0" fmla="*/ 1342577 h 5742595"/>
              <a:gd name="connsiteX1" fmla="*/ 217468 w 2011382"/>
              <a:gd name="connsiteY1" fmla="*/ 1306864 h 5742595"/>
              <a:gd name="connsiteX2" fmla="*/ 1857375 w 2011382"/>
              <a:gd name="connsiteY2" fmla="*/ 142875 h 5742595"/>
              <a:gd name="connsiteX3" fmla="*/ 2009775 w 2011382"/>
              <a:gd name="connsiteY3" fmla="*/ 0 h 5742595"/>
              <a:gd name="connsiteX4" fmla="*/ 2011382 w 2011382"/>
              <a:gd name="connsiteY4" fmla="*/ 4621033 h 5742595"/>
              <a:gd name="connsiteX5" fmla="*/ 1876425 w 2011382"/>
              <a:gd name="connsiteY5" fmla="*/ 4744857 h 5742595"/>
              <a:gd name="connsiteX6" fmla="*/ 228600 w 2011382"/>
              <a:gd name="connsiteY6" fmla="*/ 5701640 h 5742595"/>
              <a:gd name="connsiteX7" fmla="*/ 1606 w 2011382"/>
              <a:gd name="connsiteY7" fmla="*/ 5742595 h 5742595"/>
              <a:gd name="connsiteX8" fmla="*/ 0 w 2011382"/>
              <a:gd name="connsiteY8" fmla="*/ 1342577 h 5742595"/>
              <a:gd name="connsiteX0" fmla="*/ 0 w 2011382"/>
              <a:gd name="connsiteY0" fmla="*/ 1342577 h 5742595"/>
              <a:gd name="connsiteX1" fmla="*/ 217468 w 2011382"/>
              <a:gd name="connsiteY1" fmla="*/ 1282572 h 5742595"/>
              <a:gd name="connsiteX2" fmla="*/ 1857375 w 2011382"/>
              <a:gd name="connsiteY2" fmla="*/ 142875 h 5742595"/>
              <a:gd name="connsiteX3" fmla="*/ 2009775 w 2011382"/>
              <a:gd name="connsiteY3" fmla="*/ 0 h 5742595"/>
              <a:gd name="connsiteX4" fmla="*/ 2011382 w 2011382"/>
              <a:gd name="connsiteY4" fmla="*/ 4621033 h 5742595"/>
              <a:gd name="connsiteX5" fmla="*/ 1876425 w 2011382"/>
              <a:gd name="connsiteY5" fmla="*/ 4744857 h 5742595"/>
              <a:gd name="connsiteX6" fmla="*/ 228600 w 2011382"/>
              <a:gd name="connsiteY6" fmla="*/ 5701640 h 5742595"/>
              <a:gd name="connsiteX7" fmla="*/ 1606 w 2011382"/>
              <a:gd name="connsiteY7" fmla="*/ 5742595 h 5742595"/>
              <a:gd name="connsiteX8" fmla="*/ 0 w 2011382"/>
              <a:gd name="connsiteY8" fmla="*/ 1342577 h 5742595"/>
              <a:gd name="connsiteX0" fmla="*/ 0 w 2011382"/>
              <a:gd name="connsiteY0" fmla="*/ 1342577 h 5742595"/>
              <a:gd name="connsiteX1" fmla="*/ 217468 w 2011382"/>
              <a:gd name="connsiteY1" fmla="*/ 1282572 h 5742595"/>
              <a:gd name="connsiteX2" fmla="*/ 1873213 w 2011382"/>
              <a:gd name="connsiteY2" fmla="*/ 401989 h 5742595"/>
              <a:gd name="connsiteX3" fmla="*/ 2009775 w 2011382"/>
              <a:gd name="connsiteY3" fmla="*/ 0 h 5742595"/>
              <a:gd name="connsiteX4" fmla="*/ 2011382 w 2011382"/>
              <a:gd name="connsiteY4" fmla="*/ 4621033 h 5742595"/>
              <a:gd name="connsiteX5" fmla="*/ 1876425 w 2011382"/>
              <a:gd name="connsiteY5" fmla="*/ 4744857 h 5742595"/>
              <a:gd name="connsiteX6" fmla="*/ 228600 w 2011382"/>
              <a:gd name="connsiteY6" fmla="*/ 5701640 h 5742595"/>
              <a:gd name="connsiteX7" fmla="*/ 1606 w 2011382"/>
              <a:gd name="connsiteY7" fmla="*/ 5742595 h 5742595"/>
              <a:gd name="connsiteX8" fmla="*/ 0 w 2011382"/>
              <a:gd name="connsiteY8" fmla="*/ 1342577 h 5742595"/>
              <a:gd name="connsiteX0" fmla="*/ 0 w 2011382"/>
              <a:gd name="connsiteY0" fmla="*/ 1115853 h 5515871"/>
              <a:gd name="connsiteX1" fmla="*/ 217468 w 2011382"/>
              <a:gd name="connsiteY1" fmla="*/ 1055848 h 5515871"/>
              <a:gd name="connsiteX2" fmla="*/ 1873213 w 2011382"/>
              <a:gd name="connsiteY2" fmla="*/ 175265 h 5515871"/>
              <a:gd name="connsiteX3" fmla="*/ 2009775 w 2011382"/>
              <a:gd name="connsiteY3" fmla="*/ 0 h 5515871"/>
              <a:gd name="connsiteX4" fmla="*/ 2011382 w 2011382"/>
              <a:gd name="connsiteY4" fmla="*/ 4394309 h 5515871"/>
              <a:gd name="connsiteX5" fmla="*/ 1876425 w 2011382"/>
              <a:gd name="connsiteY5" fmla="*/ 4518133 h 5515871"/>
              <a:gd name="connsiteX6" fmla="*/ 228600 w 2011382"/>
              <a:gd name="connsiteY6" fmla="*/ 5474916 h 5515871"/>
              <a:gd name="connsiteX7" fmla="*/ 1606 w 2011382"/>
              <a:gd name="connsiteY7" fmla="*/ 5515871 h 5515871"/>
              <a:gd name="connsiteX8" fmla="*/ 0 w 2011382"/>
              <a:gd name="connsiteY8" fmla="*/ 1115853 h 5515871"/>
              <a:gd name="connsiteX0" fmla="*/ 0 w 2011382"/>
              <a:gd name="connsiteY0" fmla="*/ 1115853 h 5515871"/>
              <a:gd name="connsiteX1" fmla="*/ 217468 w 2011382"/>
              <a:gd name="connsiteY1" fmla="*/ 1055848 h 5515871"/>
              <a:gd name="connsiteX2" fmla="*/ 1865294 w 2011382"/>
              <a:gd name="connsiteY2" fmla="*/ 150973 h 5515871"/>
              <a:gd name="connsiteX3" fmla="*/ 2009775 w 2011382"/>
              <a:gd name="connsiteY3" fmla="*/ 0 h 5515871"/>
              <a:gd name="connsiteX4" fmla="*/ 2011382 w 2011382"/>
              <a:gd name="connsiteY4" fmla="*/ 4394309 h 5515871"/>
              <a:gd name="connsiteX5" fmla="*/ 1876425 w 2011382"/>
              <a:gd name="connsiteY5" fmla="*/ 4518133 h 5515871"/>
              <a:gd name="connsiteX6" fmla="*/ 228600 w 2011382"/>
              <a:gd name="connsiteY6" fmla="*/ 5474916 h 5515871"/>
              <a:gd name="connsiteX7" fmla="*/ 1606 w 2011382"/>
              <a:gd name="connsiteY7" fmla="*/ 5515871 h 5515871"/>
              <a:gd name="connsiteX8" fmla="*/ 0 w 2011382"/>
              <a:gd name="connsiteY8" fmla="*/ 1115853 h 5515871"/>
              <a:gd name="connsiteX0" fmla="*/ 0 w 2020907"/>
              <a:gd name="connsiteY0" fmla="*/ 1145069 h 5515871"/>
              <a:gd name="connsiteX1" fmla="*/ 226993 w 2020907"/>
              <a:gd name="connsiteY1" fmla="*/ 1055848 h 5515871"/>
              <a:gd name="connsiteX2" fmla="*/ 1874819 w 2020907"/>
              <a:gd name="connsiteY2" fmla="*/ 150973 h 5515871"/>
              <a:gd name="connsiteX3" fmla="*/ 2019300 w 2020907"/>
              <a:gd name="connsiteY3" fmla="*/ 0 h 5515871"/>
              <a:gd name="connsiteX4" fmla="*/ 2020907 w 2020907"/>
              <a:gd name="connsiteY4" fmla="*/ 4394309 h 5515871"/>
              <a:gd name="connsiteX5" fmla="*/ 1885950 w 2020907"/>
              <a:gd name="connsiteY5" fmla="*/ 4518133 h 5515871"/>
              <a:gd name="connsiteX6" fmla="*/ 238125 w 2020907"/>
              <a:gd name="connsiteY6" fmla="*/ 5474916 h 5515871"/>
              <a:gd name="connsiteX7" fmla="*/ 11131 w 2020907"/>
              <a:gd name="connsiteY7" fmla="*/ 5515871 h 5515871"/>
              <a:gd name="connsiteX8" fmla="*/ 0 w 2020907"/>
              <a:gd name="connsiteY8" fmla="*/ 1145069 h 5515871"/>
              <a:gd name="connsiteX0" fmla="*/ 0 w 2020907"/>
              <a:gd name="connsiteY0" fmla="*/ 1145069 h 5515871"/>
              <a:gd name="connsiteX1" fmla="*/ 226993 w 2020907"/>
              <a:gd name="connsiteY1" fmla="*/ 1085063 h 5515871"/>
              <a:gd name="connsiteX2" fmla="*/ 1874819 w 2020907"/>
              <a:gd name="connsiteY2" fmla="*/ 150973 h 5515871"/>
              <a:gd name="connsiteX3" fmla="*/ 2019300 w 2020907"/>
              <a:gd name="connsiteY3" fmla="*/ 0 h 5515871"/>
              <a:gd name="connsiteX4" fmla="*/ 2020907 w 2020907"/>
              <a:gd name="connsiteY4" fmla="*/ 4394309 h 5515871"/>
              <a:gd name="connsiteX5" fmla="*/ 1885950 w 2020907"/>
              <a:gd name="connsiteY5" fmla="*/ 4518133 h 5515871"/>
              <a:gd name="connsiteX6" fmla="*/ 238125 w 2020907"/>
              <a:gd name="connsiteY6" fmla="*/ 5474916 h 5515871"/>
              <a:gd name="connsiteX7" fmla="*/ 11131 w 2020907"/>
              <a:gd name="connsiteY7" fmla="*/ 5515871 h 5515871"/>
              <a:gd name="connsiteX8" fmla="*/ 0 w 2020907"/>
              <a:gd name="connsiteY8" fmla="*/ 1145069 h 5515871"/>
              <a:gd name="connsiteX0" fmla="*/ 0 w 2020907"/>
              <a:gd name="connsiteY0" fmla="*/ 1232716 h 5515871"/>
              <a:gd name="connsiteX1" fmla="*/ 226993 w 2020907"/>
              <a:gd name="connsiteY1" fmla="*/ 1085063 h 5515871"/>
              <a:gd name="connsiteX2" fmla="*/ 1874819 w 2020907"/>
              <a:gd name="connsiteY2" fmla="*/ 150973 h 5515871"/>
              <a:gd name="connsiteX3" fmla="*/ 2019300 w 2020907"/>
              <a:gd name="connsiteY3" fmla="*/ 0 h 5515871"/>
              <a:gd name="connsiteX4" fmla="*/ 2020907 w 2020907"/>
              <a:gd name="connsiteY4" fmla="*/ 4394309 h 5515871"/>
              <a:gd name="connsiteX5" fmla="*/ 1885950 w 2020907"/>
              <a:gd name="connsiteY5" fmla="*/ 4518133 h 5515871"/>
              <a:gd name="connsiteX6" fmla="*/ 238125 w 2020907"/>
              <a:gd name="connsiteY6" fmla="*/ 5474916 h 5515871"/>
              <a:gd name="connsiteX7" fmla="*/ 11131 w 2020907"/>
              <a:gd name="connsiteY7" fmla="*/ 5515871 h 5515871"/>
              <a:gd name="connsiteX8" fmla="*/ 0 w 2020907"/>
              <a:gd name="connsiteY8" fmla="*/ 1232716 h 5515871"/>
              <a:gd name="connsiteX0" fmla="*/ 0 w 2020907"/>
              <a:gd name="connsiteY0" fmla="*/ 1232716 h 5515871"/>
              <a:gd name="connsiteX1" fmla="*/ 226993 w 2020907"/>
              <a:gd name="connsiteY1" fmla="*/ 1143494 h 5515871"/>
              <a:gd name="connsiteX2" fmla="*/ 1874819 w 2020907"/>
              <a:gd name="connsiteY2" fmla="*/ 150973 h 5515871"/>
              <a:gd name="connsiteX3" fmla="*/ 2019300 w 2020907"/>
              <a:gd name="connsiteY3" fmla="*/ 0 h 5515871"/>
              <a:gd name="connsiteX4" fmla="*/ 2020907 w 2020907"/>
              <a:gd name="connsiteY4" fmla="*/ 4394309 h 5515871"/>
              <a:gd name="connsiteX5" fmla="*/ 1885950 w 2020907"/>
              <a:gd name="connsiteY5" fmla="*/ 4518133 h 5515871"/>
              <a:gd name="connsiteX6" fmla="*/ 238125 w 2020907"/>
              <a:gd name="connsiteY6" fmla="*/ 5474916 h 5515871"/>
              <a:gd name="connsiteX7" fmla="*/ 11131 w 2020907"/>
              <a:gd name="connsiteY7" fmla="*/ 5515871 h 5515871"/>
              <a:gd name="connsiteX8" fmla="*/ 0 w 2020907"/>
              <a:gd name="connsiteY8" fmla="*/ 1232716 h 5515871"/>
              <a:gd name="connsiteX0" fmla="*/ 0 w 2020907"/>
              <a:gd name="connsiteY0" fmla="*/ 1232716 h 5515871"/>
              <a:gd name="connsiteX1" fmla="*/ 226993 w 2020907"/>
              <a:gd name="connsiteY1" fmla="*/ 1143494 h 5515871"/>
              <a:gd name="connsiteX2" fmla="*/ 1874819 w 2020907"/>
              <a:gd name="connsiteY2" fmla="*/ 219143 h 5515871"/>
              <a:gd name="connsiteX3" fmla="*/ 2019300 w 2020907"/>
              <a:gd name="connsiteY3" fmla="*/ 0 h 5515871"/>
              <a:gd name="connsiteX4" fmla="*/ 2020907 w 2020907"/>
              <a:gd name="connsiteY4" fmla="*/ 4394309 h 5515871"/>
              <a:gd name="connsiteX5" fmla="*/ 1885950 w 2020907"/>
              <a:gd name="connsiteY5" fmla="*/ 4518133 h 5515871"/>
              <a:gd name="connsiteX6" fmla="*/ 238125 w 2020907"/>
              <a:gd name="connsiteY6" fmla="*/ 5474916 h 5515871"/>
              <a:gd name="connsiteX7" fmla="*/ 11131 w 2020907"/>
              <a:gd name="connsiteY7" fmla="*/ 5515871 h 5515871"/>
              <a:gd name="connsiteX8" fmla="*/ 0 w 2020907"/>
              <a:gd name="connsiteY8" fmla="*/ 1232716 h 5515871"/>
              <a:gd name="connsiteX0" fmla="*/ 0 w 2020907"/>
              <a:gd name="connsiteY0" fmla="*/ 1106116 h 5389271"/>
              <a:gd name="connsiteX1" fmla="*/ 226993 w 2020907"/>
              <a:gd name="connsiteY1" fmla="*/ 1016894 h 5389271"/>
              <a:gd name="connsiteX2" fmla="*/ 1874819 w 2020907"/>
              <a:gd name="connsiteY2" fmla="*/ 92543 h 5389271"/>
              <a:gd name="connsiteX3" fmla="*/ 2019300 w 2020907"/>
              <a:gd name="connsiteY3" fmla="*/ 0 h 5389271"/>
              <a:gd name="connsiteX4" fmla="*/ 2020907 w 2020907"/>
              <a:gd name="connsiteY4" fmla="*/ 4267709 h 5389271"/>
              <a:gd name="connsiteX5" fmla="*/ 1885950 w 2020907"/>
              <a:gd name="connsiteY5" fmla="*/ 4391533 h 5389271"/>
              <a:gd name="connsiteX6" fmla="*/ 238125 w 2020907"/>
              <a:gd name="connsiteY6" fmla="*/ 5348316 h 5389271"/>
              <a:gd name="connsiteX7" fmla="*/ 11131 w 2020907"/>
              <a:gd name="connsiteY7" fmla="*/ 5389271 h 5389271"/>
              <a:gd name="connsiteX8" fmla="*/ 0 w 2020907"/>
              <a:gd name="connsiteY8" fmla="*/ 1106116 h 5389271"/>
              <a:gd name="connsiteX0" fmla="*/ 0 w 2020907"/>
              <a:gd name="connsiteY0" fmla="*/ 1135331 h 5418486"/>
              <a:gd name="connsiteX1" fmla="*/ 226993 w 2020907"/>
              <a:gd name="connsiteY1" fmla="*/ 1046109 h 5418486"/>
              <a:gd name="connsiteX2" fmla="*/ 1874819 w 2020907"/>
              <a:gd name="connsiteY2" fmla="*/ 121758 h 5418486"/>
              <a:gd name="connsiteX3" fmla="*/ 2019300 w 2020907"/>
              <a:gd name="connsiteY3" fmla="*/ 0 h 5418486"/>
              <a:gd name="connsiteX4" fmla="*/ 2020907 w 2020907"/>
              <a:gd name="connsiteY4" fmla="*/ 4296924 h 5418486"/>
              <a:gd name="connsiteX5" fmla="*/ 1885950 w 2020907"/>
              <a:gd name="connsiteY5" fmla="*/ 4420748 h 5418486"/>
              <a:gd name="connsiteX6" fmla="*/ 238125 w 2020907"/>
              <a:gd name="connsiteY6" fmla="*/ 5377531 h 5418486"/>
              <a:gd name="connsiteX7" fmla="*/ 11131 w 2020907"/>
              <a:gd name="connsiteY7" fmla="*/ 5418486 h 5418486"/>
              <a:gd name="connsiteX8" fmla="*/ 0 w 2020907"/>
              <a:gd name="connsiteY8" fmla="*/ 1135331 h 5418486"/>
              <a:gd name="connsiteX0" fmla="*/ 0 w 2020907"/>
              <a:gd name="connsiteY0" fmla="*/ 1092147 h 5375302"/>
              <a:gd name="connsiteX1" fmla="*/ 226993 w 2020907"/>
              <a:gd name="connsiteY1" fmla="*/ 1002925 h 5375302"/>
              <a:gd name="connsiteX2" fmla="*/ 1874819 w 2020907"/>
              <a:gd name="connsiteY2" fmla="*/ 78574 h 5375302"/>
              <a:gd name="connsiteX3" fmla="*/ 2005119 w 2020907"/>
              <a:gd name="connsiteY3" fmla="*/ 0 h 5375302"/>
              <a:gd name="connsiteX4" fmla="*/ 2020907 w 2020907"/>
              <a:gd name="connsiteY4" fmla="*/ 4253740 h 5375302"/>
              <a:gd name="connsiteX5" fmla="*/ 1885950 w 2020907"/>
              <a:gd name="connsiteY5" fmla="*/ 4377564 h 5375302"/>
              <a:gd name="connsiteX6" fmla="*/ 238125 w 2020907"/>
              <a:gd name="connsiteY6" fmla="*/ 5334347 h 5375302"/>
              <a:gd name="connsiteX7" fmla="*/ 11131 w 2020907"/>
              <a:gd name="connsiteY7" fmla="*/ 5375302 h 5375302"/>
              <a:gd name="connsiteX8" fmla="*/ 0 w 2020907"/>
              <a:gd name="connsiteY8" fmla="*/ 1092147 h 5375302"/>
              <a:gd name="connsiteX0" fmla="*/ 0 w 2020907"/>
              <a:gd name="connsiteY0" fmla="*/ 1092147 h 5375302"/>
              <a:gd name="connsiteX1" fmla="*/ 226993 w 2020907"/>
              <a:gd name="connsiteY1" fmla="*/ 1061361 h 5375302"/>
              <a:gd name="connsiteX2" fmla="*/ 1874819 w 2020907"/>
              <a:gd name="connsiteY2" fmla="*/ 78574 h 5375302"/>
              <a:gd name="connsiteX3" fmla="*/ 2005119 w 2020907"/>
              <a:gd name="connsiteY3" fmla="*/ 0 h 5375302"/>
              <a:gd name="connsiteX4" fmla="*/ 2020907 w 2020907"/>
              <a:gd name="connsiteY4" fmla="*/ 4253740 h 5375302"/>
              <a:gd name="connsiteX5" fmla="*/ 1885950 w 2020907"/>
              <a:gd name="connsiteY5" fmla="*/ 4377564 h 5375302"/>
              <a:gd name="connsiteX6" fmla="*/ 238125 w 2020907"/>
              <a:gd name="connsiteY6" fmla="*/ 5334347 h 5375302"/>
              <a:gd name="connsiteX7" fmla="*/ 11131 w 2020907"/>
              <a:gd name="connsiteY7" fmla="*/ 5375302 h 5375302"/>
              <a:gd name="connsiteX8" fmla="*/ 0 w 2020907"/>
              <a:gd name="connsiteY8" fmla="*/ 1092147 h 5375302"/>
              <a:gd name="connsiteX0" fmla="*/ 0 w 2020907"/>
              <a:gd name="connsiteY0" fmla="*/ 1131104 h 5375302"/>
              <a:gd name="connsiteX1" fmla="*/ 226993 w 2020907"/>
              <a:gd name="connsiteY1" fmla="*/ 1061361 h 5375302"/>
              <a:gd name="connsiteX2" fmla="*/ 1874819 w 2020907"/>
              <a:gd name="connsiteY2" fmla="*/ 78574 h 5375302"/>
              <a:gd name="connsiteX3" fmla="*/ 2005119 w 2020907"/>
              <a:gd name="connsiteY3" fmla="*/ 0 h 5375302"/>
              <a:gd name="connsiteX4" fmla="*/ 2020907 w 2020907"/>
              <a:gd name="connsiteY4" fmla="*/ 4253740 h 5375302"/>
              <a:gd name="connsiteX5" fmla="*/ 1885950 w 2020907"/>
              <a:gd name="connsiteY5" fmla="*/ 4377564 h 5375302"/>
              <a:gd name="connsiteX6" fmla="*/ 238125 w 2020907"/>
              <a:gd name="connsiteY6" fmla="*/ 5334347 h 5375302"/>
              <a:gd name="connsiteX7" fmla="*/ 11131 w 2020907"/>
              <a:gd name="connsiteY7" fmla="*/ 5375302 h 5375302"/>
              <a:gd name="connsiteX8" fmla="*/ 0 w 2020907"/>
              <a:gd name="connsiteY8" fmla="*/ 1131104 h 5375302"/>
              <a:gd name="connsiteX0" fmla="*/ 0 w 2020907"/>
              <a:gd name="connsiteY0" fmla="*/ 1131104 h 5375302"/>
              <a:gd name="connsiteX1" fmla="*/ 226993 w 2020907"/>
              <a:gd name="connsiteY1" fmla="*/ 1061361 h 5375302"/>
              <a:gd name="connsiteX2" fmla="*/ 1874819 w 2020907"/>
              <a:gd name="connsiteY2" fmla="*/ 107792 h 5375302"/>
              <a:gd name="connsiteX3" fmla="*/ 2005119 w 2020907"/>
              <a:gd name="connsiteY3" fmla="*/ 0 h 5375302"/>
              <a:gd name="connsiteX4" fmla="*/ 2020907 w 2020907"/>
              <a:gd name="connsiteY4" fmla="*/ 4253740 h 5375302"/>
              <a:gd name="connsiteX5" fmla="*/ 1885950 w 2020907"/>
              <a:gd name="connsiteY5" fmla="*/ 4377564 h 5375302"/>
              <a:gd name="connsiteX6" fmla="*/ 238125 w 2020907"/>
              <a:gd name="connsiteY6" fmla="*/ 5334347 h 5375302"/>
              <a:gd name="connsiteX7" fmla="*/ 11131 w 2020907"/>
              <a:gd name="connsiteY7" fmla="*/ 5375302 h 5375302"/>
              <a:gd name="connsiteX8" fmla="*/ 0 w 2020907"/>
              <a:gd name="connsiteY8" fmla="*/ 1131104 h 53753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2020907" h="5375302">
                <a:moveTo>
                  <a:pt x="0" y="1131104"/>
                </a:moveTo>
                <a:lnTo>
                  <a:pt x="226993" y="1061361"/>
                </a:lnTo>
                <a:lnTo>
                  <a:pt x="1874819" y="107792"/>
                </a:lnTo>
                <a:lnTo>
                  <a:pt x="2005119" y="0"/>
                </a:lnTo>
                <a:cubicBezTo>
                  <a:pt x="2005655" y="1540344"/>
                  <a:pt x="2020371" y="2713396"/>
                  <a:pt x="2020907" y="4253740"/>
                </a:cubicBezTo>
                <a:lnTo>
                  <a:pt x="1885950" y="4377564"/>
                </a:lnTo>
                <a:lnTo>
                  <a:pt x="238125" y="5334347"/>
                </a:lnTo>
                <a:lnTo>
                  <a:pt x="11131" y="5375302"/>
                </a:lnTo>
                <a:cubicBezTo>
                  <a:pt x="10596" y="3843851"/>
                  <a:pt x="535" y="2662555"/>
                  <a:pt x="0" y="1131104"/>
                </a:cubicBezTo>
                <a:close/>
              </a:path>
            </a:pathLst>
          </a:custGeom>
          <a:no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222" name="Straight Connector 221"/>
          <xdr:cNvCxnSpPr/>
        </xdr:nvCxnSpPr>
        <xdr:spPr>
          <a:xfrm flipH="1">
            <a:off x="6488526" y="10874742"/>
            <a:ext cx="401057" cy="233156"/>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265" name="Freeform 264"/>
          <xdr:cNvSpPr/>
        </xdr:nvSpPr>
        <xdr:spPr bwMode="auto">
          <a:xfrm>
            <a:off x="4581526" y="10998688"/>
            <a:ext cx="1993653" cy="1135892"/>
          </a:xfrm>
          <a:custGeom>
            <a:avLst/>
            <a:gdLst>
              <a:gd name="connsiteX0" fmla="*/ 0 w 1971675"/>
              <a:gd name="connsiteY0" fmla="*/ 1123950 h 1123950"/>
              <a:gd name="connsiteX1" fmla="*/ 1971675 w 1971675"/>
              <a:gd name="connsiteY1" fmla="*/ 0 h 1123950"/>
              <a:gd name="connsiteX2" fmla="*/ 1838325 w 1971675"/>
              <a:gd name="connsiteY2" fmla="*/ 123825 h 1123950"/>
              <a:gd name="connsiteX3" fmla="*/ 209550 w 1971675"/>
              <a:gd name="connsiteY3" fmla="*/ 1057275 h 1123950"/>
              <a:gd name="connsiteX4" fmla="*/ 0 w 1971675"/>
              <a:gd name="connsiteY4" fmla="*/ 1123950 h 1123950"/>
              <a:gd name="connsiteX0" fmla="*/ 0 w 1971675"/>
              <a:gd name="connsiteY0" fmla="*/ 1123950 h 1123950"/>
              <a:gd name="connsiteX1" fmla="*/ 1971675 w 1971675"/>
              <a:gd name="connsiteY1" fmla="*/ 0 h 1123950"/>
              <a:gd name="connsiteX2" fmla="*/ 1864082 w 1971675"/>
              <a:gd name="connsiteY2" fmla="*/ 109621 h 1123950"/>
              <a:gd name="connsiteX3" fmla="*/ 209550 w 1971675"/>
              <a:gd name="connsiteY3" fmla="*/ 1057275 h 1123950"/>
              <a:gd name="connsiteX4" fmla="*/ 0 w 1971675"/>
              <a:gd name="connsiteY4" fmla="*/ 1123950 h 1123950"/>
              <a:gd name="connsiteX0" fmla="*/ 0 w 1993623"/>
              <a:gd name="connsiteY0" fmla="*/ 1141130 h 1141130"/>
              <a:gd name="connsiteX1" fmla="*/ 1993623 w 1993623"/>
              <a:gd name="connsiteY1" fmla="*/ 0 h 1141130"/>
              <a:gd name="connsiteX2" fmla="*/ 1864082 w 1993623"/>
              <a:gd name="connsiteY2" fmla="*/ 126801 h 1141130"/>
              <a:gd name="connsiteX3" fmla="*/ 209550 w 1993623"/>
              <a:gd name="connsiteY3" fmla="*/ 1074455 h 1141130"/>
              <a:gd name="connsiteX4" fmla="*/ 0 w 1993623"/>
              <a:gd name="connsiteY4" fmla="*/ 1141130 h 1141130"/>
              <a:gd name="connsiteX0" fmla="*/ 0 w 1993623"/>
              <a:gd name="connsiteY0" fmla="*/ 1136221 h 1136221"/>
              <a:gd name="connsiteX1" fmla="*/ 1993623 w 1993623"/>
              <a:gd name="connsiteY1" fmla="*/ 0 h 1136221"/>
              <a:gd name="connsiteX2" fmla="*/ 1864082 w 1993623"/>
              <a:gd name="connsiteY2" fmla="*/ 121892 h 1136221"/>
              <a:gd name="connsiteX3" fmla="*/ 209550 w 1993623"/>
              <a:gd name="connsiteY3" fmla="*/ 1069546 h 1136221"/>
              <a:gd name="connsiteX4" fmla="*/ 0 w 1993623"/>
              <a:gd name="connsiteY4" fmla="*/ 1136221 h 1136221"/>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93623" h="1136221">
                <a:moveTo>
                  <a:pt x="0" y="1136221"/>
                </a:moveTo>
                <a:lnTo>
                  <a:pt x="1993623" y="0"/>
                </a:lnTo>
                <a:lnTo>
                  <a:pt x="1864082" y="121892"/>
                </a:lnTo>
                <a:lnTo>
                  <a:pt x="209550" y="1069546"/>
                </a:lnTo>
                <a:lnTo>
                  <a:pt x="0" y="1136221"/>
                </a:lnTo>
                <a:close/>
              </a:path>
            </a:pathLst>
          </a:custGeom>
          <a:solidFill>
            <a:schemeClr val="accent1">
              <a:lumMod val="20000"/>
              <a:lumOff val="80000"/>
            </a:schemeClr>
          </a:solidFill>
          <a:ln w="952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xnSp macro="">
        <xdr:nvCxnSpPr>
          <xdr:cNvPr id="211" name="Straight Arrow Connector 210"/>
          <xdr:cNvCxnSpPr/>
        </xdr:nvCxnSpPr>
        <xdr:spPr>
          <a:xfrm flipH="1">
            <a:off x="6758882" y="10725150"/>
            <a:ext cx="1" cy="2286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xnSp macro="">
        <xdr:nvCxnSpPr>
          <xdr:cNvPr id="212" name="Straight Arrow Connector 211"/>
          <xdr:cNvCxnSpPr/>
        </xdr:nvCxnSpPr>
        <xdr:spPr>
          <a:xfrm flipH="1" flipV="1">
            <a:off x="6758882" y="10315575"/>
            <a:ext cx="2" cy="2381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sp macro="" textlink="">
        <xdr:nvSpPr>
          <xdr:cNvPr id="213" name="TextBox 212"/>
          <xdr:cNvSpPr txBox="1"/>
        </xdr:nvSpPr>
        <xdr:spPr>
          <a:xfrm>
            <a:off x="6606481" y="10487025"/>
            <a:ext cx="1047751"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̴10-20</a:t>
            </a:r>
            <a:r>
              <a:rPr lang="en-US" sz="1600" b="1" baseline="0"/>
              <a:t> mm</a:t>
            </a:r>
            <a:endParaRPr lang="en-US" sz="1600" b="1"/>
          </a:p>
        </xdr:txBody>
      </xdr:sp>
      <xdr:cxnSp macro="">
        <xdr:nvCxnSpPr>
          <xdr:cNvPr id="214" name="Straight Connector 213"/>
          <xdr:cNvCxnSpPr/>
        </xdr:nvCxnSpPr>
        <xdr:spPr>
          <a:xfrm flipH="1">
            <a:off x="6484658" y="10874742"/>
            <a:ext cx="401057" cy="233156"/>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15" name="Straight Arrow Connector 214"/>
          <xdr:cNvCxnSpPr/>
        </xdr:nvCxnSpPr>
        <xdr:spPr>
          <a:xfrm flipH="1">
            <a:off x="6749357" y="11125200"/>
            <a:ext cx="1" cy="2286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xnSp macro="">
        <xdr:nvCxnSpPr>
          <xdr:cNvPr id="216" name="Straight Arrow Connector 215"/>
          <xdr:cNvCxnSpPr/>
        </xdr:nvCxnSpPr>
        <xdr:spPr>
          <a:xfrm flipH="1" flipV="1">
            <a:off x="6749357" y="10953750"/>
            <a:ext cx="2" cy="2381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xnSp macro="">
        <xdr:nvCxnSpPr>
          <xdr:cNvPr id="226" name="Straight Connector 225"/>
          <xdr:cNvCxnSpPr/>
        </xdr:nvCxnSpPr>
        <xdr:spPr>
          <a:xfrm flipH="1">
            <a:off x="6475133" y="11274792"/>
            <a:ext cx="401057" cy="233156"/>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21" name="TextBox 20"/>
          <xdr:cNvSpPr txBox="1"/>
        </xdr:nvSpPr>
        <xdr:spPr>
          <a:xfrm>
            <a:off x="7229475" y="1127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grpSp>
    <xdr:clientData/>
  </xdr:twoCellAnchor>
  <xdr:twoCellAnchor>
    <xdr:from>
      <xdr:col>10</xdr:col>
      <xdr:colOff>361950</xdr:colOff>
      <xdr:row>74</xdr:row>
      <xdr:rowOff>133351</xdr:rowOff>
    </xdr:from>
    <xdr:to>
      <xdr:col>14</xdr:col>
      <xdr:colOff>266700</xdr:colOff>
      <xdr:row>78</xdr:row>
      <xdr:rowOff>152401</xdr:rowOff>
    </xdr:to>
    <xdr:sp macro="" textlink="">
      <xdr:nvSpPr>
        <xdr:cNvPr id="227" name="AutoShape 474"/>
        <xdr:cNvSpPr>
          <a:spLocks/>
        </xdr:cNvSpPr>
      </xdr:nvSpPr>
      <xdr:spPr bwMode="auto">
        <a:xfrm>
          <a:off x="6457950" y="12115801"/>
          <a:ext cx="2343150" cy="666750"/>
        </a:xfrm>
        <a:prstGeom prst="callout2">
          <a:avLst>
            <a:gd name="adj1" fmla="val 22053"/>
            <a:gd name="adj2" fmla="val -2924"/>
            <a:gd name="adj3" fmla="val 20624"/>
            <a:gd name="adj4" fmla="val -17621"/>
            <a:gd name="adj5" fmla="val -13982"/>
            <a:gd name="adj6" fmla="val -30695"/>
          </a:avLst>
        </a:prstGeom>
        <a:solidFill>
          <a:srgbClr val="FFFFFF"/>
        </a:solidFill>
        <a:ln w="12700">
          <a:solidFill>
            <a:srgbClr val="000000"/>
          </a:solidFill>
          <a:miter lim="800000"/>
          <a:headEnd/>
          <a:tailEnd type="triangle" w="lg" len="lg"/>
        </a:ln>
      </xdr:spPr>
      <xdr:txBody>
        <a:bodyPr vertOverflow="clip" wrap="square" lIns="0" tIns="32004" rIns="36576" bIns="0" anchor="t" upright="1"/>
        <a:lstStyle/>
        <a:p>
          <a:pPr algn="l" rtl="0">
            <a:defRPr sz="1000"/>
          </a:pPr>
          <a:r>
            <a:rPr lang="en-US" sz="1600" b="1" i="0" u="none" strike="noStrike" baseline="0">
              <a:solidFill>
                <a:srgbClr val="000000"/>
              </a:solidFill>
              <a:latin typeface="Arial"/>
              <a:cs typeface="Arial"/>
            </a:rPr>
            <a:t>Aluminum Sleeve Provides  Air Channels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28576</xdr:colOff>
      <xdr:row>80</xdr:row>
      <xdr:rowOff>19050</xdr:rowOff>
    </xdr:from>
    <xdr:to>
      <xdr:col>12</xdr:col>
      <xdr:colOff>561976</xdr:colOff>
      <xdr:row>86</xdr:row>
      <xdr:rowOff>114300</xdr:rowOff>
    </xdr:to>
    <xdr:sp macro="" textlink="">
      <xdr:nvSpPr>
        <xdr:cNvPr id="2" name="TextBox 1"/>
        <xdr:cNvSpPr txBox="1"/>
      </xdr:nvSpPr>
      <xdr:spPr>
        <a:xfrm>
          <a:off x="1857376" y="12973050"/>
          <a:ext cx="6019800" cy="1066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t>Module</a:t>
          </a:r>
          <a:r>
            <a:rPr lang="en-US" sz="2400" b="1" baseline="0"/>
            <a:t> </a:t>
          </a:r>
          <a:r>
            <a:rPr lang="en-US" sz="2400" b="1" baseline="0">
              <a:solidFill>
                <a:schemeClr val="dk1"/>
              </a:solidFill>
              <a:effectLst/>
              <a:latin typeface="+mn-lt"/>
              <a:ea typeface="+mn-ea"/>
              <a:cs typeface="+mn-cs"/>
            </a:rPr>
            <a:t>Designed for Air Cooling </a:t>
          </a:r>
          <a:r>
            <a:rPr lang="en-US" sz="2400" b="1" baseline="0"/>
            <a:t>with Polymer Container Open on Top and Bottom </a:t>
          </a:r>
        </a:p>
      </xdr:txBody>
    </xdr:sp>
    <xdr:clientData/>
  </xdr:twoCellAnchor>
  <xdr:twoCellAnchor>
    <xdr:from>
      <xdr:col>0</xdr:col>
      <xdr:colOff>257175</xdr:colOff>
      <xdr:row>45</xdr:row>
      <xdr:rowOff>66675</xdr:rowOff>
    </xdr:from>
    <xdr:to>
      <xdr:col>16</xdr:col>
      <xdr:colOff>247650</xdr:colOff>
      <xdr:row>81</xdr:row>
      <xdr:rowOff>85726</xdr:rowOff>
    </xdr:to>
    <xdr:grpSp>
      <xdr:nvGrpSpPr>
        <xdr:cNvPr id="3" name="Group 2"/>
        <xdr:cNvGrpSpPr/>
      </xdr:nvGrpSpPr>
      <xdr:grpSpPr>
        <a:xfrm>
          <a:off x="257175" y="7353300"/>
          <a:ext cx="9744075" cy="5848351"/>
          <a:chOff x="257175" y="6867525"/>
          <a:chExt cx="9744075" cy="5848351"/>
        </a:xfrm>
      </xdr:grpSpPr>
      <xdr:sp macro="" textlink="">
        <xdr:nvSpPr>
          <xdr:cNvPr id="4" name="Rectangle 3"/>
          <xdr:cNvSpPr/>
        </xdr:nvSpPr>
        <xdr:spPr>
          <a:xfrm>
            <a:off x="8496300" y="7534276"/>
            <a:ext cx="1228725" cy="4000500"/>
          </a:xfrm>
          <a:prstGeom prst="rect">
            <a:avLst/>
          </a:prstGeom>
          <a:solidFill>
            <a:schemeClr val="tx1">
              <a:lumMod val="50000"/>
              <a:lumOff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5" name="Group 4"/>
          <xdr:cNvGrpSpPr/>
        </xdr:nvGrpSpPr>
        <xdr:grpSpPr>
          <a:xfrm>
            <a:off x="257175" y="7162800"/>
            <a:ext cx="7515500" cy="4962525"/>
            <a:chOff x="257175" y="7162800"/>
            <a:chExt cx="7515500" cy="4962525"/>
          </a:xfrm>
        </xdr:grpSpPr>
        <xdr:sp macro="" textlink="">
          <xdr:nvSpPr>
            <xdr:cNvPr id="118" name="Freeform 117"/>
            <xdr:cNvSpPr/>
          </xdr:nvSpPr>
          <xdr:spPr>
            <a:xfrm>
              <a:off x="2771774" y="7162800"/>
              <a:ext cx="4972051" cy="2200275"/>
            </a:xfrm>
            <a:custGeom>
              <a:avLst/>
              <a:gdLst>
                <a:gd name="connsiteX0" fmla="*/ 0 w 4810125"/>
                <a:gd name="connsiteY0" fmla="*/ 1838325 h 1933575"/>
                <a:gd name="connsiteX1" fmla="*/ 1828800 w 4810125"/>
                <a:gd name="connsiteY1" fmla="*/ 0 h 1933575"/>
                <a:gd name="connsiteX2" fmla="*/ 4810125 w 4810125"/>
                <a:gd name="connsiteY2" fmla="*/ 19050 h 1933575"/>
                <a:gd name="connsiteX3" fmla="*/ 1600200 w 4810125"/>
                <a:gd name="connsiteY3" fmla="*/ 1933575 h 1933575"/>
                <a:gd name="connsiteX4" fmla="*/ 0 w 4810125"/>
                <a:gd name="connsiteY4" fmla="*/ 1838325 h 1933575"/>
                <a:gd name="connsiteX0" fmla="*/ 0 w 4810125"/>
                <a:gd name="connsiteY0" fmla="*/ 1847850 h 1943100"/>
                <a:gd name="connsiteX1" fmla="*/ 1828800 w 4810125"/>
                <a:gd name="connsiteY1" fmla="*/ 9525 h 1943100"/>
                <a:gd name="connsiteX2" fmla="*/ 4810125 w 4810125"/>
                <a:gd name="connsiteY2" fmla="*/ 0 h 1943100"/>
                <a:gd name="connsiteX3" fmla="*/ 1600200 w 4810125"/>
                <a:gd name="connsiteY3" fmla="*/ 1943100 h 1943100"/>
                <a:gd name="connsiteX4" fmla="*/ 0 w 4810125"/>
                <a:gd name="connsiteY4" fmla="*/ 1847850 h 1943100"/>
                <a:gd name="connsiteX0" fmla="*/ 0 w 4810125"/>
                <a:gd name="connsiteY0" fmla="*/ 1847850 h 2200275"/>
                <a:gd name="connsiteX1" fmla="*/ 1828800 w 4810125"/>
                <a:gd name="connsiteY1" fmla="*/ 9525 h 2200275"/>
                <a:gd name="connsiteX2" fmla="*/ 4810125 w 4810125"/>
                <a:gd name="connsiteY2" fmla="*/ 0 h 2200275"/>
                <a:gd name="connsiteX3" fmla="*/ 3343275 w 4810125"/>
                <a:gd name="connsiteY3" fmla="*/ 2200275 h 2200275"/>
                <a:gd name="connsiteX4" fmla="*/ 0 w 4810125"/>
                <a:gd name="connsiteY4" fmla="*/ 1847850 h 2200275"/>
                <a:gd name="connsiteX0" fmla="*/ 0 w 4933950"/>
                <a:gd name="connsiteY0" fmla="*/ 1857375 h 2200275"/>
                <a:gd name="connsiteX1" fmla="*/ 1952625 w 4933950"/>
                <a:gd name="connsiteY1" fmla="*/ 9525 h 2200275"/>
                <a:gd name="connsiteX2" fmla="*/ 4933950 w 4933950"/>
                <a:gd name="connsiteY2" fmla="*/ 0 h 2200275"/>
                <a:gd name="connsiteX3" fmla="*/ 3467100 w 4933950"/>
                <a:gd name="connsiteY3" fmla="*/ 2200275 h 2200275"/>
                <a:gd name="connsiteX4" fmla="*/ 0 w 4933950"/>
                <a:gd name="connsiteY4" fmla="*/ 1857375 h 2200275"/>
                <a:gd name="connsiteX0" fmla="*/ 0 w 4933950"/>
                <a:gd name="connsiteY0" fmla="*/ 1857375 h 2200275"/>
                <a:gd name="connsiteX1" fmla="*/ 1771650 w 4933950"/>
                <a:gd name="connsiteY1" fmla="*/ 0 h 2200275"/>
                <a:gd name="connsiteX2" fmla="*/ 4933950 w 4933950"/>
                <a:gd name="connsiteY2" fmla="*/ 0 h 2200275"/>
                <a:gd name="connsiteX3" fmla="*/ 3467100 w 4933950"/>
                <a:gd name="connsiteY3" fmla="*/ 2200275 h 2200275"/>
                <a:gd name="connsiteX4" fmla="*/ 0 w 4933950"/>
                <a:gd name="connsiteY4" fmla="*/ 1857375 h 2200275"/>
                <a:gd name="connsiteX0" fmla="*/ 0 w 5000625"/>
                <a:gd name="connsiteY0" fmla="*/ 1857375 h 2200275"/>
                <a:gd name="connsiteX1" fmla="*/ 1838325 w 5000625"/>
                <a:gd name="connsiteY1" fmla="*/ 0 h 2200275"/>
                <a:gd name="connsiteX2" fmla="*/ 5000625 w 5000625"/>
                <a:gd name="connsiteY2" fmla="*/ 0 h 2200275"/>
                <a:gd name="connsiteX3" fmla="*/ 3533775 w 5000625"/>
                <a:gd name="connsiteY3" fmla="*/ 2200275 h 2200275"/>
                <a:gd name="connsiteX4" fmla="*/ 0 w 5000625"/>
                <a:gd name="connsiteY4" fmla="*/ 1857375 h 220027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5000625" h="2200275">
                  <a:moveTo>
                    <a:pt x="0" y="1857375"/>
                  </a:moveTo>
                  <a:lnTo>
                    <a:pt x="1838325" y="0"/>
                  </a:lnTo>
                  <a:lnTo>
                    <a:pt x="5000625" y="0"/>
                  </a:lnTo>
                  <a:lnTo>
                    <a:pt x="3533775" y="2200275"/>
                  </a:lnTo>
                  <a:lnTo>
                    <a:pt x="0" y="1857375"/>
                  </a:lnTo>
                  <a:close/>
                </a:path>
              </a:pathLst>
            </a:custGeom>
            <a:gradFill flip="none" rotWithShape="1">
              <a:gsLst>
                <a:gs pos="0">
                  <a:schemeClr val="tx2">
                    <a:lumMod val="20000"/>
                    <a:lumOff val="80000"/>
                    <a:shade val="30000"/>
                    <a:satMod val="115000"/>
                  </a:schemeClr>
                </a:gs>
                <a:gs pos="50000">
                  <a:schemeClr val="tx2">
                    <a:lumMod val="20000"/>
                    <a:lumOff val="80000"/>
                    <a:shade val="67500"/>
                    <a:satMod val="115000"/>
                  </a:schemeClr>
                </a:gs>
                <a:gs pos="100000">
                  <a:schemeClr val="tx2">
                    <a:lumMod val="20000"/>
                    <a:lumOff val="80000"/>
                    <a:shade val="100000"/>
                    <a:satMod val="115000"/>
                  </a:schemeClr>
                </a:gs>
              </a:gsLst>
              <a:path path="circle">
                <a:fillToRect l="100000" b="100000"/>
              </a:path>
              <a:tileRect t="-100000" r="-100000"/>
            </a:gra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9" name="Freeform 118"/>
            <xdr:cNvSpPr/>
          </xdr:nvSpPr>
          <xdr:spPr>
            <a:xfrm>
              <a:off x="3114761" y="7180107"/>
              <a:ext cx="1796421" cy="1829703"/>
            </a:xfrm>
            <a:custGeom>
              <a:avLst/>
              <a:gdLst>
                <a:gd name="connsiteX0" fmla="*/ 1733550 w 1733550"/>
                <a:gd name="connsiteY0" fmla="*/ 0 h 1800225"/>
                <a:gd name="connsiteX1" fmla="*/ 1733550 w 1733550"/>
                <a:gd name="connsiteY1" fmla="*/ 219075 h 1800225"/>
                <a:gd name="connsiteX2" fmla="*/ 200025 w 1733550"/>
                <a:gd name="connsiteY2" fmla="*/ 1800225 h 1800225"/>
                <a:gd name="connsiteX3" fmla="*/ 0 w 1733550"/>
                <a:gd name="connsiteY3" fmla="*/ 1790700 h 1800225"/>
                <a:gd name="connsiteX4" fmla="*/ 1733550 w 1733550"/>
                <a:gd name="connsiteY4" fmla="*/ 0 h 1800225"/>
                <a:gd name="connsiteX0" fmla="*/ 1746250 w 1746250"/>
                <a:gd name="connsiteY0" fmla="*/ 0 h 1800225"/>
                <a:gd name="connsiteX1" fmla="*/ 1746250 w 1746250"/>
                <a:gd name="connsiteY1" fmla="*/ 219075 h 1800225"/>
                <a:gd name="connsiteX2" fmla="*/ 212725 w 1746250"/>
                <a:gd name="connsiteY2" fmla="*/ 1800225 h 1800225"/>
                <a:gd name="connsiteX3" fmla="*/ 0 w 1746250"/>
                <a:gd name="connsiteY3" fmla="*/ 1790700 h 1800225"/>
                <a:gd name="connsiteX4" fmla="*/ 1746250 w 1746250"/>
                <a:gd name="connsiteY4" fmla="*/ 0 h 1800225"/>
                <a:gd name="connsiteX0" fmla="*/ 1746250 w 1746250"/>
                <a:gd name="connsiteY0" fmla="*/ 0 h 1795964"/>
                <a:gd name="connsiteX1" fmla="*/ 1746250 w 1746250"/>
                <a:gd name="connsiteY1" fmla="*/ 219075 h 1795964"/>
                <a:gd name="connsiteX2" fmla="*/ 221192 w 1746250"/>
                <a:gd name="connsiteY2" fmla="*/ 1795964 h 1795964"/>
                <a:gd name="connsiteX3" fmla="*/ 0 w 1746250"/>
                <a:gd name="connsiteY3" fmla="*/ 1790700 h 1795964"/>
                <a:gd name="connsiteX4" fmla="*/ 1746250 w 1746250"/>
                <a:gd name="connsiteY4" fmla="*/ 0 h 1795964"/>
                <a:gd name="connsiteX0" fmla="*/ 1752056 w 1752056"/>
                <a:gd name="connsiteY0" fmla="*/ 0 h 1845121"/>
                <a:gd name="connsiteX1" fmla="*/ 1746250 w 1752056"/>
                <a:gd name="connsiteY1" fmla="*/ 268232 h 1845121"/>
                <a:gd name="connsiteX2" fmla="*/ 221192 w 1752056"/>
                <a:gd name="connsiteY2" fmla="*/ 1845121 h 1845121"/>
                <a:gd name="connsiteX3" fmla="*/ 0 w 1752056"/>
                <a:gd name="connsiteY3" fmla="*/ 1839857 h 1845121"/>
                <a:gd name="connsiteX4" fmla="*/ 1752056 w 1752056"/>
                <a:gd name="connsiteY4" fmla="*/ 0 h 1845121"/>
                <a:gd name="connsiteX0" fmla="*/ 1752056 w 1752056"/>
                <a:gd name="connsiteY0" fmla="*/ 0 h 1839857"/>
                <a:gd name="connsiteX1" fmla="*/ 1746250 w 1752056"/>
                <a:gd name="connsiteY1" fmla="*/ 268232 h 1839857"/>
                <a:gd name="connsiteX2" fmla="*/ 236822 w 1752056"/>
                <a:gd name="connsiteY2" fmla="*/ 1829454 h 1839857"/>
                <a:gd name="connsiteX3" fmla="*/ 0 w 1752056"/>
                <a:gd name="connsiteY3" fmla="*/ 1839857 h 1839857"/>
                <a:gd name="connsiteX4" fmla="*/ 1752056 w 1752056"/>
                <a:gd name="connsiteY4" fmla="*/ 0 h 1839857"/>
                <a:gd name="connsiteX0" fmla="*/ 1796340 w 1796340"/>
                <a:gd name="connsiteY0" fmla="*/ 0 h 1829454"/>
                <a:gd name="connsiteX1" fmla="*/ 1790534 w 1796340"/>
                <a:gd name="connsiteY1" fmla="*/ 268232 h 1829454"/>
                <a:gd name="connsiteX2" fmla="*/ 281106 w 1796340"/>
                <a:gd name="connsiteY2" fmla="*/ 1829454 h 1829454"/>
                <a:gd name="connsiteX3" fmla="*/ 0 w 1796340"/>
                <a:gd name="connsiteY3" fmla="*/ 1782409 h 1829454"/>
                <a:gd name="connsiteX4" fmla="*/ 1796340 w 1796340"/>
                <a:gd name="connsiteY4" fmla="*/ 0 h 1829454"/>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796340" h="1829454">
                  <a:moveTo>
                    <a:pt x="1796340" y="0"/>
                  </a:moveTo>
                  <a:lnTo>
                    <a:pt x="1790534" y="268232"/>
                  </a:lnTo>
                  <a:lnTo>
                    <a:pt x="281106" y="1829454"/>
                  </a:lnTo>
                  <a:lnTo>
                    <a:pt x="0" y="1782409"/>
                  </a:lnTo>
                  <a:lnTo>
                    <a:pt x="1796340" y="0"/>
                  </a:lnTo>
                  <a:close/>
                </a:path>
              </a:pathLst>
            </a:custGeom>
            <a:solidFill>
              <a:schemeClr val="accent5">
                <a:lumMod val="75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20" name="Straight Connector 119"/>
            <xdr:cNvCxnSpPr>
              <a:stCxn id="118" idx="1"/>
            </xdr:cNvCxnSpPr>
          </xdr:nvCxnSpPr>
          <xdr:spPr>
            <a:xfrm>
              <a:off x="4599595" y="7162800"/>
              <a:ext cx="10505" cy="319617"/>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121" name="Freeform 95"/>
            <xdr:cNvSpPr>
              <a:spLocks/>
            </xdr:cNvSpPr>
          </xdr:nvSpPr>
          <xdr:spPr bwMode="auto">
            <a:xfrm>
              <a:off x="3367106" y="7281859"/>
              <a:ext cx="1814532" cy="1623998"/>
            </a:xfrm>
            <a:custGeom>
              <a:avLst/>
              <a:gdLst>
                <a:gd name="T0" fmla="*/ 24 w 65"/>
                <a:gd name="T1" fmla="*/ 41 h 41"/>
                <a:gd name="T2" fmla="*/ 0 w 65"/>
                <a:gd name="T3" fmla="*/ 41 h 41"/>
                <a:gd name="T4" fmla="*/ 41 w 65"/>
                <a:gd name="T5" fmla="*/ 0 h 41"/>
                <a:gd name="T6" fmla="*/ 65 w 65"/>
                <a:gd name="T7" fmla="*/ 0 h 41"/>
                <a:gd name="T8" fmla="*/ 24 w 65"/>
                <a:gd name="T9" fmla="*/ 41 h 41"/>
                <a:gd name="T10" fmla="*/ 0 60000 65536"/>
                <a:gd name="T11" fmla="*/ 0 60000 65536"/>
                <a:gd name="T12" fmla="*/ 0 60000 65536"/>
                <a:gd name="T13" fmla="*/ 0 60000 65536"/>
                <a:gd name="T14" fmla="*/ 0 60000 65536"/>
                <a:gd name="T15" fmla="*/ 0 w 65"/>
                <a:gd name="T16" fmla="*/ 0 h 41"/>
                <a:gd name="T17" fmla="*/ 65 w 65"/>
                <a:gd name="T18" fmla="*/ 41 h 41"/>
                <a:gd name="connsiteX0" fmla="*/ 3692 w 25693"/>
                <a:gd name="connsiteY0" fmla="*/ 41585 h 41585"/>
                <a:gd name="connsiteX1" fmla="*/ 0 w 25693"/>
                <a:gd name="connsiteY1" fmla="*/ 41585 h 41585"/>
                <a:gd name="connsiteX2" fmla="*/ 25693 w 25693"/>
                <a:gd name="connsiteY2" fmla="*/ 0 h 41585"/>
                <a:gd name="connsiteX3" fmla="*/ 10000 w 25693"/>
                <a:gd name="connsiteY3" fmla="*/ 31585 h 41585"/>
                <a:gd name="connsiteX4" fmla="*/ 3692 w 25693"/>
                <a:gd name="connsiteY4" fmla="*/ 41585 h 41585"/>
                <a:gd name="connsiteX0" fmla="*/ 3692 w 29000"/>
                <a:gd name="connsiteY0" fmla="*/ 41585 h 41585"/>
                <a:gd name="connsiteX1" fmla="*/ 0 w 29000"/>
                <a:gd name="connsiteY1" fmla="*/ 41585 h 41585"/>
                <a:gd name="connsiteX2" fmla="*/ 25693 w 29000"/>
                <a:gd name="connsiteY2" fmla="*/ 0 h 41585"/>
                <a:gd name="connsiteX3" fmla="*/ 29000 w 29000"/>
                <a:gd name="connsiteY3" fmla="*/ 122 h 41585"/>
                <a:gd name="connsiteX4" fmla="*/ 3692 w 29000"/>
                <a:gd name="connsiteY4" fmla="*/ 41585 h 41585"/>
                <a:gd name="connsiteX0" fmla="*/ 3692 w 29308"/>
                <a:gd name="connsiteY0" fmla="*/ 41585 h 41585"/>
                <a:gd name="connsiteX1" fmla="*/ 0 w 29308"/>
                <a:gd name="connsiteY1" fmla="*/ 41585 h 41585"/>
                <a:gd name="connsiteX2" fmla="*/ 25693 w 29308"/>
                <a:gd name="connsiteY2" fmla="*/ 0 h 41585"/>
                <a:gd name="connsiteX3" fmla="*/ 29308 w 29308"/>
                <a:gd name="connsiteY3" fmla="*/ 244 h 41585"/>
                <a:gd name="connsiteX4" fmla="*/ 3692 w 29308"/>
                <a:gd name="connsiteY4" fmla="*/ 41585 h 4158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9308" h="41585">
                  <a:moveTo>
                    <a:pt x="3692" y="41585"/>
                  </a:moveTo>
                  <a:lnTo>
                    <a:pt x="0" y="41585"/>
                  </a:lnTo>
                  <a:lnTo>
                    <a:pt x="25693" y="0"/>
                  </a:lnTo>
                  <a:lnTo>
                    <a:pt x="29308" y="244"/>
                  </a:lnTo>
                  <a:lnTo>
                    <a:pt x="3692" y="41585"/>
                  </a:lnTo>
                  <a:close/>
                </a:path>
              </a:pathLst>
            </a:custGeom>
            <a:gradFill rotWithShape="1">
              <a:gsLst>
                <a:gs pos="0">
                  <a:srgbClr val="767676"/>
                </a:gs>
                <a:gs pos="50000">
                  <a:srgbClr val="FFFFFF"/>
                </a:gs>
                <a:gs pos="100000">
                  <a:srgbClr val="767676"/>
                </a:gs>
              </a:gsLst>
              <a:lin ang="18900000" scaled="1"/>
            </a:gradFill>
            <a:ln w="9525">
              <a:solidFill>
                <a:srgbClr val="000000"/>
              </a:solidFill>
              <a:round/>
              <a:headEnd/>
              <a:tailEnd/>
            </a:ln>
          </xdr:spPr>
        </xdr:sp>
        <xdr:sp macro="" textlink="">
          <xdr:nvSpPr>
            <xdr:cNvPr id="122" name="Freeform 96"/>
            <xdr:cNvSpPr>
              <a:spLocks/>
            </xdr:cNvSpPr>
          </xdr:nvSpPr>
          <xdr:spPr bwMode="auto">
            <a:xfrm>
              <a:off x="3367104" y="7296135"/>
              <a:ext cx="1804997" cy="1762138"/>
            </a:xfrm>
            <a:custGeom>
              <a:avLst/>
              <a:gdLst>
                <a:gd name="T0" fmla="*/ 0 w 65"/>
                <a:gd name="T1" fmla="*/ 41 h 47"/>
                <a:gd name="T2" fmla="*/ 0 w 65"/>
                <a:gd name="T3" fmla="*/ 47 h 47"/>
                <a:gd name="T4" fmla="*/ 3 w 65"/>
                <a:gd name="T5" fmla="*/ 44 h 47"/>
                <a:gd name="T6" fmla="*/ 24 w 65"/>
                <a:gd name="T7" fmla="*/ 44 h 47"/>
                <a:gd name="T8" fmla="*/ 65 w 65"/>
                <a:gd name="T9" fmla="*/ 3 h 47"/>
                <a:gd name="T10" fmla="*/ 65 w 65"/>
                <a:gd name="T11" fmla="*/ 0 h 47"/>
                <a:gd name="T12" fmla="*/ 24 w 65"/>
                <a:gd name="T13" fmla="*/ 41 h 47"/>
                <a:gd name="T14" fmla="*/ 0 w 65"/>
                <a:gd name="T15" fmla="*/ 41 h 47"/>
                <a:gd name="T16" fmla="*/ 0 60000 65536"/>
                <a:gd name="T17" fmla="*/ 0 60000 65536"/>
                <a:gd name="T18" fmla="*/ 0 60000 65536"/>
                <a:gd name="T19" fmla="*/ 0 60000 65536"/>
                <a:gd name="T20" fmla="*/ 0 60000 65536"/>
                <a:gd name="T21" fmla="*/ 0 60000 65536"/>
                <a:gd name="T22" fmla="*/ 0 60000 65536"/>
                <a:gd name="T23" fmla="*/ 0 60000 65536"/>
                <a:gd name="T24" fmla="*/ 0 w 65"/>
                <a:gd name="T25" fmla="*/ 0 h 47"/>
                <a:gd name="T26" fmla="*/ 65 w 65"/>
                <a:gd name="T27" fmla="*/ 47 h 47"/>
                <a:gd name="connsiteX0" fmla="*/ 0 w 29154"/>
                <a:gd name="connsiteY0" fmla="*/ 35957 h 37234"/>
                <a:gd name="connsiteX1" fmla="*/ 0 w 29154"/>
                <a:gd name="connsiteY1" fmla="*/ 37234 h 37234"/>
                <a:gd name="connsiteX2" fmla="*/ 462 w 29154"/>
                <a:gd name="connsiteY2" fmla="*/ 36596 h 37234"/>
                <a:gd name="connsiteX3" fmla="*/ 3692 w 29154"/>
                <a:gd name="connsiteY3" fmla="*/ 36596 h 37234"/>
                <a:gd name="connsiteX4" fmla="*/ 10000 w 29154"/>
                <a:gd name="connsiteY4" fmla="*/ 27872 h 37234"/>
                <a:gd name="connsiteX5" fmla="*/ 29154 w 29154"/>
                <a:gd name="connsiteY5" fmla="*/ 0 h 37234"/>
                <a:gd name="connsiteX6" fmla="*/ 3692 w 29154"/>
                <a:gd name="connsiteY6" fmla="*/ 35957 h 37234"/>
                <a:gd name="connsiteX7" fmla="*/ 0 w 29154"/>
                <a:gd name="connsiteY7" fmla="*/ 35957 h 37234"/>
                <a:gd name="connsiteX0" fmla="*/ 0 w 29154"/>
                <a:gd name="connsiteY0" fmla="*/ 35957 h 37234"/>
                <a:gd name="connsiteX1" fmla="*/ 0 w 29154"/>
                <a:gd name="connsiteY1" fmla="*/ 37234 h 37234"/>
                <a:gd name="connsiteX2" fmla="*/ 462 w 29154"/>
                <a:gd name="connsiteY2" fmla="*/ 36596 h 37234"/>
                <a:gd name="connsiteX3" fmla="*/ 3692 w 29154"/>
                <a:gd name="connsiteY3" fmla="*/ 36596 h 37234"/>
                <a:gd name="connsiteX4" fmla="*/ 29154 w 29154"/>
                <a:gd name="connsiteY4" fmla="*/ 1063 h 37234"/>
                <a:gd name="connsiteX5" fmla="*/ 29154 w 29154"/>
                <a:gd name="connsiteY5" fmla="*/ 0 h 37234"/>
                <a:gd name="connsiteX6" fmla="*/ 3692 w 29154"/>
                <a:gd name="connsiteY6" fmla="*/ 35957 h 37234"/>
                <a:gd name="connsiteX7" fmla="*/ 0 w 29154"/>
                <a:gd name="connsiteY7" fmla="*/ 35957 h 37234"/>
                <a:gd name="connsiteX0" fmla="*/ 0 w 29154"/>
                <a:gd name="connsiteY0" fmla="*/ 35957 h 37234"/>
                <a:gd name="connsiteX1" fmla="*/ 0 w 29154"/>
                <a:gd name="connsiteY1" fmla="*/ 37234 h 37234"/>
                <a:gd name="connsiteX2" fmla="*/ 462 w 29154"/>
                <a:gd name="connsiteY2" fmla="*/ 36596 h 37234"/>
                <a:gd name="connsiteX3" fmla="*/ 3692 w 29154"/>
                <a:gd name="connsiteY3" fmla="*/ 36596 h 37234"/>
                <a:gd name="connsiteX4" fmla="*/ 29154 w 29154"/>
                <a:gd name="connsiteY4" fmla="*/ 744 h 37234"/>
                <a:gd name="connsiteX5" fmla="*/ 29154 w 29154"/>
                <a:gd name="connsiteY5" fmla="*/ 0 h 37234"/>
                <a:gd name="connsiteX6" fmla="*/ 3692 w 29154"/>
                <a:gd name="connsiteY6" fmla="*/ 35957 h 37234"/>
                <a:gd name="connsiteX7" fmla="*/ 0 w 29154"/>
                <a:gd name="connsiteY7" fmla="*/ 35957 h 37234"/>
                <a:gd name="connsiteX0" fmla="*/ 0 w 29154"/>
                <a:gd name="connsiteY0" fmla="*/ 35957 h 39362"/>
                <a:gd name="connsiteX1" fmla="*/ 0 w 29154"/>
                <a:gd name="connsiteY1" fmla="*/ 37234 h 39362"/>
                <a:gd name="connsiteX2" fmla="*/ 462 w 29154"/>
                <a:gd name="connsiteY2" fmla="*/ 36596 h 39362"/>
                <a:gd name="connsiteX3" fmla="*/ 3692 w 29154"/>
                <a:gd name="connsiteY3" fmla="*/ 39362 h 39362"/>
                <a:gd name="connsiteX4" fmla="*/ 29154 w 29154"/>
                <a:gd name="connsiteY4" fmla="*/ 744 h 39362"/>
                <a:gd name="connsiteX5" fmla="*/ 29154 w 29154"/>
                <a:gd name="connsiteY5" fmla="*/ 0 h 39362"/>
                <a:gd name="connsiteX6" fmla="*/ 3692 w 29154"/>
                <a:gd name="connsiteY6" fmla="*/ 35957 h 39362"/>
                <a:gd name="connsiteX7" fmla="*/ 0 w 29154"/>
                <a:gd name="connsiteY7" fmla="*/ 35957 h 39362"/>
                <a:gd name="connsiteX0" fmla="*/ 0 w 29154"/>
                <a:gd name="connsiteY0" fmla="*/ 35957 h 39362"/>
                <a:gd name="connsiteX1" fmla="*/ 0 w 29154"/>
                <a:gd name="connsiteY1" fmla="*/ 37234 h 39362"/>
                <a:gd name="connsiteX2" fmla="*/ 462 w 29154"/>
                <a:gd name="connsiteY2" fmla="*/ 36596 h 39362"/>
                <a:gd name="connsiteX3" fmla="*/ 3692 w 29154"/>
                <a:gd name="connsiteY3" fmla="*/ 39362 h 39362"/>
                <a:gd name="connsiteX4" fmla="*/ 29154 w 29154"/>
                <a:gd name="connsiteY4" fmla="*/ 3191 h 39362"/>
                <a:gd name="connsiteX5" fmla="*/ 29154 w 29154"/>
                <a:gd name="connsiteY5" fmla="*/ 0 h 39362"/>
                <a:gd name="connsiteX6" fmla="*/ 3692 w 29154"/>
                <a:gd name="connsiteY6" fmla="*/ 35957 h 39362"/>
                <a:gd name="connsiteX7" fmla="*/ 0 w 29154"/>
                <a:gd name="connsiteY7" fmla="*/ 35957 h 3936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9154" h="39362">
                  <a:moveTo>
                    <a:pt x="0" y="35957"/>
                  </a:moveTo>
                  <a:lnTo>
                    <a:pt x="0" y="37234"/>
                  </a:lnTo>
                  <a:lnTo>
                    <a:pt x="462" y="36596"/>
                  </a:lnTo>
                  <a:lnTo>
                    <a:pt x="3692" y="39362"/>
                  </a:lnTo>
                  <a:lnTo>
                    <a:pt x="29154" y="3191"/>
                  </a:lnTo>
                  <a:lnTo>
                    <a:pt x="29154" y="0"/>
                  </a:lnTo>
                  <a:lnTo>
                    <a:pt x="3692" y="35957"/>
                  </a:lnTo>
                  <a:lnTo>
                    <a:pt x="0" y="35957"/>
                  </a:lnTo>
                  <a:close/>
                </a:path>
              </a:pathLst>
            </a:custGeom>
            <a:gradFill>
              <a:gsLst>
                <a:gs pos="0">
                  <a:schemeClr val="bg1">
                    <a:lumMod val="50000"/>
                  </a:schemeClr>
                </a:gs>
                <a:gs pos="50000">
                  <a:schemeClr val="bg1">
                    <a:lumMod val="60000"/>
                  </a:schemeClr>
                </a:gs>
                <a:gs pos="100000">
                  <a:schemeClr val="accent1">
                    <a:tint val="23500"/>
                    <a:satMod val="160000"/>
                    <a:lumMod val="73000"/>
                  </a:schemeClr>
                </a:gs>
              </a:gsLst>
              <a:lin ang="5400000" scaled="0"/>
            </a:gradFill>
            <a:ln w="6350" cmpd="sng">
              <a:solidFill>
                <a:srgbClr val="000000"/>
              </a:solidFill>
              <a:round/>
              <a:headEnd/>
              <a:tailEnd/>
            </a:ln>
          </xdr:spPr>
        </xdr:sp>
        <xdr:grpSp>
          <xdr:nvGrpSpPr>
            <xdr:cNvPr id="123" name="Group 122"/>
            <xdr:cNvGrpSpPr/>
          </xdr:nvGrpSpPr>
          <xdr:grpSpPr>
            <a:xfrm>
              <a:off x="3695735" y="7296132"/>
              <a:ext cx="1814534" cy="1776414"/>
              <a:chOff x="2309829" y="6062659"/>
              <a:chExt cx="1814534" cy="1776414"/>
            </a:xfrm>
          </xdr:grpSpPr>
          <xdr:sp macro="" textlink="">
            <xdr:nvSpPr>
              <xdr:cNvPr id="174" name="Freeform 95"/>
              <xdr:cNvSpPr>
                <a:spLocks/>
              </xdr:cNvSpPr>
            </xdr:nvSpPr>
            <xdr:spPr bwMode="auto">
              <a:xfrm>
                <a:off x="2309831" y="6062659"/>
                <a:ext cx="1814532" cy="1623998"/>
              </a:xfrm>
              <a:custGeom>
                <a:avLst/>
                <a:gdLst>
                  <a:gd name="T0" fmla="*/ 24 w 65"/>
                  <a:gd name="T1" fmla="*/ 41 h 41"/>
                  <a:gd name="T2" fmla="*/ 0 w 65"/>
                  <a:gd name="T3" fmla="*/ 41 h 41"/>
                  <a:gd name="T4" fmla="*/ 41 w 65"/>
                  <a:gd name="T5" fmla="*/ 0 h 41"/>
                  <a:gd name="T6" fmla="*/ 65 w 65"/>
                  <a:gd name="T7" fmla="*/ 0 h 41"/>
                  <a:gd name="T8" fmla="*/ 24 w 65"/>
                  <a:gd name="T9" fmla="*/ 41 h 41"/>
                  <a:gd name="T10" fmla="*/ 0 60000 65536"/>
                  <a:gd name="T11" fmla="*/ 0 60000 65536"/>
                  <a:gd name="T12" fmla="*/ 0 60000 65536"/>
                  <a:gd name="T13" fmla="*/ 0 60000 65536"/>
                  <a:gd name="T14" fmla="*/ 0 60000 65536"/>
                  <a:gd name="T15" fmla="*/ 0 w 65"/>
                  <a:gd name="T16" fmla="*/ 0 h 41"/>
                  <a:gd name="T17" fmla="*/ 65 w 65"/>
                  <a:gd name="T18" fmla="*/ 41 h 41"/>
                  <a:gd name="connsiteX0" fmla="*/ 3692 w 25693"/>
                  <a:gd name="connsiteY0" fmla="*/ 41585 h 41585"/>
                  <a:gd name="connsiteX1" fmla="*/ 0 w 25693"/>
                  <a:gd name="connsiteY1" fmla="*/ 41585 h 41585"/>
                  <a:gd name="connsiteX2" fmla="*/ 25693 w 25693"/>
                  <a:gd name="connsiteY2" fmla="*/ 0 h 41585"/>
                  <a:gd name="connsiteX3" fmla="*/ 10000 w 25693"/>
                  <a:gd name="connsiteY3" fmla="*/ 31585 h 41585"/>
                  <a:gd name="connsiteX4" fmla="*/ 3692 w 25693"/>
                  <a:gd name="connsiteY4" fmla="*/ 41585 h 41585"/>
                  <a:gd name="connsiteX0" fmla="*/ 3692 w 29000"/>
                  <a:gd name="connsiteY0" fmla="*/ 41585 h 41585"/>
                  <a:gd name="connsiteX1" fmla="*/ 0 w 29000"/>
                  <a:gd name="connsiteY1" fmla="*/ 41585 h 41585"/>
                  <a:gd name="connsiteX2" fmla="*/ 25693 w 29000"/>
                  <a:gd name="connsiteY2" fmla="*/ 0 h 41585"/>
                  <a:gd name="connsiteX3" fmla="*/ 29000 w 29000"/>
                  <a:gd name="connsiteY3" fmla="*/ 122 h 41585"/>
                  <a:gd name="connsiteX4" fmla="*/ 3692 w 29000"/>
                  <a:gd name="connsiteY4" fmla="*/ 41585 h 41585"/>
                  <a:gd name="connsiteX0" fmla="*/ 3692 w 29308"/>
                  <a:gd name="connsiteY0" fmla="*/ 41585 h 41585"/>
                  <a:gd name="connsiteX1" fmla="*/ 0 w 29308"/>
                  <a:gd name="connsiteY1" fmla="*/ 41585 h 41585"/>
                  <a:gd name="connsiteX2" fmla="*/ 25693 w 29308"/>
                  <a:gd name="connsiteY2" fmla="*/ 0 h 41585"/>
                  <a:gd name="connsiteX3" fmla="*/ 29308 w 29308"/>
                  <a:gd name="connsiteY3" fmla="*/ 244 h 41585"/>
                  <a:gd name="connsiteX4" fmla="*/ 3692 w 29308"/>
                  <a:gd name="connsiteY4" fmla="*/ 41585 h 4158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9308" h="41585">
                    <a:moveTo>
                      <a:pt x="3692" y="41585"/>
                    </a:moveTo>
                    <a:lnTo>
                      <a:pt x="0" y="41585"/>
                    </a:lnTo>
                    <a:lnTo>
                      <a:pt x="25693" y="0"/>
                    </a:lnTo>
                    <a:lnTo>
                      <a:pt x="29308" y="244"/>
                    </a:lnTo>
                    <a:lnTo>
                      <a:pt x="3692" y="41585"/>
                    </a:lnTo>
                    <a:close/>
                  </a:path>
                </a:pathLst>
              </a:custGeom>
              <a:gradFill rotWithShape="1">
                <a:gsLst>
                  <a:gs pos="0">
                    <a:srgbClr val="767676"/>
                  </a:gs>
                  <a:gs pos="50000">
                    <a:srgbClr val="FFFFFF"/>
                  </a:gs>
                  <a:gs pos="100000">
                    <a:srgbClr val="767676"/>
                  </a:gs>
                </a:gsLst>
                <a:lin ang="18900000" scaled="1"/>
              </a:gradFill>
              <a:ln w="9525">
                <a:solidFill>
                  <a:srgbClr val="000000"/>
                </a:solidFill>
                <a:round/>
                <a:headEnd/>
                <a:tailEnd/>
              </a:ln>
            </xdr:spPr>
          </xdr:sp>
          <xdr:sp macro="" textlink="">
            <xdr:nvSpPr>
              <xdr:cNvPr id="175" name="Freeform 96"/>
              <xdr:cNvSpPr>
                <a:spLocks/>
              </xdr:cNvSpPr>
            </xdr:nvSpPr>
            <xdr:spPr bwMode="auto">
              <a:xfrm>
                <a:off x="2309829" y="6076935"/>
                <a:ext cx="1804997" cy="1762138"/>
              </a:xfrm>
              <a:custGeom>
                <a:avLst/>
                <a:gdLst>
                  <a:gd name="T0" fmla="*/ 0 w 65"/>
                  <a:gd name="T1" fmla="*/ 41 h 47"/>
                  <a:gd name="T2" fmla="*/ 0 w 65"/>
                  <a:gd name="T3" fmla="*/ 47 h 47"/>
                  <a:gd name="T4" fmla="*/ 3 w 65"/>
                  <a:gd name="T5" fmla="*/ 44 h 47"/>
                  <a:gd name="T6" fmla="*/ 24 w 65"/>
                  <a:gd name="T7" fmla="*/ 44 h 47"/>
                  <a:gd name="T8" fmla="*/ 65 w 65"/>
                  <a:gd name="T9" fmla="*/ 3 h 47"/>
                  <a:gd name="T10" fmla="*/ 65 w 65"/>
                  <a:gd name="T11" fmla="*/ 0 h 47"/>
                  <a:gd name="T12" fmla="*/ 24 w 65"/>
                  <a:gd name="T13" fmla="*/ 41 h 47"/>
                  <a:gd name="T14" fmla="*/ 0 w 65"/>
                  <a:gd name="T15" fmla="*/ 41 h 47"/>
                  <a:gd name="T16" fmla="*/ 0 60000 65536"/>
                  <a:gd name="T17" fmla="*/ 0 60000 65536"/>
                  <a:gd name="T18" fmla="*/ 0 60000 65536"/>
                  <a:gd name="T19" fmla="*/ 0 60000 65536"/>
                  <a:gd name="T20" fmla="*/ 0 60000 65536"/>
                  <a:gd name="T21" fmla="*/ 0 60000 65536"/>
                  <a:gd name="T22" fmla="*/ 0 60000 65536"/>
                  <a:gd name="T23" fmla="*/ 0 60000 65536"/>
                  <a:gd name="T24" fmla="*/ 0 w 65"/>
                  <a:gd name="T25" fmla="*/ 0 h 47"/>
                  <a:gd name="T26" fmla="*/ 65 w 65"/>
                  <a:gd name="T27" fmla="*/ 47 h 47"/>
                  <a:gd name="connsiteX0" fmla="*/ 0 w 29154"/>
                  <a:gd name="connsiteY0" fmla="*/ 35957 h 37234"/>
                  <a:gd name="connsiteX1" fmla="*/ 0 w 29154"/>
                  <a:gd name="connsiteY1" fmla="*/ 37234 h 37234"/>
                  <a:gd name="connsiteX2" fmla="*/ 462 w 29154"/>
                  <a:gd name="connsiteY2" fmla="*/ 36596 h 37234"/>
                  <a:gd name="connsiteX3" fmla="*/ 3692 w 29154"/>
                  <a:gd name="connsiteY3" fmla="*/ 36596 h 37234"/>
                  <a:gd name="connsiteX4" fmla="*/ 10000 w 29154"/>
                  <a:gd name="connsiteY4" fmla="*/ 27872 h 37234"/>
                  <a:gd name="connsiteX5" fmla="*/ 29154 w 29154"/>
                  <a:gd name="connsiteY5" fmla="*/ 0 h 37234"/>
                  <a:gd name="connsiteX6" fmla="*/ 3692 w 29154"/>
                  <a:gd name="connsiteY6" fmla="*/ 35957 h 37234"/>
                  <a:gd name="connsiteX7" fmla="*/ 0 w 29154"/>
                  <a:gd name="connsiteY7" fmla="*/ 35957 h 37234"/>
                  <a:gd name="connsiteX0" fmla="*/ 0 w 29154"/>
                  <a:gd name="connsiteY0" fmla="*/ 35957 h 37234"/>
                  <a:gd name="connsiteX1" fmla="*/ 0 w 29154"/>
                  <a:gd name="connsiteY1" fmla="*/ 37234 h 37234"/>
                  <a:gd name="connsiteX2" fmla="*/ 462 w 29154"/>
                  <a:gd name="connsiteY2" fmla="*/ 36596 h 37234"/>
                  <a:gd name="connsiteX3" fmla="*/ 3692 w 29154"/>
                  <a:gd name="connsiteY3" fmla="*/ 36596 h 37234"/>
                  <a:gd name="connsiteX4" fmla="*/ 29154 w 29154"/>
                  <a:gd name="connsiteY4" fmla="*/ 1063 h 37234"/>
                  <a:gd name="connsiteX5" fmla="*/ 29154 w 29154"/>
                  <a:gd name="connsiteY5" fmla="*/ 0 h 37234"/>
                  <a:gd name="connsiteX6" fmla="*/ 3692 w 29154"/>
                  <a:gd name="connsiteY6" fmla="*/ 35957 h 37234"/>
                  <a:gd name="connsiteX7" fmla="*/ 0 w 29154"/>
                  <a:gd name="connsiteY7" fmla="*/ 35957 h 37234"/>
                  <a:gd name="connsiteX0" fmla="*/ 0 w 29154"/>
                  <a:gd name="connsiteY0" fmla="*/ 35957 h 37234"/>
                  <a:gd name="connsiteX1" fmla="*/ 0 w 29154"/>
                  <a:gd name="connsiteY1" fmla="*/ 37234 h 37234"/>
                  <a:gd name="connsiteX2" fmla="*/ 462 w 29154"/>
                  <a:gd name="connsiteY2" fmla="*/ 36596 h 37234"/>
                  <a:gd name="connsiteX3" fmla="*/ 3692 w 29154"/>
                  <a:gd name="connsiteY3" fmla="*/ 36596 h 37234"/>
                  <a:gd name="connsiteX4" fmla="*/ 29154 w 29154"/>
                  <a:gd name="connsiteY4" fmla="*/ 744 h 37234"/>
                  <a:gd name="connsiteX5" fmla="*/ 29154 w 29154"/>
                  <a:gd name="connsiteY5" fmla="*/ 0 h 37234"/>
                  <a:gd name="connsiteX6" fmla="*/ 3692 w 29154"/>
                  <a:gd name="connsiteY6" fmla="*/ 35957 h 37234"/>
                  <a:gd name="connsiteX7" fmla="*/ 0 w 29154"/>
                  <a:gd name="connsiteY7" fmla="*/ 35957 h 37234"/>
                  <a:gd name="connsiteX0" fmla="*/ 0 w 29154"/>
                  <a:gd name="connsiteY0" fmla="*/ 35957 h 39362"/>
                  <a:gd name="connsiteX1" fmla="*/ 0 w 29154"/>
                  <a:gd name="connsiteY1" fmla="*/ 37234 h 39362"/>
                  <a:gd name="connsiteX2" fmla="*/ 462 w 29154"/>
                  <a:gd name="connsiteY2" fmla="*/ 36596 h 39362"/>
                  <a:gd name="connsiteX3" fmla="*/ 3692 w 29154"/>
                  <a:gd name="connsiteY3" fmla="*/ 39362 h 39362"/>
                  <a:gd name="connsiteX4" fmla="*/ 29154 w 29154"/>
                  <a:gd name="connsiteY4" fmla="*/ 744 h 39362"/>
                  <a:gd name="connsiteX5" fmla="*/ 29154 w 29154"/>
                  <a:gd name="connsiteY5" fmla="*/ 0 h 39362"/>
                  <a:gd name="connsiteX6" fmla="*/ 3692 w 29154"/>
                  <a:gd name="connsiteY6" fmla="*/ 35957 h 39362"/>
                  <a:gd name="connsiteX7" fmla="*/ 0 w 29154"/>
                  <a:gd name="connsiteY7" fmla="*/ 35957 h 39362"/>
                  <a:gd name="connsiteX0" fmla="*/ 0 w 29154"/>
                  <a:gd name="connsiteY0" fmla="*/ 35957 h 39362"/>
                  <a:gd name="connsiteX1" fmla="*/ 0 w 29154"/>
                  <a:gd name="connsiteY1" fmla="*/ 37234 h 39362"/>
                  <a:gd name="connsiteX2" fmla="*/ 462 w 29154"/>
                  <a:gd name="connsiteY2" fmla="*/ 36596 h 39362"/>
                  <a:gd name="connsiteX3" fmla="*/ 3692 w 29154"/>
                  <a:gd name="connsiteY3" fmla="*/ 39362 h 39362"/>
                  <a:gd name="connsiteX4" fmla="*/ 29154 w 29154"/>
                  <a:gd name="connsiteY4" fmla="*/ 3191 h 39362"/>
                  <a:gd name="connsiteX5" fmla="*/ 29154 w 29154"/>
                  <a:gd name="connsiteY5" fmla="*/ 0 h 39362"/>
                  <a:gd name="connsiteX6" fmla="*/ 3692 w 29154"/>
                  <a:gd name="connsiteY6" fmla="*/ 35957 h 39362"/>
                  <a:gd name="connsiteX7" fmla="*/ 0 w 29154"/>
                  <a:gd name="connsiteY7" fmla="*/ 35957 h 3936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9154" h="39362">
                    <a:moveTo>
                      <a:pt x="0" y="35957"/>
                    </a:moveTo>
                    <a:lnTo>
                      <a:pt x="0" y="37234"/>
                    </a:lnTo>
                    <a:lnTo>
                      <a:pt x="462" y="36596"/>
                    </a:lnTo>
                    <a:lnTo>
                      <a:pt x="3692" y="39362"/>
                    </a:lnTo>
                    <a:lnTo>
                      <a:pt x="29154" y="3191"/>
                    </a:lnTo>
                    <a:lnTo>
                      <a:pt x="29154" y="0"/>
                    </a:lnTo>
                    <a:lnTo>
                      <a:pt x="3692" y="35957"/>
                    </a:lnTo>
                    <a:lnTo>
                      <a:pt x="0" y="35957"/>
                    </a:lnTo>
                    <a:close/>
                  </a:path>
                </a:pathLst>
              </a:custGeom>
              <a:gradFill>
                <a:gsLst>
                  <a:gs pos="0">
                    <a:schemeClr val="bg1">
                      <a:lumMod val="50000"/>
                    </a:schemeClr>
                  </a:gs>
                  <a:gs pos="50000">
                    <a:schemeClr val="bg1">
                      <a:lumMod val="60000"/>
                    </a:schemeClr>
                  </a:gs>
                  <a:gs pos="100000">
                    <a:schemeClr val="accent1">
                      <a:tint val="23500"/>
                      <a:satMod val="160000"/>
                      <a:lumMod val="73000"/>
                    </a:schemeClr>
                  </a:gs>
                </a:gsLst>
                <a:lin ang="5400000" scaled="0"/>
              </a:gradFill>
              <a:ln w="6350" cmpd="sng">
                <a:solidFill>
                  <a:srgbClr val="000000"/>
                </a:solidFill>
                <a:round/>
                <a:headEnd/>
                <a:tailEnd/>
              </a:ln>
            </xdr:spPr>
          </xdr:sp>
        </xdr:grpSp>
        <xdr:grpSp>
          <xdr:nvGrpSpPr>
            <xdr:cNvPr id="124" name="Group 123"/>
            <xdr:cNvGrpSpPr/>
          </xdr:nvGrpSpPr>
          <xdr:grpSpPr>
            <a:xfrm>
              <a:off x="4048143" y="7281859"/>
              <a:ext cx="1814534" cy="1776414"/>
              <a:chOff x="2309829" y="6062659"/>
              <a:chExt cx="1814534" cy="1776414"/>
            </a:xfrm>
          </xdr:grpSpPr>
          <xdr:sp macro="" textlink="">
            <xdr:nvSpPr>
              <xdr:cNvPr id="172" name="Freeform 95"/>
              <xdr:cNvSpPr>
                <a:spLocks/>
              </xdr:cNvSpPr>
            </xdr:nvSpPr>
            <xdr:spPr bwMode="auto">
              <a:xfrm>
                <a:off x="2309831" y="6062659"/>
                <a:ext cx="1814532" cy="1623998"/>
              </a:xfrm>
              <a:custGeom>
                <a:avLst/>
                <a:gdLst>
                  <a:gd name="T0" fmla="*/ 24 w 65"/>
                  <a:gd name="T1" fmla="*/ 41 h 41"/>
                  <a:gd name="T2" fmla="*/ 0 w 65"/>
                  <a:gd name="T3" fmla="*/ 41 h 41"/>
                  <a:gd name="T4" fmla="*/ 41 w 65"/>
                  <a:gd name="T5" fmla="*/ 0 h 41"/>
                  <a:gd name="T6" fmla="*/ 65 w 65"/>
                  <a:gd name="T7" fmla="*/ 0 h 41"/>
                  <a:gd name="T8" fmla="*/ 24 w 65"/>
                  <a:gd name="T9" fmla="*/ 41 h 41"/>
                  <a:gd name="T10" fmla="*/ 0 60000 65536"/>
                  <a:gd name="T11" fmla="*/ 0 60000 65536"/>
                  <a:gd name="T12" fmla="*/ 0 60000 65536"/>
                  <a:gd name="T13" fmla="*/ 0 60000 65536"/>
                  <a:gd name="T14" fmla="*/ 0 60000 65536"/>
                  <a:gd name="T15" fmla="*/ 0 w 65"/>
                  <a:gd name="T16" fmla="*/ 0 h 41"/>
                  <a:gd name="T17" fmla="*/ 65 w 65"/>
                  <a:gd name="T18" fmla="*/ 41 h 41"/>
                  <a:gd name="connsiteX0" fmla="*/ 3692 w 25693"/>
                  <a:gd name="connsiteY0" fmla="*/ 41585 h 41585"/>
                  <a:gd name="connsiteX1" fmla="*/ 0 w 25693"/>
                  <a:gd name="connsiteY1" fmla="*/ 41585 h 41585"/>
                  <a:gd name="connsiteX2" fmla="*/ 25693 w 25693"/>
                  <a:gd name="connsiteY2" fmla="*/ 0 h 41585"/>
                  <a:gd name="connsiteX3" fmla="*/ 10000 w 25693"/>
                  <a:gd name="connsiteY3" fmla="*/ 31585 h 41585"/>
                  <a:gd name="connsiteX4" fmla="*/ 3692 w 25693"/>
                  <a:gd name="connsiteY4" fmla="*/ 41585 h 41585"/>
                  <a:gd name="connsiteX0" fmla="*/ 3692 w 29000"/>
                  <a:gd name="connsiteY0" fmla="*/ 41585 h 41585"/>
                  <a:gd name="connsiteX1" fmla="*/ 0 w 29000"/>
                  <a:gd name="connsiteY1" fmla="*/ 41585 h 41585"/>
                  <a:gd name="connsiteX2" fmla="*/ 25693 w 29000"/>
                  <a:gd name="connsiteY2" fmla="*/ 0 h 41585"/>
                  <a:gd name="connsiteX3" fmla="*/ 29000 w 29000"/>
                  <a:gd name="connsiteY3" fmla="*/ 122 h 41585"/>
                  <a:gd name="connsiteX4" fmla="*/ 3692 w 29000"/>
                  <a:gd name="connsiteY4" fmla="*/ 41585 h 41585"/>
                  <a:gd name="connsiteX0" fmla="*/ 3692 w 29308"/>
                  <a:gd name="connsiteY0" fmla="*/ 41585 h 41585"/>
                  <a:gd name="connsiteX1" fmla="*/ 0 w 29308"/>
                  <a:gd name="connsiteY1" fmla="*/ 41585 h 41585"/>
                  <a:gd name="connsiteX2" fmla="*/ 25693 w 29308"/>
                  <a:gd name="connsiteY2" fmla="*/ 0 h 41585"/>
                  <a:gd name="connsiteX3" fmla="*/ 29308 w 29308"/>
                  <a:gd name="connsiteY3" fmla="*/ 244 h 41585"/>
                  <a:gd name="connsiteX4" fmla="*/ 3692 w 29308"/>
                  <a:gd name="connsiteY4" fmla="*/ 41585 h 4158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9308" h="41585">
                    <a:moveTo>
                      <a:pt x="3692" y="41585"/>
                    </a:moveTo>
                    <a:lnTo>
                      <a:pt x="0" y="41585"/>
                    </a:lnTo>
                    <a:lnTo>
                      <a:pt x="25693" y="0"/>
                    </a:lnTo>
                    <a:lnTo>
                      <a:pt x="29308" y="244"/>
                    </a:lnTo>
                    <a:lnTo>
                      <a:pt x="3692" y="41585"/>
                    </a:lnTo>
                    <a:close/>
                  </a:path>
                </a:pathLst>
              </a:custGeom>
              <a:gradFill rotWithShape="1">
                <a:gsLst>
                  <a:gs pos="0">
                    <a:srgbClr val="767676"/>
                  </a:gs>
                  <a:gs pos="50000">
                    <a:srgbClr val="FFFFFF"/>
                  </a:gs>
                  <a:gs pos="100000">
                    <a:srgbClr val="767676"/>
                  </a:gs>
                </a:gsLst>
                <a:lin ang="18900000" scaled="1"/>
              </a:gradFill>
              <a:ln w="9525">
                <a:solidFill>
                  <a:srgbClr val="000000"/>
                </a:solidFill>
                <a:round/>
                <a:headEnd/>
                <a:tailEnd/>
              </a:ln>
            </xdr:spPr>
          </xdr:sp>
          <xdr:sp macro="" textlink="">
            <xdr:nvSpPr>
              <xdr:cNvPr id="173" name="Freeform 96"/>
              <xdr:cNvSpPr>
                <a:spLocks/>
              </xdr:cNvSpPr>
            </xdr:nvSpPr>
            <xdr:spPr bwMode="auto">
              <a:xfrm>
                <a:off x="2309829" y="6076935"/>
                <a:ext cx="1804997" cy="1762138"/>
              </a:xfrm>
              <a:custGeom>
                <a:avLst/>
                <a:gdLst>
                  <a:gd name="T0" fmla="*/ 0 w 65"/>
                  <a:gd name="T1" fmla="*/ 41 h 47"/>
                  <a:gd name="T2" fmla="*/ 0 w 65"/>
                  <a:gd name="T3" fmla="*/ 47 h 47"/>
                  <a:gd name="T4" fmla="*/ 3 w 65"/>
                  <a:gd name="T5" fmla="*/ 44 h 47"/>
                  <a:gd name="T6" fmla="*/ 24 w 65"/>
                  <a:gd name="T7" fmla="*/ 44 h 47"/>
                  <a:gd name="T8" fmla="*/ 65 w 65"/>
                  <a:gd name="T9" fmla="*/ 3 h 47"/>
                  <a:gd name="T10" fmla="*/ 65 w 65"/>
                  <a:gd name="T11" fmla="*/ 0 h 47"/>
                  <a:gd name="T12" fmla="*/ 24 w 65"/>
                  <a:gd name="T13" fmla="*/ 41 h 47"/>
                  <a:gd name="T14" fmla="*/ 0 w 65"/>
                  <a:gd name="T15" fmla="*/ 41 h 47"/>
                  <a:gd name="T16" fmla="*/ 0 60000 65536"/>
                  <a:gd name="T17" fmla="*/ 0 60000 65536"/>
                  <a:gd name="T18" fmla="*/ 0 60000 65536"/>
                  <a:gd name="T19" fmla="*/ 0 60000 65536"/>
                  <a:gd name="T20" fmla="*/ 0 60000 65536"/>
                  <a:gd name="T21" fmla="*/ 0 60000 65536"/>
                  <a:gd name="T22" fmla="*/ 0 60000 65536"/>
                  <a:gd name="T23" fmla="*/ 0 60000 65536"/>
                  <a:gd name="T24" fmla="*/ 0 w 65"/>
                  <a:gd name="T25" fmla="*/ 0 h 47"/>
                  <a:gd name="T26" fmla="*/ 65 w 65"/>
                  <a:gd name="T27" fmla="*/ 47 h 47"/>
                  <a:gd name="connsiteX0" fmla="*/ 0 w 29154"/>
                  <a:gd name="connsiteY0" fmla="*/ 35957 h 37234"/>
                  <a:gd name="connsiteX1" fmla="*/ 0 w 29154"/>
                  <a:gd name="connsiteY1" fmla="*/ 37234 h 37234"/>
                  <a:gd name="connsiteX2" fmla="*/ 462 w 29154"/>
                  <a:gd name="connsiteY2" fmla="*/ 36596 h 37234"/>
                  <a:gd name="connsiteX3" fmla="*/ 3692 w 29154"/>
                  <a:gd name="connsiteY3" fmla="*/ 36596 h 37234"/>
                  <a:gd name="connsiteX4" fmla="*/ 10000 w 29154"/>
                  <a:gd name="connsiteY4" fmla="*/ 27872 h 37234"/>
                  <a:gd name="connsiteX5" fmla="*/ 29154 w 29154"/>
                  <a:gd name="connsiteY5" fmla="*/ 0 h 37234"/>
                  <a:gd name="connsiteX6" fmla="*/ 3692 w 29154"/>
                  <a:gd name="connsiteY6" fmla="*/ 35957 h 37234"/>
                  <a:gd name="connsiteX7" fmla="*/ 0 w 29154"/>
                  <a:gd name="connsiteY7" fmla="*/ 35957 h 37234"/>
                  <a:gd name="connsiteX0" fmla="*/ 0 w 29154"/>
                  <a:gd name="connsiteY0" fmla="*/ 35957 h 37234"/>
                  <a:gd name="connsiteX1" fmla="*/ 0 w 29154"/>
                  <a:gd name="connsiteY1" fmla="*/ 37234 h 37234"/>
                  <a:gd name="connsiteX2" fmla="*/ 462 w 29154"/>
                  <a:gd name="connsiteY2" fmla="*/ 36596 h 37234"/>
                  <a:gd name="connsiteX3" fmla="*/ 3692 w 29154"/>
                  <a:gd name="connsiteY3" fmla="*/ 36596 h 37234"/>
                  <a:gd name="connsiteX4" fmla="*/ 29154 w 29154"/>
                  <a:gd name="connsiteY4" fmla="*/ 1063 h 37234"/>
                  <a:gd name="connsiteX5" fmla="*/ 29154 w 29154"/>
                  <a:gd name="connsiteY5" fmla="*/ 0 h 37234"/>
                  <a:gd name="connsiteX6" fmla="*/ 3692 w 29154"/>
                  <a:gd name="connsiteY6" fmla="*/ 35957 h 37234"/>
                  <a:gd name="connsiteX7" fmla="*/ 0 w 29154"/>
                  <a:gd name="connsiteY7" fmla="*/ 35957 h 37234"/>
                  <a:gd name="connsiteX0" fmla="*/ 0 w 29154"/>
                  <a:gd name="connsiteY0" fmla="*/ 35957 h 37234"/>
                  <a:gd name="connsiteX1" fmla="*/ 0 w 29154"/>
                  <a:gd name="connsiteY1" fmla="*/ 37234 h 37234"/>
                  <a:gd name="connsiteX2" fmla="*/ 462 w 29154"/>
                  <a:gd name="connsiteY2" fmla="*/ 36596 h 37234"/>
                  <a:gd name="connsiteX3" fmla="*/ 3692 w 29154"/>
                  <a:gd name="connsiteY3" fmla="*/ 36596 h 37234"/>
                  <a:gd name="connsiteX4" fmla="*/ 29154 w 29154"/>
                  <a:gd name="connsiteY4" fmla="*/ 744 h 37234"/>
                  <a:gd name="connsiteX5" fmla="*/ 29154 w 29154"/>
                  <a:gd name="connsiteY5" fmla="*/ 0 h 37234"/>
                  <a:gd name="connsiteX6" fmla="*/ 3692 w 29154"/>
                  <a:gd name="connsiteY6" fmla="*/ 35957 h 37234"/>
                  <a:gd name="connsiteX7" fmla="*/ 0 w 29154"/>
                  <a:gd name="connsiteY7" fmla="*/ 35957 h 37234"/>
                  <a:gd name="connsiteX0" fmla="*/ 0 w 29154"/>
                  <a:gd name="connsiteY0" fmla="*/ 35957 h 39362"/>
                  <a:gd name="connsiteX1" fmla="*/ 0 w 29154"/>
                  <a:gd name="connsiteY1" fmla="*/ 37234 h 39362"/>
                  <a:gd name="connsiteX2" fmla="*/ 462 w 29154"/>
                  <a:gd name="connsiteY2" fmla="*/ 36596 h 39362"/>
                  <a:gd name="connsiteX3" fmla="*/ 3692 w 29154"/>
                  <a:gd name="connsiteY3" fmla="*/ 39362 h 39362"/>
                  <a:gd name="connsiteX4" fmla="*/ 29154 w 29154"/>
                  <a:gd name="connsiteY4" fmla="*/ 744 h 39362"/>
                  <a:gd name="connsiteX5" fmla="*/ 29154 w 29154"/>
                  <a:gd name="connsiteY5" fmla="*/ 0 h 39362"/>
                  <a:gd name="connsiteX6" fmla="*/ 3692 w 29154"/>
                  <a:gd name="connsiteY6" fmla="*/ 35957 h 39362"/>
                  <a:gd name="connsiteX7" fmla="*/ 0 w 29154"/>
                  <a:gd name="connsiteY7" fmla="*/ 35957 h 39362"/>
                  <a:gd name="connsiteX0" fmla="*/ 0 w 29154"/>
                  <a:gd name="connsiteY0" fmla="*/ 35957 h 39362"/>
                  <a:gd name="connsiteX1" fmla="*/ 0 w 29154"/>
                  <a:gd name="connsiteY1" fmla="*/ 37234 h 39362"/>
                  <a:gd name="connsiteX2" fmla="*/ 462 w 29154"/>
                  <a:gd name="connsiteY2" fmla="*/ 36596 h 39362"/>
                  <a:gd name="connsiteX3" fmla="*/ 3692 w 29154"/>
                  <a:gd name="connsiteY3" fmla="*/ 39362 h 39362"/>
                  <a:gd name="connsiteX4" fmla="*/ 29154 w 29154"/>
                  <a:gd name="connsiteY4" fmla="*/ 3191 h 39362"/>
                  <a:gd name="connsiteX5" fmla="*/ 29154 w 29154"/>
                  <a:gd name="connsiteY5" fmla="*/ 0 h 39362"/>
                  <a:gd name="connsiteX6" fmla="*/ 3692 w 29154"/>
                  <a:gd name="connsiteY6" fmla="*/ 35957 h 39362"/>
                  <a:gd name="connsiteX7" fmla="*/ 0 w 29154"/>
                  <a:gd name="connsiteY7" fmla="*/ 35957 h 3936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9154" h="39362">
                    <a:moveTo>
                      <a:pt x="0" y="35957"/>
                    </a:moveTo>
                    <a:lnTo>
                      <a:pt x="0" y="37234"/>
                    </a:lnTo>
                    <a:lnTo>
                      <a:pt x="462" y="36596"/>
                    </a:lnTo>
                    <a:lnTo>
                      <a:pt x="3692" y="39362"/>
                    </a:lnTo>
                    <a:lnTo>
                      <a:pt x="29154" y="3191"/>
                    </a:lnTo>
                    <a:lnTo>
                      <a:pt x="29154" y="0"/>
                    </a:lnTo>
                    <a:lnTo>
                      <a:pt x="3692" y="35957"/>
                    </a:lnTo>
                    <a:lnTo>
                      <a:pt x="0" y="35957"/>
                    </a:lnTo>
                    <a:close/>
                  </a:path>
                </a:pathLst>
              </a:custGeom>
              <a:gradFill>
                <a:gsLst>
                  <a:gs pos="0">
                    <a:schemeClr val="bg1">
                      <a:lumMod val="50000"/>
                    </a:schemeClr>
                  </a:gs>
                  <a:gs pos="50000">
                    <a:schemeClr val="bg1">
                      <a:lumMod val="60000"/>
                    </a:schemeClr>
                  </a:gs>
                  <a:gs pos="100000">
                    <a:schemeClr val="accent1">
                      <a:tint val="23500"/>
                      <a:satMod val="160000"/>
                      <a:lumMod val="73000"/>
                    </a:schemeClr>
                  </a:gs>
                </a:gsLst>
                <a:lin ang="5400000" scaled="0"/>
              </a:gradFill>
              <a:ln w="6350" cmpd="sng">
                <a:solidFill>
                  <a:srgbClr val="000000"/>
                </a:solidFill>
                <a:round/>
                <a:headEnd/>
                <a:tailEnd/>
              </a:ln>
            </xdr:spPr>
          </xdr:sp>
        </xdr:grpSp>
        <xdr:grpSp>
          <xdr:nvGrpSpPr>
            <xdr:cNvPr id="125" name="Group 124"/>
            <xdr:cNvGrpSpPr/>
          </xdr:nvGrpSpPr>
          <xdr:grpSpPr>
            <a:xfrm>
              <a:off x="4376774" y="7296132"/>
              <a:ext cx="1814534" cy="1776414"/>
              <a:chOff x="2309829" y="6062659"/>
              <a:chExt cx="1814534" cy="1776414"/>
            </a:xfrm>
          </xdr:grpSpPr>
          <xdr:sp macro="" textlink="">
            <xdr:nvSpPr>
              <xdr:cNvPr id="170" name="Freeform 95"/>
              <xdr:cNvSpPr>
                <a:spLocks/>
              </xdr:cNvSpPr>
            </xdr:nvSpPr>
            <xdr:spPr bwMode="auto">
              <a:xfrm>
                <a:off x="2309831" y="6062659"/>
                <a:ext cx="1814532" cy="1623998"/>
              </a:xfrm>
              <a:custGeom>
                <a:avLst/>
                <a:gdLst>
                  <a:gd name="T0" fmla="*/ 24 w 65"/>
                  <a:gd name="T1" fmla="*/ 41 h 41"/>
                  <a:gd name="T2" fmla="*/ 0 w 65"/>
                  <a:gd name="T3" fmla="*/ 41 h 41"/>
                  <a:gd name="T4" fmla="*/ 41 w 65"/>
                  <a:gd name="T5" fmla="*/ 0 h 41"/>
                  <a:gd name="T6" fmla="*/ 65 w 65"/>
                  <a:gd name="T7" fmla="*/ 0 h 41"/>
                  <a:gd name="T8" fmla="*/ 24 w 65"/>
                  <a:gd name="T9" fmla="*/ 41 h 41"/>
                  <a:gd name="T10" fmla="*/ 0 60000 65536"/>
                  <a:gd name="T11" fmla="*/ 0 60000 65536"/>
                  <a:gd name="T12" fmla="*/ 0 60000 65536"/>
                  <a:gd name="T13" fmla="*/ 0 60000 65536"/>
                  <a:gd name="T14" fmla="*/ 0 60000 65536"/>
                  <a:gd name="T15" fmla="*/ 0 w 65"/>
                  <a:gd name="T16" fmla="*/ 0 h 41"/>
                  <a:gd name="T17" fmla="*/ 65 w 65"/>
                  <a:gd name="T18" fmla="*/ 41 h 41"/>
                  <a:gd name="connsiteX0" fmla="*/ 3692 w 25693"/>
                  <a:gd name="connsiteY0" fmla="*/ 41585 h 41585"/>
                  <a:gd name="connsiteX1" fmla="*/ 0 w 25693"/>
                  <a:gd name="connsiteY1" fmla="*/ 41585 h 41585"/>
                  <a:gd name="connsiteX2" fmla="*/ 25693 w 25693"/>
                  <a:gd name="connsiteY2" fmla="*/ 0 h 41585"/>
                  <a:gd name="connsiteX3" fmla="*/ 10000 w 25693"/>
                  <a:gd name="connsiteY3" fmla="*/ 31585 h 41585"/>
                  <a:gd name="connsiteX4" fmla="*/ 3692 w 25693"/>
                  <a:gd name="connsiteY4" fmla="*/ 41585 h 41585"/>
                  <a:gd name="connsiteX0" fmla="*/ 3692 w 29000"/>
                  <a:gd name="connsiteY0" fmla="*/ 41585 h 41585"/>
                  <a:gd name="connsiteX1" fmla="*/ 0 w 29000"/>
                  <a:gd name="connsiteY1" fmla="*/ 41585 h 41585"/>
                  <a:gd name="connsiteX2" fmla="*/ 25693 w 29000"/>
                  <a:gd name="connsiteY2" fmla="*/ 0 h 41585"/>
                  <a:gd name="connsiteX3" fmla="*/ 29000 w 29000"/>
                  <a:gd name="connsiteY3" fmla="*/ 122 h 41585"/>
                  <a:gd name="connsiteX4" fmla="*/ 3692 w 29000"/>
                  <a:gd name="connsiteY4" fmla="*/ 41585 h 41585"/>
                  <a:gd name="connsiteX0" fmla="*/ 3692 w 29308"/>
                  <a:gd name="connsiteY0" fmla="*/ 41585 h 41585"/>
                  <a:gd name="connsiteX1" fmla="*/ 0 w 29308"/>
                  <a:gd name="connsiteY1" fmla="*/ 41585 h 41585"/>
                  <a:gd name="connsiteX2" fmla="*/ 25693 w 29308"/>
                  <a:gd name="connsiteY2" fmla="*/ 0 h 41585"/>
                  <a:gd name="connsiteX3" fmla="*/ 29308 w 29308"/>
                  <a:gd name="connsiteY3" fmla="*/ 244 h 41585"/>
                  <a:gd name="connsiteX4" fmla="*/ 3692 w 29308"/>
                  <a:gd name="connsiteY4" fmla="*/ 41585 h 4158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9308" h="41585">
                    <a:moveTo>
                      <a:pt x="3692" y="41585"/>
                    </a:moveTo>
                    <a:lnTo>
                      <a:pt x="0" y="41585"/>
                    </a:lnTo>
                    <a:lnTo>
                      <a:pt x="25693" y="0"/>
                    </a:lnTo>
                    <a:lnTo>
                      <a:pt x="29308" y="244"/>
                    </a:lnTo>
                    <a:lnTo>
                      <a:pt x="3692" y="41585"/>
                    </a:lnTo>
                    <a:close/>
                  </a:path>
                </a:pathLst>
              </a:custGeom>
              <a:gradFill rotWithShape="1">
                <a:gsLst>
                  <a:gs pos="0">
                    <a:srgbClr val="767676"/>
                  </a:gs>
                  <a:gs pos="50000">
                    <a:srgbClr val="FFFFFF"/>
                  </a:gs>
                  <a:gs pos="100000">
                    <a:srgbClr val="767676"/>
                  </a:gs>
                </a:gsLst>
                <a:lin ang="18900000" scaled="1"/>
              </a:gradFill>
              <a:ln w="9525">
                <a:solidFill>
                  <a:srgbClr val="000000"/>
                </a:solidFill>
                <a:round/>
                <a:headEnd/>
                <a:tailEnd/>
              </a:ln>
            </xdr:spPr>
          </xdr:sp>
          <xdr:sp macro="" textlink="">
            <xdr:nvSpPr>
              <xdr:cNvPr id="171" name="Freeform 96"/>
              <xdr:cNvSpPr>
                <a:spLocks/>
              </xdr:cNvSpPr>
            </xdr:nvSpPr>
            <xdr:spPr bwMode="auto">
              <a:xfrm>
                <a:off x="2309829" y="6076935"/>
                <a:ext cx="1804997" cy="1762138"/>
              </a:xfrm>
              <a:custGeom>
                <a:avLst/>
                <a:gdLst>
                  <a:gd name="T0" fmla="*/ 0 w 65"/>
                  <a:gd name="T1" fmla="*/ 41 h 47"/>
                  <a:gd name="T2" fmla="*/ 0 w 65"/>
                  <a:gd name="T3" fmla="*/ 47 h 47"/>
                  <a:gd name="T4" fmla="*/ 3 w 65"/>
                  <a:gd name="T5" fmla="*/ 44 h 47"/>
                  <a:gd name="T6" fmla="*/ 24 w 65"/>
                  <a:gd name="T7" fmla="*/ 44 h 47"/>
                  <a:gd name="T8" fmla="*/ 65 w 65"/>
                  <a:gd name="T9" fmla="*/ 3 h 47"/>
                  <a:gd name="T10" fmla="*/ 65 w 65"/>
                  <a:gd name="T11" fmla="*/ 0 h 47"/>
                  <a:gd name="T12" fmla="*/ 24 w 65"/>
                  <a:gd name="T13" fmla="*/ 41 h 47"/>
                  <a:gd name="T14" fmla="*/ 0 w 65"/>
                  <a:gd name="T15" fmla="*/ 41 h 47"/>
                  <a:gd name="T16" fmla="*/ 0 60000 65536"/>
                  <a:gd name="T17" fmla="*/ 0 60000 65536"/>
                  <a:gd name="T18" fmla="*/ 0 60000 65536"/>
                  <a:gd name="T19" fmla="*/ 0 60000 65536"/>
                  <a:gd name="T20" fmla="*/ 0 60000 65536"/>
                  <a:gd name="T21" fmla="*/ 0 60000 65536"/>
                  <a:gd name="T22" fmla="*/ 0 60000 65536"/>
                  <a:gd name="T23" fmla="*/ 0 60000 65536"/>
                  <a:gd name="T24" fmla="*/ 0 w 65"/>
                  <a:gd name="T25" fmla="*/ 0 h 47"/>
                  <a:gd name="T26" fmla="*/ 65 w 65"/>
                  <a:gd name="T27" fmla="*/ 47 h 47"/>
                  <a:gd name="connsiteX0" fmla="*/ 0 w 29154"/>
                  <a:gd name="connsiteY0" fmla="*/ 35957 h 37234"/>
                  <a:gd name="connsiteX1" fmla="*/ 0 w 29154"/>
                  <a:gd name="connsiteY1" fmla="*/ 37234 h 37234"/>
                  <a:gd name="connsiteX2" fmla="*/ 462 w 29154"/>
                  <a:gd name="connsiteY2" fmla="*/ 36596 h 37234"/>
                  <a:gd name="connsiteX3" fmla="*/ 3692 w 29154"/>
                  <a:gd name="connsiteY3" fmla="*/ 36596 h 37234"/>
                  <a:gd name="connsiteX4" fmla="*/ 10000 w 29154"/>
                  <a:gd name="connsiteY4" fmla="*/ 27872 h 37234"/>
                  <a:gd name="connsiteX5" fmla="*/ 29154 w 29154"/>
                  <a:gd name="connsiteY5" fmla="*/ 0 h 37234"/>
                  <a:gd name="connsiteX6" fmla="*/ 3692 w 29154"/>
                  <a:gd name="connsiteY6" fmla="*/ 35957 h 37234"/>
                  <a:gd name="connsiteX7" fmla="*/ 0 w 29154"/>
                  <a:gd name="connsiteY7" fmla="*/ 35957 h 37234"/>
                  <a:gd name="connsiteX0" fmla="*/ 0 w 29154"/>
                  <a:gd name="connsiteY0" fmla="*/ 35957 h 37234"/>
                  <a:gd name="connsiteX1" fmla="*/ 0 w 29154"/>
                  <a:gd name="connsiteY1" fmla="*/ 37234 h 37234"/>
                  <a:gd name="connsiteX2" fmla="*/ 462 w 29154"/>
                  <a:gd name="connsiteY2" fmla="*/ 36596 h 37234"/>
                  <a:gd name="connsiteX3" fmla="*/ 3692 w 29154"/>
                  <a:gd name="connsiteY3" fmla="*/ 36596 h 37234"/>
                  <a:gd name="connsiteX4" fmla="*/ 29154 w 29154"/>
                  <a:gd name="connsiteY4" fmla="*/ 1063 h 37234"/>
                  <a:gd name="connsiteX5" fmla="*/ 29154 w 29154"/>
                  <a:gd name="connsiteY5" fmla="*/ 0 h 37234"/>
                  <a:gd name="connsiteX6" fmla="*/ 3692 w 29154"/>
                  <a:gd name="connsiteY6" fmla="*/ 35957 h 37234"/>
                  <a:gd name="connsiteX7" fmla="*/ 0 w 29154"/>
                  <a:gd name="connsiteY7" fmla="*/ 35957 h 37234"/>
                  <a:gd name="connsiteX0" fmla="*/ 0 w 29154"/>
                  <a:gd name="connsiteY0" fmla="*/ 35957 h 37234"/>
                  <a:gd name="connsiteX1" fmla="*/ 0 w 29154"/>
                  <a:gd name="connsiteY1" fmla="*/ 37234 h 37234"/>
                  <a:gd name="connsiteX2" fmla="*/ 462 w 29154"/>
                  <a:gd name="connsiteY2" fmla="*/ 36596 h 37234"/>
                  <a:gd name="connsiteX3" fmla="*/ 3692 w 29154"/>
                  <a:gd name="connsiteY3" fmla="*/ 36596 h 37234"/>
                  <a:gd name="connsiteX4" fmla="*/ 29154 w 29154"/>
                  <a:gd name="connsiteY4" fmla="*/ 744 h 37234"/>
                  <a:gd name="connsiteX5" fmla="*/ 29154 w 29154"/>
                  <a:gd name="connsiteY5" fmla="*/ 0 h 37234"/>
                  <a:gd name="connsiteX6" fmla="*/ 3692 w 29154"/>
                  <a:gd name="connsiteY6" fmla="*/ 35957 h 37234"/>
                  <a:gd name="connsiteX7" fmla="*/ 0 w 29154"/>
                  <a:gd name="connsiteY7" fmla="*/ 35957 h 37234"/>
                  <a:gd name="connsiteX0" fmla="*/ 0 w 29154"/>
                  <a:gd name="connsiteY0" fmla="*/ 35957 h 39362"/>
                  <a:gd name="connsiteX1" fmla="*/ 0 w 29154"/>
                  <a:gd name="connsiteY1" fmla="*/ 37234 h 39362"/>
                  <a:gd name="connsiteX2" fmla="*/ 462 w 29154"/>
                  <a:gd name="connsiteY2" fmla="*/ 36596 h 39362"/>
                  <a:gd name="connsiteX3" fmla="*/ 3692 w 29154"/>
                  <a:gd name="connsiteY3" fmla="*/ 39362 h 39362"/>
                  <a:gd name="connsiteX4" fmla="*/ 29154 w 29154"/>
                  <a:gd name="connsiteY4" fmla="*/ 744 h 39362"/>
                  <a:gd name="connsiteX5" fmla="*/ 29154 w 29154"/>
                  <a:gd name="connsiteY5" fmla="*/ 0 h 39362"/>
                  <a:gd name="connsiteX6" fmla="*/ 3692 w 29154"/>
                  <a:gd name="connsiteY6" fmla="*/ 35957 h 39362"/>
                  <a:gd name="connsiteX7" fmla="*/ 0 w 29154"/>
                  <a:gd name="connsiteY7" fmla="*/ 35957 h 39362"/>
                  <a:gd name="connsiteX0" fmla="*/ 0 w 29154"/>
                  <a:gd name="connsiteY0" fmla="*/ 35957 h 39362"/>
                  <a:gd name="connsiteX1" fmla="*/ 0 w 29154"/>
                  <a:gd name="connsiteY1" fmla="*/ 37234 h 39362"/>
                  <a:gd name="connsiteX2" fmla="*/ 462 w 29154"/>
                  <a:gd name="connsiteY2" fmla="*/ 36596 h 39362"/>
                  <a:gd name="connsiteX3" fmla="*/ 3692 w 29154"/>
                  <a:gd name="connsiteY3" fmla="*/ 39362 h 39362"/>
                  <a:gd name="connsiteX4" fmla="*/ 29154 w 29154"/>
                  <a:gd name="connsiteY4" fmla="*/ 3191 h 39362"/>
                  <a:gd name="connsiteX5" fmla="*/ 29154 w 29154"/>
                  <a:gd name="connsiteY5" fmla="*/ 0 h 39362"/>
                  <a:gd name="connsiteX6" fmla="*/ 3692 w 29154"/>
                  <a:gd name="connsiteY6" fmla="*/ 35957 h 39362"/>
                  <a:gd name="connsiteX7" fmla="*/ 0 w 29154"/>
                  <a:gd name="connsiteY7" fmla="*/ 35957 h 3936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9154" h="39362">
                    <a:moveTo>
                      <a:pt x="0" y="35957"/>
                    </a:moveTo>
                    <a:lnTo>
                      <a:pt x="0" y="37234"/>
                    </a:lnTo>
                    <a:lnTo>
                      <a:pt x="462" y="36596"/>
                    </a:lnTo>
                    <a:lnTo>
                      <a:pt x="3692" y="39362"/>
                    </a:lnTo>
                    <a:lnTo>
                      <a:pt x="29154" y="3191"/>
                    </a:lnTo>
                    <a:lnTo>
                      <a:pt x="29154" y="0"/>
                    </a:lnTo>
                    <a:lnTo>
                      <a:pt x="3692" y="35957"/>
                    </a:lnTo>
                    <a:lnTo>
                      <a:pt x="0" y="35957"/>
                    </a:lnTo>
                    <a:close/>
                  </a:path>
                </a:pathLst>
              </a:custGeom>
              <a:gradFill>
                <a:gsLst>
                  <a:gs pos="0">
                    <a:schemeClr val="bg1">
                      <a:lumMod val="50000"/>
                    </a:schemeClr>
                  </a:gs>
                  <a:gs pos="50000">
                    <a:schemeClr val="bg1">
                      <a:lumMod val="60000"/>
                    </a:schemeClr>
                  </a:gs>
                  <a:gs pos="100000">
                    <a:schemeClr val="accent1">
                      <a:tint val="23500"/>
                      <a:satMod val="160000"/>
                      <a:lumMod val="73000"/>
                    </a:schemeClr>
                  </a:gs>
                </a:gsLst>
                <a:lin ang="5400000" scaled="0"/>
              </a:gradFill>
              <a:ln w="6350" cmpd="sng">
                <a:solidFill>
                  <a:srgbClr val="000000"/>
                </a:solidFill>
                <a:round/>
                <a:headEnd/>
                <a:tailEnd/>
              </a:ln>
            </xdr:spPr>
          </xdr:sp>
        </xdr:grpSp>
        <xdr:grpSp>
          <xdr:nvGrpSpPr>
            <xdr:cNvPr id="126" name="Group 125"/>
            <xdr:cNvGrpSpPr/>
          </xdr:nvGrpSpPr>
          <xdr:grpSpPr>
            <a:xfrm>
              <a:off x="4729179" y="7286622"/>
              <a:ext cx="1814534" cy="1776414"/>
              <a:chOff x="2309829" y="6062659"/>
              <a:chExt cx="1814534" cy="1776414"/>
            </a:xfrm>
          </xdr:grpSpPr>
          <xdr:sp macro="" textlink="">
            <xdr:nvSpPr>
              <xdr:cNvPr id="168" name="Freeform 95"/>
              <xdr:cNvSpPr>
                <a:spLocks/>
              </xdr:cNvSpPr>
            </xdr:nvSpPr>
            <xdr:spPr bwMode="auto">
              <a:xfrm>
                <a:off x="2309831" y="6062659"/>
                <a:ext cx="1814532" cy="1623998"/>
              </a:xfrm>
              <a:custGeom>
                <a:avLst/>
                <a:gdLst>
                  <a:gd name="T0" fmla="*/ 24 w 65"/>
                  <a:gd name="T1" fmla="*/ 41 h 41"/>
                  <a:gd name="T2" fmla="*/ 0 w 65"/>
                  <a:gd name="T3" fmla="*/ 41 h 41"/>
                  <a:gd name="T4" fmla="*/ 41 w 65"/>
                  <a:gd name="T5" fmla="*/ 0 h 41"/>
                  <a:gd name="T6" fmla="*/ 65 w 65"/>
                  <a:gd name="T7" fmla="*/ 0 h 41"/>
                  <a:gd name="T8" fmla="*/ 24 w 65"/>
                  <a:gd name="T9" fmla="*/ 41 h 41"/>
                  <a:gd name="T10" fmla="*/ 0 60000 65536"/>
                  <a:gd name="T11" fmla="*/ 0 60000 65536"/>
                  <a:gd name="T12" fmla="*/ 0 60000 65536"/>
                  <a:gd name="T13" fmla="*/ 0 60000 65536"/>
                  <a:gd name="T14" fmla="*/ 0 60000 65536"/>
                  <a:gd name="T15" fmla="*/ 0 w 65"/>
                  <a:gd name="T16" fmla="*/ 0 h 41"/>
                  <a:gd name="T17" fmla="*/ 65 w 65"/>
                  <a:gd name="T18" fmla="*/ 41 h 41"/>
                  <a:gd name="connsiteX0" fmla="*/ 3692 w 25693"/>
                  <a:gd name="connsiteY0" fmla="*/ 41585 h 41585"/>
                  <a:gd name="connsiteX1" fmla="*/ 0 w 25693"/>
                  <a:gd name="connsiteY1" fmla="*/ 41585 h 41585"/>
                  <a:gd name="connsiteX2" fmla="*/ 25693 w 25693"/>
                  <a:gd name="connsiteY2" fmla="*/ 0 h 41585"/>
                  <a:gd name="connsiteX3" fmla="*/ 10000 w 25693"/>
                  <a:gd name="connsiteY3" fmla="*/ 31585 h 41585"/>
                  <a:gd name="connsiteX4" fmla="*/ 3692 w 25693"/>
                  <a:gd name="connsiteY4" fmla="*/ 41585 h 41585"/>
                  <a:gd name="connsiteX0" fmla="*/ 3692 w 29000"/>
                  <a:gd name="connsiteY0" fmla="*/ 41585 h 41585"/>
                  <a:gd name="connsiteX1" fmla="*/ 0 w 29000"/>
                  <a:gd name="connsiteY1" fmla="*/ 41585 h 41585"/>
                  <a:gd name="connsiteX2" fmla="*/ 25693 w 29000"/>
                  <a:gd name="connsiteY2" fmla="*/ 0 h 41585"/>
                  <a:gd name="connsiteX3" fmla="*/ 29000 w 29000"/>
                  <a:gd name="connsiteY3" fmla="*/ 122 h 41585"/>
                  <a:gd name="connsiteX4" fmla="*/ 3692 w 29000"/>
                  <a:gd name="connsiteY4" fmla="*/ 41585 h 41585"/>
                  <a:gd name="connsiteX0" fmla="*/ 3692 w 29308"/>
                  <a:gd name="connsiteY0" fmla="*/ 41585 h 41585"/>
                  <a:gd name="connsiteX1" fmla="*/ 0 w 29308"/>
                  <a:gd name="connsiteY1" fmla="*/ 41585 h 41585"/>
                  <a:gd name="connsiteX2" fmla="*/ 25693 w 29308"/>
                  <a:gd name="connsiteY2" fmla="*/ 0 h 41585"/>
                  <a:gd name="connsiteX3" fmla="*/ 29308 w 29308"/>
                  <a:gd name="connsiteY3" fmla="*/ 244 h 41585"/>
                  <a:gd name="connsiteX4" fmla="*/ 3692 w 29308"/>
                  <a:gd name="connsiteY4" fmla="*/ 41585 h 4158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9308" h="41585">
                    <a:moveTo>
                      <a:pt x="3692" y="41585"/>
                    </a:moveTo>
                    <a:lnTo>
                      <a:pt x="0" y="41585"/>
                    </a:lnTo>
                    <a:lnTo>
                      <a:pt x="25693" y="0"/>
                    </a:lnTo>
                    <a:lnTo>
                      <a:pt x="29308" y="244"/>
                    </a:lnTo>
                    <a:lnTo>
                      <a:pt x="3692" y="41585"/>
                    </a:lnTo>
                    <a:close/>
                  </a:path>
                </a:pathLst>
              </a:custGeom>
              <a:gradFill rotWithShape="1">
                <a:gsLst>
                  <a:gs pos="0">
                    <a:srgbClr val="767676"/>
                  </a:gs>
                  <a:gs pos="50000">
                    <a:srgbClr val="FFFFFF"/>
                  </a:gs>
                  <a:gs pos="100000">
                    <a:srgbClr val="767676"/>
                  </a:gs>
                </a:gsLst>
                <a:lin ang="18900000" scaled="1"/>
              </a:gradFill>
              <a:ln w="9525">
                <a:solidFill>
                  <a:srgbClr val="000000"/>
                </a:solidFill>
                <a:round/>
                <a:headEnd/>
                <a:tailEnd/>
              </a:ln>
            </xdr:spPr>
          </xdr:sp>
          <xdr:sp macro="" textlink="">
            <xdr:nvSpPr>
              <xdr:cNvPr id="169" name="Freeform 96"/>
              <xdr:cNvSpPr>
                <a:spLocks/>
              </xdr:cNvSpPr>
            </xdr:nvSpPr>
            <xdr:spPr bwMode="auto">
              <a:xfrm>
                <a:off x="2309829" y="6076935"/>
                <a:ext cx="1804997" cy="1762138"/>
              </a:xfrm>
              <a:custGeom>
                <a:avLst/>
                <a:gdLst>
                  <a:gd name="T0" fmla="*/ 0 w 65"/>
                  <a:gd name="T1" fmla="*/ 41 h 47"/>
                  <a:gd name="T2" fmla="*/ 0 w 65"/>
                  <a:gd name="T3" fmla="*/ 47 h 47"/>
                  <a:gd name="T4" fmla="*/ 3 w 65"/>
                  <a:gd name="T5" fmla="*/ 44 h 47"/>
                  <a:gd name="T6" fmla="*/ 24 w 65"/>
                  <a:gd name="T7" fmla="*/ 44 h 47"/>
                  <a:gd name="T8" fmla="*/ 65 w 65"/>
                  <a:gd name="T9" fmla="*/ 3 h 47"/>
                  <a:gd name="T10" fmla="*/ 65 w 65"/>
                  <a:gd name="T11" fmla="*/ 0 h 47"/>
                  <a:gd name="T12" fmla="*/ 24 w 65"/>
                  <a:gd name="T13" fmla="*/ 41 h 47"/>
                  <a:gd name="T14" fmla="*/ 0 w 65"/>
                  <a:gd name="T15" fmla="*/ 41 h 47"/>
                  <a:gd name="T16" fmla="*/ 0 60000 65536"/>
                  <a:gd name="T17" fmla="*/ 0 60000 65536"/>
                  <a:gd name="T18" fmla="*/ 0 60000 65536"/>
                  <a:gd name="T19" fmla="*/ 0 60000 65536"/>
                  <a:gd name="T20" fmla="*/ 0 60000 65536"/>
                  <a:gd name="T21" fmla="*/ 0 60000 65536"/>
                  <a:gd name="T22" fmla="*/ 0 60000 65536"/>
                  <a:gd name="T23" fmla="*/ 0 60000 65536"/>
                  <a:gd name="T24" fmla="*/ 0 w 65"/>
                  <a:gd name="T25" fmla="*/ 0 h 47"/>
                  <a:gd name="T26" fmla="*/ 65 w 65"/>
                  <a:gd name="T27" fmla="*/ 47 h 47"/>
                  <a:gd name="connsiteX0" fmla="*/ 0 w 29154"/>
                  <a:gd name="connsiteY0" fmla="*/ 35957 h 37234"/>
                  <a:gd name="connsiteX1" fmla="*/ 0 w 29154"/>
                  <a:gd name="connsiteY1" fmla="*/ 37234 h 37234"/>
                  <a:gd name="connsiteX2" fmla="*/ 462 w 29154"/>
                  <a:gd name="connsiteY2" fmla="*/ 36596 h 37234"/>
                  <a:gd name="connsiteX3" fmla="*/ 3692 w 29154"/>
                  <a:gd name="connsiteY3" fmla="*/ 36596 h 37234"/>
                  <a:gd name="connsiteX4" fmla="*/ 10000 w 29154"/>
                  <a:gd name="connsiteY4" fmla="*/ 27872 h 37234"/>
                  <a:gd name="connsiteX5" fmla="*/ 29154 w 29154"/>
                  <a:gd name="connsiteY5" fmla="*/ 0 h 37234"/>
                  <a:gd name="connsiteX6" fmla="*/ 3692 w 29154"/>
                  <a:gd name="connsiteY6" fmla="*/ 35957 h 37234"/>
                  <a:gd name="connsiteX7" fmla="*/ 0 w 29154"/>
                  <a:gd name="connsiteY7" fmla="*/ 35957 h 37234"/>
                  <a:gd name="connsiteX0" fmla="*/ 0 w 29154"/>
                  <a:gd name="connsiteY0" fmla="*/ 35957 h 37234"/>
                  <a:gd name="connsiteX1" fmla="*/ 0 w 29154"/>
                  <a:gd name="connsiteY1" fmla="*/ 37234 h 37234"/>
                  <a:gd name="connsiteX2" fmla="*/ 462 w 29154"/>
                  <a:gd name="connsiteY2" fmla="*/ 36596 h 37234"/>
                  <a:gd name="connsiteX3" fmla="*/ 3692 w 29154"/>
                  <a:gd name="connsiteY3" fmla="*/ 36596 h 37234"/>
                  <a:gd name="connsiteX4" fmla="*/ 29154 w 29154"/>
                  <a:gd name="connsiteY4" fmla="*/ 1063 h 37234"/>
                  <a:gd name="connsiteX5" fmla="*/ 29154 w 29154"/>
                  <a:gd name="connsiteY5" fmla="*/ 0 h 37234"/>
                  <a:gd name="connsiteX6" fmla="*/ 3692 w 29154"/>
                  <a:gd name="connsiteY6" fmla="*/ 35957 h 37234"/>
                  <a:gd name="connsiteX7" fmla="*/ 0 w 29154"/>
                  <a:gd name="connsiteY7" fmla="*/ 35957 h 37234"/>
                  <a:gd name="connsiteX0" fmla="*/ 0 w 29154"/>
                  <a:gd name="connsiteY0" fmla="*/ 35957 h 37234"/>
                  <a:gd name="connsiteX1" fmla="*/ 0 w 29154"/>
                  <a:gd name="connsiteY1" fmla="*/ 37234 h 37234"/>
                  <a:gd name="connsiteX2" fmla="*/ 462 w 29154"/>
                  <a:gd name="connsiteY2" fmla="*/ 36596 h 37234"/>
                  <a:gd name="connsiteX3" fmla="*/ 3692 w 29154"/>
                  <a:gd name="connsiteY3" fmla="*/ 36596 h 37234"/>
                  <a:gd name="connsiteX4" fmla="*/ 29154 w 29154"/>
                  <a:gd name="connsiteY4" fmla="*/ 744 h 37234"/>
                  <a:gd name="connsiteX5" fmla="*/ 29154 w 29154"/>
                  <a:gd name="connsiteY5" fmla="*/ 0 h 37234"/>
                  <a:gd name="connsiteX6" fmla="*/ 3692 w 29154"/>
                  <a:gd name="connsiteY6" fmla="*/ 35957 h 37234"/>
                  <a:gd name="connsiteX7" fmla="*/ 0 w 29154"/>
                  <a:gd name="connsiteY7" fmla="*/ 35957 h 37234"/>
                  <a:gd name="connsiteX0" fmla="*/ 0 w 29154"/>
                  <a:gd name="connsiteY0" fmla="*/ 35957 h 39362"/>
                  <a:gd name="connsiteX1" fmla="*/ 0 w 29154"/>
                  <a:gd name="connsiteY1" fmla="*/ 37234 h 39362"/>
                  <a:gd name="connsiteX2" fmla="*/ 462 w 29154"/>
                  <a:gd name="connsiteY2" fmla="*/ 36596 h 39362"/>
                  <a:gd name="connsiteX3" fmla="*/ 3692 w 29154"/>
                  <a:gd name="connsiteY3" fmla="*/ 39362 h 39362"/>
                  <a:gd name="connsiteX4" fmla="*/ 29154 w 29154"/>
                  <a:gd name="connsiteY4" fmla="*/ 744 h 39362"/>
                  <a:gd name="connsiteX5" fmla="*/ 29154 w 29154"/>
                  <a:gd name="connsiteY5" fmla="*/ 0 h 39362"/>
                  <a:gd name="connsiteX6" fmla="*/ 3692 w 29154"/>
                  <a:gd name="connsiteY6" fmla="*/ 35957 h 39362"/>
                  <a:gd name="connsiteX7" fmla="*/ 0 w 29154"/>
                  <a:gd name="connsiteY7" fmla="*/ 35957 h 39362"/>
                  <a:gd name="connsiteX0" fmla="*/ 0 w 29154"/>
                  <a:gd name="connsiteY0" fmla="*/ 35957 h 39362"/>
                  <a:gd name="connsiteX1" fmla="*/ 0 w 29154"/>
                  <a:gd name="connsiteY1" fmla="*/ 37234 h 39362"/>
                  <a:gd name="connsiteX2" fmla="*/ 462 w 29154"/>
                  <a:gd name="connsiteY2" fmla="*/ 36596 h 39362"/>
                  <a:gd name="connsiteX3" fmla="*/ 3692 w 29154"/>
                  <a:gd name="connsiteY3" fmla="*/ 39362 h 39362"/>
                  <a:gd name="connsiteX4" fmla="*/ 29154 w 29154"/>
                  <a:gd name="connsiteY4" fmla="*/ 3191 h 39362"/>
                  <a:gd name="connsiteX5" fmla="*/ 29154 w 29154"/>
                  <a:gd name="connsiteY5" fmla="*/ 0 h 39362"/>
                  <a:gd name="connsiteX6" fmla="*/ 3692 w 29154"/>
                  <a:gd name="connsiteY6" fmla="*/ 35957 h 39362"/>
                  <a:gd name="connsiteX7" fmla="*/ 0 w 29154"/>
                  <a:gd name="connsiteY7" fmla="*/ 35957 h 3936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9154" h="39362">
                    <a:moveTo>
                      <a:pt x="0" y="35957"/>
                    </a:moveTo>
                    <a:lnTo>
                      <a:pt x="0" y="37234"/>
                    </a:lnTo>
                    <a:lnTo>
                      <a:pt x="462" y="36596"/>
                    </a:lnTo>
                    <a:lnTo>
                      <a:pt x="3692" y="39362"/>
                    </a:lnTo>
                    <a:lnTo>
                      <a:pt x="29154" y="3191"/>
                    </a:lnTo>
                    <a:lnTo>
                      <a:pt x="29154" y="0"/>
                    </a:lnTo>
                    <a:lnTo>
                      <a:pt x="3692" y="35957"/>
                    </a:lnTo>
                    <a:lnTo>
                      <a:pt x="0" y="35957"/>
                    </a:lnTo>
                    <a:close/>
                  </a:path>
                </a:pathLst>
              </a:custGeom>
              <a:gradFill>
                <a:gsLst>
                  <a:gs pos="0">
                    <a:schemeClr val="bg1">
                      <a:lumMod val="50000"/>
                    </a:schemeClr>
                  </a:gs>
                  <a:gs pos="50000">
                    <a:schemeClr val="bg1">
                      <a:lumMod val="60000"/>
                    </a:schemeClr>
                  </a:gs>
                  <a:gs pos="100000">
                    <a:schemeClr val="accent1">
                      <a:tint val="23500"/>
                      <a:satMod val="160000"/>
                      <a:lumMod val="73000"/>
                    </a:schemeClr>
                  </a:gs>
                </a:gsLst>
                <a:lin ang="5400000" scaled="0"/>
              </a:gradFill>
              <a:ln w="6350" cmpd="sng">
                <a:solidFill>
                  <a:srgbClr val="000000"/>
                </a:solidFill>
                <a:round/>
                <a:headEnd/>
                <a:tailEnd/>
              </a:ln>
            </xdr:spPr>
          </xdr:sp>
        </xdr:grpSp>
        <xdr:grpSp>
          <xdr:nvGrpSpPr>
            <xdr:cNvPr id="127" name="Group 126"/>
            <xdr:cNvGrpSpPr/>
          </xdr:nvGrpSpPr>
          <xdr:grpSpPr>
            <a:xfrm>
              <a:off x="5057810" y="7300895"/>
              <a:ext cx="1814534" cy="1776414"/>
              <a:chOff x="2309829" y="6062659"/>
              <a:chExt cx="1814534" cy="1776414"/>
            </a:xfrm>
          </xdr:grpSpPr>
          <xdr:sp macro="" textlink="">
            <xdr:nvSpPr>
              <xdr:cNvPr id="166" name="Freeform 95"/>
              <xdr:cNvSpPr>
                <a:spLocks/>
              </xdr:cNvSpPr>
            </xdr:nvSpPr>
            <xdr:spPr bwMode="auto">
              <a:xfrm>
                <a:off x="2309831" y="6062659"/>
                <a:ext cx="1814532" cy="1623998"/>
              </a:xfrm>
              <a:custGeom>
                <a:avLst/>
                <a:gdLst>
                  <a:gd name="T0" fmla="*/ 24 w 65"/>
                  <a:gd name="T1" fmla="*/ 41 h 41"/>
                  <a:gd name="T2" fmla="*/ 0 w 65"/>
                  <a:gd name="T3" fmla="*/ 41 h 41"/>
                  <a:gd name="T4" fmla="*/ 41 w 65"/>
                  <a:gd name="T5" fmla="*/ 0 h 41"/>
                  <a:gd name="T6" fmla="*/ 65 w 65"/>
                  <a:gd name="T7" fmla="*/ 0 h 41"/>
                  <a:gd name="T8" fmla="*/ 24 w 65"/>
                  <a:gd name="T9" fmla="*/ 41 h 41"/>
                  <a:gd name="T10" fmla="*/ 0 60000 65536"/>
                  <a:gd name="T11" fmla="*/ 0 60000 65536"/>
                  <a:gd name="T12" fmla="*/ 0 60000 65536"/>
                  <a:gd name="T13" fmla="*/ 0 60000 65536"/>
                  <a:gd name="T14" fmla="*/ 0 60000 65536"/>
                  <a:gd name="T15" fmla="*/ 0 w 65"/>
                  <a:gd name="T16" fmla="*/ 0 h 41"/>
                  <a:gd name="T17" fmla="*/ 65 w 65"/>
                  <a:gd name="T18" fmla="*/ 41 h 41"/>
                  <a:gd name="connsiteX0" fmla="*/ 3692 w 25693"/>
                  <a:gd name="connsiteY0" fmla="*/ 41585 h 41585"/>
                  <a:gd name="connsiteX1" fmla="*/ 0 w 25693"/>
                  <a:gd name="connsiteY1" fmla="*/ 41585 h 41585"/>
                  <a:gd name="connsiteX2" fmla="*/ 25693 w 25693"/>
                  <a:gd name="connsiteY2" fmla="*/ 0 h 41585"/>
                  <a:gd name="connsiteX3" fmla="*/ 10000 w 25693"/>
                  <a:gd name="connsiteY3" fmla="*/ 31585 h 41585"/>
                  <a:gd name="connsiteX4" fmla="*/ 3692 w 25693"/>
                  <a:gd name="connsiteY4" fmla="*/ 41585 h 41585"/>
                  <a:gd name="connsiteX0" fmla="*/ 3692 w 29000"/>
                  <a:gd name="connsiteY0" fmla="*/ 41585 h 41585"/>
                  <a:gd name="connsiteX1" fmla="*/ 0 w 29000"/>
                  <a:gd name="connsiteY1" fmla="*/ 41585 h 41585"/>
                  <a:gd name="connsiteX2" fmla="*/ 25693 w 29000"/>
                  <a:gd name="connsiteY2" fmla="*/ 0 h 41585"/>
                  <a:gd name="connsiteX3" fmla="*/ 29000 w 29000"/>
                  <a:gd name="connsiteY3" fmla="*/ 122 h 41585"/>
                  <a:gd name="connsiteX4" fmla="*/ 3692 w 29000"/>
                  <a:gd name="connsiteY4" fmla="*/ 41585 h 41585"/>
                  <a:gd name="connsiteX0" fmla="*/ 3692 w 29308"/>
                  <a:gd name="connsiteY0" fmla="*/ 41585 h 41585"/>
                  <a:gd name="connsiteX1" fmla="*/ 0 w 29308"/>
                  <a:gd name="connsiteY1" fmla="*/ 41585 h 41585"/>
                  <a:gd name="connsiteX2" fmla="*/ 25693 w 29308"/>
                  <a:gd name="connsiteY2" fmla="*/ 0 h 41585"/>
                  <a:gd name="connsiteX3" fmla="*/ 29308 w 29308"/>
                  <a:gd name="connsiteY3" fmla="*/ 244 h 41585"/>
                  <a:gd name="connsiteX4" fmla="*/ 3692 w 29308"/>
                  <a:gd name="connsiteY4" fmla="*/ 41585 h 4158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9308" h="41585">
                    <a:moveTo>
                      <a:pt x="3692" y="41585"/>
                    </a:moveTo>
                    <a:lnTo>
                      <a:pt x="0" y="41585"/>
                    </a:lnTo>
                    <a:lnTo>
                      <a:pt x="25693" y="0"/>
                    </a:lnTo>
                    <a:lnTo>
                      <a:pt x="29308" y="244"/>
                    </a:lnTo>
                    <a:lnTo>
                      <a:pt x="3692" y="41585"/>
                    </a:lnTo>
                    <a:close/>
                  </a:path>
                </a:pathLst>
              </a:custGeom>
              <a:gradFill rotWithShape="1">
                <a:gsLst>
                  <a:gs pos="0">
                    <a:srgbClr val="767676"/>
                  </a:gs>
                  <a:gs pos="50000">
                    <a:srgbClr val="FFFFFF"/>
                  </a:gs>
                  <a:gs pos="100000">
                    <a:srgbClr val="767676"/>
                  </a:gs>
                </a:gsLst>
                <a:lin ang="18900000" scaled="1"/>
              </a:gradFill>
              <a:ln w="9525">
                <a:solidFill>
                  <a:srgbClr val="000000"/>
                </a:solidFill>
                <a:round/>
                <a:headEnd/>
                <a:tailEnd/>
              </a:ln>
            </xdr:spPr>
          </xdr:sp>
          <xdr:sp macro="" textlink="">
            <xdr:nvSpPr>
              <xdr:cNvPr id="167" name="Freeform 96"/>
              <xdr:cNvSpPr>
                <a:spLocks/>
              </xdr:cNvSpPr>
            </xdr:nvSpPr>
            <xdr:spPr bwMode="auto">
              <a:xfrm>
                <a:off x="2309829" y="6076935"/>
                <a:ext cx="1804997" cy="1762138"/>
              </a:xfrm>
              <a:custGeom>
                <a:avLst/>
                <a:gdLst>
                  <a:gd name="T0" fmla="*/ 0 w 65"/>
                  <a:gd name="T1" fmla="*/ 41 h 47"/>
                  <a:gd name="T2" fmla="*/ 0 w 65"/>
                  <a:gd name="T3" fmla="*/ 47 h 47"/>
                  <a:gd name="T4" fmla="*/ 3 w 65"/>
                  <a:gd name="T5" fmla="*/ 44 h 47"/>
                  <a:gd name="T6" fmla="*/ 24 w 65"/>
                  <a:gd name="T7" fmla="*/ 44 h 47"/>
                  <a:gd name="T8" fmla="*/ 65 w 65"/>
                  <a:gd name="T9" fmla="*/ 3 h 47"/>
                  <a:gd name="T10" fmla="*/ 65 w 65"/>
                  <a:gd name="T11" fmla="*/ 0 h 47"/>
                  <a:gd name="T12" fmla="*/ 24 w 65"/>
                  <a:gd name="T13" fmla="*/ 41 h 47"/>
                  <a:gd name="T14" fmla="*/ 0 w 65"/>
                  <a:gd name="T15" fmla="*/ 41 h 47"/>
                  <a:gd name="T16" fmla="*/ 0 60000 65536"/>
                  <a:gd name="T17" fmla="*/ 0 60000 65536"/>
                  <a:gd name="T18" fmla="*/ 0 60000 65536"/>
                  <a:gd name="T19" fmla="*/ 0 60000 65536"/>
                  <a:gd name="T20" fmla="*/ 0 60000 65536"/>
                  <a:gd name="T21" fmla="*/ 0 60000 65536"/>
                  <a:gd name="T22" fmla="*/ 0 60000 65536"/>
                  <a:gd name="T23" fmla="*/ 0 60000 65536"/>
                  <a:gd name="T24" fmla="*/ 0 w 65"/>
                  <a:gd name="T25" fmla="*/ 0 h 47"/>
                  <a:gd name="T26" fmla="*/ 65 w 65"/>
                  <a:gd name="T27" fmla="*/ 47 h 47"/>
                  <a:gd name="connsiteX0" fmla="*/ 0 w 29154"/>
                  <a:gd name="connsiteY0" fmla="*/ 35957 h 37234"/>
                  <a:gd name="connsiteX1" fmla="*/ 0 w 29154"/>
                  <a:gd name="connsiteY1" fmla="*/ 37234 h 37234"/>
                  <a:gd name="connsiteX2" fmla="*/ 462 w 29154"/>
                  <a:gd name="connsiteY2" fmla="*/ 36596 h 37234"/>
                  <a:gd name="connsiteX3" fmla="*/ 3692 w 29154"/>
                  <a:gd name="connsiteY3" fmla="*/ 36596 h 37234"/>
                  <a:gd name="connsiteX4" fmla="*/ 10000 w 29154"/>
                  <a:gd name="connsiteY4" fmla="*/ 27872 h 37234"/>
                  <a:gd name="connsiteX5" fmla="*/ 29154 w 29154"/>
                  <a:gd name="connsiteY5" fmla="*/ 0 h 37234"/>
                  <a:gd name="connsiteX6" fmla="*/ 3692 w 29154"/>
                  <a:gd name="connsiteY6" fmla="*/ 35957 h 37234"/>
                  <a:gd name="connsiteX7" fmla="*/ 0 w 29154"/>
                  <a:gd name="connsiteY7" fmla="*/ 35957 h 37234"/>
                  <a:gd name="connsiteX0" fmla="*/ 0 w 29154"/>
                  <a:gd name="connsiteY0" fmla="*/ 35957 h 37234"/>
                  <a:gd name="connsiteX1" fmla="*/ 0 w 29154"/>
                  <a:gd name="connsiteY1" fmla="*/ 37234 h 37234"/>
                  <a:gd name="connsiteX2" fmla="*/ 462 w 29154"/>
                  <a:gd name="connsiteY2" fmla="*/ 36596 h 37234"/>
                  <a:gd name="connsiteX3" fmla="*/ 3692 w 29154"/>
                  <a:gd name="connsiteY3" fmla="*/ 36596 h 37234"/>
                  <a:gd name="connsiteX4" fmla="*/ 29154 w 29154"/>
                  <a:gd name="connsiteY4" fmla="*/ 1063 h 37234"/>
                  <a:gd name="connsiteX5" fmla="*/ 29154 w 29154"/>
                  <a:gd name="connsiteY5" fmla="*/ 0 h 37234"/>
                  <a:gd name="connsiteX6" fmla="*/ 3692 w 29154"/>
                  <a:gd name="connsiteY6" fmla="*/ 35957 h 37234"/>
                  <a:gd name="connsiteX7" fmla="*/ 0 w 29154"/>
                  <a:gd name="connsiteY7" fmla="*/ 35957 h 37234"/>
                  <a:gd name="connsiteX0" fmla="*/ 0 w 29154"/>
                  <a:gd name="connsiteY0" fmla="*/ 35957 h 37234"/>
                  <a:gd name="connsiteX1" fmla="*/ 0 w 29154"/>
                  <a:gd name="connsiteY1" fmla="*/ 37234 h 37234"/>
                  <a:gd name="connsiteX2" fmla="*/ 462 w 29154"/>
                  <a:gd name="connsiteY2" fmla="*/ 36596 h 37234"/>
                  <a:gd name="connsiteX3" fmla="*/ 3692 w 29154"/>
                  <a:gd name="connsiteY3" fmla="*/ 36596 h 37234"/>
                  <a:gd name="connsiteX4" fmla="*/ 29154 w 29154"/>
                  <a:gd name="connsiteY4" fmla="*/ 744 h 37234"/>
                  <a:gd name="connsiteX5" fmla="*/ 29154 w 29154"/>
                  <a:gd name="connsiteY5" fmla="*/ 0 h 37234"/>
                  <a:gd name="connsiteX6" fmla="*/ 3692 w 29154"/>
                  <a:gd name="connsiteY6" fmla="*/ 35957 h 37234"/>
                  <a:gd name="connsiteX7" fmla="*/ 0 w 29154"/>
                  <a:gd name="connsiteY7" fmla="*/ 35957 h 37234"/>
                  <a:gd name="connsiteX0" fmla="*/ 0 w 29154"/>
                  <a:gd name="connsiteY0" fmla="*/ 35957 h 39362"/>
                  <a:gd name="connsiteX1" fmla="*/ 0 w 29154"/>
                  <a:gd name="connsiteY1" fmla="*/ 37234 h 39362"/>
                  <a:gd name="connsiteX2" fmla="*/ 462 w 29154"/>
                  <a:gd name="connsiteY2" fmla="*/ 36596 h 39362"/>
                  <a:gd name="connsiteX3" fmla="*/ 3692 w 29154"/>
                  <a:gd name="connsiteY3" fmla="*/ 39362 h 39362"/>
                  <a:gd name="connsiteX4" fmla="*/ 29154 w 29154"/>
                  <a:gd name="connsiteY4" fmla="*/ 744 h 39362"/>
                  <a:gd name="connsiteX5" fmla="*/ 29154 w 29154"/>
                  <a:gd name="connsiteY5" fmla="*/ 0 h 39362"/>
                  <a:gd name="connsiteX6" fmla="*/ 3692 w 29154"/>
                  <a:gd name="connsiteY6" fmla="*/ 35957 h 39362"/>
                  <a:gd name="connsiteX7" fmla="*/ 0 w 29154"/>
                  <a:gd name="connsiteY7" fmla="*/ 35957 h 39362"/>
                  <a:gd name="connsiteX0" fmla="*/ 0 w 29154"/>
                  <a:gd name="connsiteY0" fmla="*/ 35957 h 39362"/>
                  <a:gd name="connsiteX1" fmla="*/ 0 w 29154"/>
                  <a:gd name="connsiteY1" fmla="*/ 37234 h 39362"/>
                  <a:gd name="connsiteX2" fmla="*/ 462 w 29154"/>
                  <a:gd name="connsiteY2" fmla="*/ 36596 h 39362"/>
                  <a:gd name="connsiteX3" fmla="*/ 3692 w 29154"/>
                  <a:gd name="connsiteY3" fmla="*/ 39362 h 39362"/>
                  <a:gd name="connsiteX4" fmla="*/ 29154 w 29154"/>
                  <a:gd name="connsiteY4" fmla="*/ 3191 h 39362"/>
                  <a:gd name="connsiteX5" fmla="*/ 29154 w 29154"/>
                  <a:gd name="connsiteY5" fmla="*/ 0 h 39362"/>
                  <a:gd name="connsiteX6" fmla="*/ 3692 w 29154"/>
                  <a:gd name="connsiteY6" fmla="*/ 35957 h 39362"/>
                  <a:gd name="connsiteX7" fmla="*/ 0 w 29154"/>
                  <a:gd name="connsiteY7" fmla="*/ 35957 h 3936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9154" h="39362">
                    <a:moveTo>
                      <a:pt x="0" y="35957"/>
                    </a:moveTo>
                    <a:lnTo>
                      <a:pt x="0" y="37234"/>
                    </a:lnTo>
                    <a:lnTo>
                      <a:pt x="462" y="36596"/>
                    </a:lnTo>
                    <a:lnTo>
                      <a:pt x="3692" y="39362"/>
                    </a:lnTo>
                    <a:lnTo>
                      <a:pt x="29154" y="3191"/>
                    </a:lnTo>
                    <a:lnTo>
                      <a:pt x="29154" y="0"/>
                    </a:lnTo>
                    <a:lnTo>
                      <a:pt x="3692" y="35957"/>
                    </a:lnTo>
                    <a:lnTo>
                      <a:pt x="0" y="35957"/>
                    </a:lnTo>
                    <a:close/>
                  </a:path>
                </a:pathLst>
              </a:custGeom>
              <a:gradFill>
                <a:gsLst>
                  <a:gs pos="0">
                    <a:schemeClr val="bg1">
                      <a:lumMod val="50000"/>
                    </a:schemeClr>
                  </a:gs>
                  <a:gs pos="50000">
                    <a:schemeClr val="bg1">
                      <a:lumMod val="60000"/>
                    </a:schemeClr>
                  </a:gs>
                  <a:gs pos="100000">
                    <a:schemeClr val="accent1">
                      <a:tint val="23500"/>
                      <a:satMod val="160000"/>
                      <a:lumMod val="73000"/>
                    </a:schemeClr>
                  </a:gs>
                </a:gsLst>
                <a:lin ang="5400000" scaled="0"/>
              </a:gradFill>
              <a:ln w="6350" cmpd="sng">
                <a:solidFill>
                  <a:srgbClr val="000000"/>
                </a:solidFill>
                <a:round/>
                <a:headEnd/>
                <a:tailEnd/>
              </a:ln>
            </xdr:spPr>
          </xdr:sp>
        </xdr:grpSp>
        <xdr:grpSp>
          <xdr:nvGrpSpPr>
            <xdr:cNvPr id="128" name="Group 127"/>
            <xdr:cNvGrpSpPr/>
          </xdr:nvGrpSpPr>
          <xdr:grpSpPr>
            <a:xfrm>
              <a:off x="5410218" y="7286622"/>
              <a:ext cx="1814534" cy="1776414"/>
              <a:chOff x="2309829" y="6062659"/>
              <a:chExt cx="1814534" cy="1776414"/>
            </a:xfrm>
          </xdr:grpSpPr>
          <xdr:sp macro="" textlink="">
            <xdr:nvSpPr>
              <xdr:cNvPr id="164" name="Freeform 95"/>
              <xdr:cNvSpPr>
                <a:spLocks/>
              </xdr:cNvSpPr>
            </xdr:nvSpPr>
            <xdr:spPr bwMode="auto">
              <a:xfrm>
                <a:off x="2309831" y="6062659"/>
                <a:ext cx="1814532" cy="1623998"/>
              </a:xfrm>
              <a:custGeom>
                <a:avLst/>
                <a:gdLst>
                  <a:gd name="T0" fmla="*/ 24 w 65"/>
                  <a:gd name="T1" fmla="*/ 41 h 41"/>
                  <a:gd name="T2" fmla="*/ 0 w 65"/>
                  <a:gd name="T3" fmla="*/ 41 h 41"/>
                  <a:gd name="T4" fmla="*/ 41 w 65"/>
                  <a:gd name="T5" fmla="*/ 0 h 41"/>
                  <a:gd name="T6" fmla="*/ 65 w 65"/>
                  <a:gd name="T7" fmla="*/ 0 h 41"/>
                  <a:gd name="T8" fmla="*/ 24 w 65"/>
                  <a:gd name="T9" fmla="*/ 41 h 41"/>
                  <a:gd name="T10" fmla="*/ 0 60000 65536"/>
                  <a:gd name="T11" fmla="*/ 0 60000 65536"/>
                  <a:gd name="T12" fmla="*/ 0 60000 65536"/>
                  <a:gd name="T13" fmla="*/ 0 60000 65536"/>
                  <a:gd name="T14" fmla="*/ 0 60000 65536"/>
                  <a:gd name="T15" fmla="*/ 0 w 65"/>
                  <a:gd name="T16" fmla="*/ 0 h 41"/>
                  <a:gd name="T17" fmla="*/ 65 w 65"/>
                  <a:gd name="T18" fmla="*/ 41 h 41"/>
                  <a:gd name="connsiteX0" fmla="*/ 3692 w 25693"/>
                  <a:gd name="connsiteY0" fmla="*/ 41585 h 41585"/>
                  <a:gd name="connsiteX1" fmla="*/ 0 w 25693"/>
                  <a:gd name="connsiteY1" fmla="*/ 41585 h 41585"/>
                  <a:gd name="connsiteX2" fmla="*/ 25693 w 25693"/>
                  <a:gd name="connsiteY2" fmla="*/ 0 h 41585"/>
                  <a:gd name="connsiteX3" fmla="*/ 10000 w 25693"/>
                  <a:gd name="connsiteY3" fmla="*/ 31585 h 41585"/>
                  <a:gd name="connsiteX4" fmla="*/ 3692 w 25693"/>
                  <a:gd name="connsiteY4" fmla="*/ 41585 h 41585"/>
                  <a:gd name="connsiteX0" fmla="*/ 3692 w 29000"/>
                  <a:gd name="connsiteY0" fmla="*/ 41585 h 41585"/>
                  <a:gd name="connsiteX1" fmla="*/ 0 w 29000"/>
                  <a:gd name="connsiteY1" fmla="*/ 41585 h 41585"/>
                  <a:gd name="connsiteX2" fmla="*/ 25693 w 29000"/>
                  <a:gd name="connsiteY2" fmla="*/ 0 h 41585"/>
                  <a:gd name="connsiteX3" fmla="*/ 29000 w 29000"/>
                  <a:gd name="connsiteY3" fmla="*/ 122 h 41585"/>
                  <a:gd name="connsiteX4" fmla="*/ 3692 w 29000"/>
                  <a:gd name="connsiteY4" fmla="*/ 41585 h 41585"/>
                  <a:gd name="connsiteX0" fmla="*/ 3692 w 29308"/>
                  <a:gd name="connsiteY0" fmla="*/ 41585 h 41585"/>
                  <a:gd name="connsiteX1" fmla="*/ 0 w 29308"/>
                  <a:gd name="connsiteY1" fmla="*/ 41585 h 41585"/>
                  <a:gd name="connsiteX2" fmla="*/ 25693 w 29308"/>
                  <a:gd name="connsiteY2" fmla="*/ 0 h 41585"/>
                  <a:gd name="connsiteX3" fmla="*/ 29308 w 29308"/>
                  <a:gd name="connsiteY3" fmla="*/ 244 h 41585"/>
                  <a:gd name="connsiteX4" fmla="*/ 3692 w 29308"/>
                  <a:gd name="connsiteY4" fmla="*/ 41585 h 4158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9308" h="41585">
                    <a:moveTo>
                      <a:pt x="3692" y="41585"/>
                    </a:moveTo>
                    <a:lnTo>
                      <a:pt x="0" y="41585"/>
                    </a:lnTo>
                    <a:lnTo>
                      <a:pt x="25693" y="0"/>
                    </a:lnTo>
                    <a:lnTo>
                      <a:pt x="29308" y="244"/>
                    </a:lnTo>
                    <a:lnTo>
                      <a:pt x="3692" y="41585"/>
                    </a:lnTo>
                    <a:close/>
                  </a:path>
                </a:pathLst>
              </a:custGeom>
              <a:gradFill rotWithShape="1">
                <a:gsLst>
                  <a:gs pos="0">
                    <a:srgbClr val="767676"/>
                  </a:gs>
                  <a:gs pos="50000">
                    <a:srgbClr val="FFFFFF"/>
                  </a:gs>
                  <a:gs pos="100000">
                    <a:srgbClr val="767676"/>
                  </a:gs>
                </a:gsLst>
                <a:lin ang="18900000" scaled="1"/>
              </a:gradFill>
              <a:ln w="9525">
                <a:solidFill>
                  <a:srgbClr val="000000"/>
                </a:solidFill>
                <a:round/>
                <a:headEnd/>
                <a:tailEnd/>
              </a:ln>
            </xdr:spPr>
          </xdr:sp>
          <xdr:sp macro="" textlink="">
            <xdr:nvSpPr>
              <xdr:cNvPr id="165" name="Freeform 96"/>
              <xdr:cNvSpPr>
                <a:spLocks/>
              </xdr:cNvSpPr>
            </xdr:nvSpPr>
            <xdr:spPr bwMode="auto">
              <a:xfrm>
                <a:off x="2309829" y="6076935"/>
                <a:ext cx="1804997" cy="1762138"/>
              </a:xfrm>
              <a:custGeom>
                <a:avLst/>
                <a:gdLst>
                  <a:gd name="T0" fmla="*/ 0 w 65"/>
                  <a:gd name="T1" fmla="*/ 41 h 47"/>
                  <a:gd name="T2" fmla="*/ 0 w 65"/>
                  <a:gd name="T3" fmla="*/ 47 h 47"/>
                  <a:gd name="T4" fmla="*/ 3 w 65"/>
                  <a:gd name="T5" fmla="*/ 44 h 47"/>
                  <a:gd name="T6" fmla="*/ 24 w 65"/>
                  <a:gd name="T7" fmla="*/ 44 h 47"/>
                  <a:gd name="T8" fmla="*/ 65 w 65"/>
                  <a:gd name="T9" fmla="*/ 3 h 47"/>
                  <a:gd name="T10" fmla="*/ 65 w 65"/>
                  <a:gd name="T11" fmla="*/ 0 h 47"/>
                  <a:gd name="T12" fmla="*/ 24 w 65"/>
                  <a:gd name="T13" fmla="*/ 41 h 47"/>
                  <a:gd name="T14" fmla="*/ 0 w 65"/>
                  <a:gd name="T15" fmla="*/ 41 h 47"/>
                  <a:gd name="T16" fmla="*/ 0 60000 65536"/>
                  <a:gd name="T17" fmla="*/ 0 60000 65536"/>
                  <a:gd name="T18" fmla="*/ 0 60000 65536"/>
                  <a:gd name="T19" fmla="*/ 0 60000 65536"/>
                  <a:gd name="T20" fmla="*/ 0 60000 65536"/>
                  <a:gd name="T21" fmla="*/ 0 60000 65536"/>
                  <a:gd name="T22" fmla="*/ 0 60000 65536"/>
                  <a:gd name="T23" fmla="*/ 0 60000 65536"/>
                  <a:gd name="T24" fmla="*/ 0 w 65"/>
                  <a:gd name="T25" fmla="*/ 0 h 47"/>
                  <a:gd name="T26" fmla="*/ 65 w 65"/>
                  <a:gd name="T27" fmla="*/ 47 h 47"/>
                  <a:gd name="connsiteX0" fmla="*/ 0 w 29154"/>
                  <a:gd name="connsiteY0" fmla="*/ 35957 h 37234"/>
                  <a:gd name="connsiteX1" fmla="*/ 0 w 29154"/>
                  <a:gd name="connsiteY1" fmla="*/ 37234 h 37234"/>
                  <a:gd name="connsiteX2" fmla="*/ 462 w 29154"/>
                  <a:gd name="connsiteY2" fmla="*/ 36596 h 37234"/>
                  <a:gd name="connsiteX3" fmla="*/ 3692 w 29154"/>
                  <a:gd name="connsiteY3" fmla="*/ 36596 h 37234"/>
                  <a:gd name="connsiteX4" fmla="*/ 10000 w 29154"/>
                  <a:gd name="connsiteY4" fmla="*/ 27872 h 37234"/>
                  <a:gd name="connsiteX5" fmla="*/ 29154 w 29154"/>
                  <a:gd name="connsiteY5" fmla="*/ 0 h 37234"/>
                  <a:gd name="connsiteX6" fmla="*/ 3692 w 29154"/>
                  <a:gd name="connsiteY6" fmla="*/ 35957 h 37234"/>
                  <a:gd name="connsiteX7" fmla="*/ 0 w 29154"/>
                  <a:gd name="connsiteY7" fmla="*/ 35957 h 37234"/>
                  <a:gd name="connsiteX0" fmla="*/ 0 w 29154"/>
                  <a:gd name="connsiteY0" fmla="*/ 35957 h 37234"/>
                  <a:gd name="connsiteX1" fmla="*/ 0 w 29154"/>
                  <a:gd name="connsiteY1" fmla="*/ 37234 h 37234"/>
                  <a:gd name="connsiteX2" fmla="*/ 462 w 29154"/>
                  <a:gd name="connsiteY2" fmla="*/ 36596 h 37234"/>
                  <a:gd name="connsiteX3" fmla="*/ 3692 w 29154"/>
                  <a:gd name="connsiteY3" fmla="*/ 36596 h 37234"/>
                  <a:gd name="connsiteX4" fmla="*/ 29154 w 29154"/>
                  <a:gd name="connsiteY4" fmla="*/ 1063 h 37234"/>
                  <a:gd name="connsiteX5" fmla="*/ 29154 w 29154"/>
                  <a:gd name="connsiteY5" fmla="*/ 0 h 37234"/>
                  <a:gd name="connsiteX6" fmla="*/ 3692 w 29154"/>
                  <a:gd name="connsiteY6" fmla="*/ 35957 h 37234"/>
                  <a:gd name="connsiteX7" fmla="*/ 0 w 29154"/>
                  <a:gd name="connsiteY7" fmla="*/ 35957 h 37234"/>
                  <a:gd name="connsiteX0" fmla="*/ 0 w 29154"/>
                  <a:gd name="connsiteY0" fmla="*/ 35957 h 37234"/>
                  <a:gd name="connsiteX1" fmla="*/ 0 w 29154"/>
                  <a:gd name="connsiteY1" fmla="*/ 37234 h 37234"/>
                  <a:gd name="connsiteX2" fmla="*/ 462 w 29154"/>
                  <a:gd name="connsiteY2" fmla="*/ 36596 h 37234"/>
                  <a:gd name="connsiteX3" fmla="*/ 3692 w 29154"/>
                  <a:gd name="connsiteY3" fmla="*/ 36596 h 37234"/>
                  <a:gd name="connsiteX4" fmla="*/ 29154 w 29154"/>
                  <a:gd name="connsiteY4" fmla="*/ 744 h 37234"/>
                  <a:gd name="connsiteX5" fmla="*/ 29154 w 29154"/>
                  <a:gd name="connsiteY5" fmla="*/ 0 h 37234"/>
                  <a:gd name="connsiteX6" fmla="*/ 3692 w 29154"/>
                  <a:gd name="connsiteY6" fmla="*/ 35957 h 37234"/>
                  <a:gd name="connsiteX7" fmla="*/ 0 w 29154"/>
                  <a:gd name="connsiteY7" fmla="*/ 35957 h 37234"/>
                  <a:gd name="connsiteX0" fmla="*/ 0 w 29154"/>
                  <a:gd name="connsiteY0" fmla="*/ 35957 h 39362"/>
                  <a:gd name="connsiteX1" fmla="*/ 0 w 29154"/>
                  <a:gd name="connsiteY1" fmla="*/ 37234 h 39362"/>
                  <a:gd name="connsiteX2" fmla="*/ 462 w 29154"/>
                  <a:gd name="connsiteY2" fmla="*/ 36596 h 39362"/>
                  <a:gd name="connsiteX3" fmla="*/ 3692 w 29154"/>
                  <a:gd name="connsiteY3" fmla="*/ 39362 h 39362"/>
                  <a:gd name="connsiteX4" fmla="*/ 29154 w 29154"/>
                  <a:gd name="connsiteY4" fmla="*/ 744 h 39362"/>
                  <a:gd name="connsiteX5" fmla="*/ 29154 w 29154"/>
                  <a:gd name="connsiteY5" fmla="*/ 0 h 39362"/>
                  <a:gd name="connsiteX6" fmla="*/ 3692 w 29154"/>
                  <a:gd name="connsiteY6" fmla="*/ 35957 h 39362"/>
                  <a:gd name="connsiteX7" fmla="*/ 0 w 29154"/>
                  <a:gd name="connsiteY7" fmla="*/ 35957 h 39362"/>
                  <a:gd name="connsiteX0" fmla="*/ 0 w 29154"/>
                  <a:gd name="connsiteY0" fmla="*/ 35957 h 39362"/>
                  <a:gd name="connsiteX1" fmla="*/ 0 w 29154"/>
                  <a:gd name="connsiteY1" fmla="*/ 37234 h 39362"/>
                  <a:gd name="connsiteX2" fmla="*/ 462 w 29154"/>
                  <a:gd name="connsiteY2" fmla="*/ 36596 h 39362"/>
                  <a:gd name="connsiteX3" fmla="*/ 3692 w 29154"/>
                  <a:gd name="connsiteY3" fmla="*/ 39362 h 39362"/>
                  <a:gd name="connsiteX4" fmla="*/ 29154 w 29154"/>
                  <a:gd name="connsiteY4" fmla="*/ 3191 h 39362"/>
                  <a:gd name="connsiteX5" fmla="*/ 29154 w 29154"/>
                  <a:gd name="connsiteY5" fmla="*/ 0 h 39362"/>
                  <a:gd name="connsiteX6" fmla="*/ 3692 w 29154"/>
                  <a:gd name="connsiteY6" fmla="*/ 35957 h 39362"/>
                  <a:gd name="connsiteX7" fmla="*/ 0 w 29154"/>
                  <a:gd name="connsiteY7" fmla="*/ 35957 h 3936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9154" h="39362">
                    <a:moveTo>
                      <a:pt x="0" y="35957"/>
                    </a:moveTo>
                    <a:lnTo>
                      <a:pt x="0" y="37234"/>
                    </a:lnTo>
                    <a:lnTo>
                      <a:pt x="462" y="36596"/>
                    </a:lnTo>
                    <a:lnTo>
                      <a:pt x="3692" y="39362"/>
                    </a:lnTo>
                    <a:lnTo>
                      <a:pt x="29154" y="3191"/>
                    </a:lnTo>
                    <a:lnTo>
                      <a:pt x="29154" y="0"/>
                    </a:lnTo>
                    <a:lnTo>
                      <a:pt x="3692" y="35957"/>
                    </a:lnTo>
                    <a:lnTo>
                      <a:pt x="0" y="35957"/>
                    </a:lnTo>
                    <a:close/>
                  </a:path>
                </a:pathLst>
              </a:custGeom>
              <a:gradFill>
                <a:gsLst>
                  <a:gs pos="0">
                    <a:schemeClr val="bg1">
                      <a:lumMod val="50000"/>
                    </a:schemeClr>
                  </a:gs>
                  <a:gs pos="50000">
                    <a:schemeClr val="bg1">
                      <a:lumMod val="60000"/>
                    </a:schemeClr>
                  </a:gs>
                  <a:gs pos="100000">
                    <a:schemeClr val="accent1">
                      <a:tint val="23500"/>
                      <a:satMod val="160000"/>
                      <a:lumMod val="73000"/>
                    </a:schemeClr>
                  </a:gs>
                </a:gsLst>
                <a:lin ang="5400000" scaled="0"/>
              </a:gradFill>
              <a:ln w="6350" cmpd="sng">
                <a:solidFill>
                  <a:srgbClr val="000000"/>
                </a:solidFill>
                <a:round/>
                <a:headEnd/>
                <a:tailEnd/>
              </a:ln>
            </xdr:spPr>
          </xdr:sp>
        </xdr:grpSp>
        <xdr:grpSp>
          <xdr:nvGrpSpPr>
            <xdr:cNvPr id="129" name="Group 128"/>
            <xdr:cNvGrpSpPr/>
          </xdr:nvGrpSpPr>
          <xdr:grpSpPr>
            <a:xfrm>
              <a:off x="5738849" y="7300895"/>
              <a:ext cx="1814534" cy="1776414"/>
              <a:chOff x="2309829" y="6062659"/>
              <a:chExt cx="1814534" cy="1776414"/>
            </a:xfrm>
          </xdr:grpSpPr>
          <xdr:sp macro="" textlink="">
            <xdr:nvSpPr>
              <xdr:cNvPr id="162" name="Freeform 95"/>
              <xdr:cNvSpPr>
                <a:spLocks/>
              </xdr:cNvSpPr>
            </xdr:nvSpPr>
            <xdr:spPr bwMode="auto">
              <a:xfrm>
                <a:off x="2309831" y="6062659"/>
                <a:ext cx="1814532" cy="1623998"/>
              </a:xfrm>
              <a:custGeom>
                <a:avLst/>
                <a:gdLst>
                  <a:gd name="T0" fmla="*/ 24 w 65"/>
                  <a:gd name="T1" fmla="*/ 41 h 41"/>
                  <a:gd name="T2" fmla="*/ 0 w 65"/>
                  <a:gd name="T3" fmla="*/ 41 h 41"/>
                  <a:gd name="T4" fmla="*/ 41 w 65"/>
                  <a:gd name="T5" fmla="*/ 0 h 41"/>
                  <a:gd name="T6" fmla="*/ 65 w 65"/>
                  <a:gd name="T7" fmla="*/ 0 h 41"/>
                  <a:gd name="T8" fmla="*/ 24 w 65"/>
                  <a:gd name="T9" fmla="*/ 41 h 41"/>
                  <a:gd name="T10" fmla="*/ 0 60000 65536"/>
                  <a:gd name="T11" fmla="*/ 0 60000 65536"/>
                  <a:gd name="T12" fmla="*/ 0 60000 65536"/>
                  <a:gd name="T13" fmla="*/ 0 60000 65536"/>
                  <a:gd name="T14" fmla="*/ 0 60000 65536"/>
                  <a:gd name="T15" fmla="*/ 0 w 65"/>
                  <a:gd name="T16" fmla="*/ 0 h 41"/>
                  <a:gd name="T17" fmla="*/ 65 w 65"/>
                  <a:gd name="T18" fmla="*/ 41 h 41"/>
                  <a:gd name="connsiteX0" fmla="*/ 3692 w 25693"/>
                  <a:gd name="connsiteY0" fmla="*/ 41585 h 41585"/>
                  <a:gd name="connsiteX1" fmla="*/ 0 w 25693"/>
                  <a:gd name="connsiteY1" fmla="*/ 41585 h 41585"/>
                  <a:gd name="connsiteX2" fmla="*/ 25693 w 25693"/>
                  <a:gd name="connsiteY2" fmla="*/ 0 h 41585"/>
                  <a:gd name="connsiteX3" fmla="*/ 10000 w 25693"/>
                  <a:gd name="connsiteY3" fmla="*/ 31585 h 41585"/>
                  <a:gd name="connsiteX4" fmla="*/ 3692 w 25693"/>
                  <a:gd name="connsiteY4" fmla="*/ 41585 h 41585"/>
                  <a:gd name="connsiteX0" fmla="*/ 3692 w 29000"/>
                  <a:gd name="connsiteY0" fmla="*/ 41585 h 41585"/>
                  <a:gd name="connsiteX1" fmla="*/ 0 w 29000"/>
                  <a:gd name="connsiteY1" fmla="*/ 41585 h 41585"/>
                  <a:gd name="connsiteX2" fmla="*/ 25693 w 29000"/>
                  <a:gd name="connsiteY2" fmla="*/ 0 h 41585"/>
                  <a:gd name="connsiteX3" fmla="*/ 29000 w 29000"/>
                  <a:gd name="connsiteY3" fmla="*/ 122 h 41585"/>
                  <a:gd name="connsiteX4" fmla="*/ 3692 w 29000"/>
                  <a:gd name="connsiteY4" fmla="*/ 41585 h 41585"/>
                  <a:gd name="connsiteX0" fmla="*/ 3692 w 29308"/>
                  <a:gd name="connsiteY0" fmla="*/ 41585 h 41585"/>
                  <a:gd name="connsiteX1" fmla="*/ 0 w 29308"/>
                  <a:gd name="connsiteY1" fmla="*/ 41585 h 41585"/>
                  <a:gd name="connsiteX2" fmla="*/ 25693 w 29308"/>
                  <a:gd name="connsiteY2" fmla="*/ 0 h 41585"/>
                  <a:gd name="connsiteX3" fmla="*/ 29308 w 29308"/>
                  <a:gd name="connsiteY3" fmla="*/ 244 h 41585"/>
                  <a:gd name="connsiteX4" fmla="*/ 3692 w 29308"/>
                  <a:gd name="connsiteY4" fmla="*/ 41585 h 4158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9308" h="41585">
                    <a:moveTo>
                      <a:pt x="3692" y="41585"/>
                    </a:moveTo>
                    <a:lnTo>
                      <a:pt x="0" y="41585"/>
                    </a:lnTo>
                    <a:lnTo>
                      <a:pt x="25693" y="0"/>
                    </a:lnTo>
                    <a:lnTo>
                      <a:pt x="29308" y="244"/>
                    </a:lnTo>
                    <a:lnTo>
                      <a:pt x="3692" y="41585"/>
                    </a:lnTo>
                    <a:close/>
                  </a:path>
                </a:pathLst>
              </a:custGeom>
              <a:gradFill rotWithShape="1">
                <a:gsLst>
                  <a:gs pos="0">
                    <a:srgbClr val="767676"/>
                  </a:gs>
                  <a:gs pos="50000">
                    <a:srgbClr val="FFFFFF"/>
                  </a:gs>
                  <a:gs pos="100000">
                    <a:srgbClr val="767676"/>
                  </a:gs>
                </a:gsLst>
                <a:lin ang="18900000" scaled="1"/>
              </a:gradFill>
              <a:ln w="9525">
                <a:solidFill>
                  <a:srgbClr val="000000"/>
                </a:solidFill>
                <a:round/>
                <a:headEnd/>
                <a:tailEnd/>
              </a:ln>
            </xdr:spPr>
          </xdr:sp>
          <xdr:sp macro="" textlink="">
            <xdr:nvSpPr>
              <xdr:cNvPr id="163" name="Freeform 96"/>
              <xdr:cNvSpPr>
                <a:spLocks/>
              </xdr:cNvSpPr>
            </xdr:nvSpPr>
            <xdr:spPr bwMode="auto">
              <a:xfrm>
                <a:off x="2309829" y="6076935"/>
                <a:ext cx="1804997" cy="1762138"/>
              </a:xfrm>
              <a:custGeom>
                <a:avLst/>
                <a:gdLst>
                  <a:gd name="T0" fmla="*/ 0 w 65"/>
                  <a:gd name="T1" fmla="*/ 41 h 47"/>
                  <a:gd name="T2" fmla="*/ 0 w 65"/>
                  <a:gd name="T3" fmla="*/ 47 h 47"/>
                  <a:gd name="T4" fmla="*/ 3 w 65"/>
                  <a:gd name="T5" fmla="*/ 44 h 47"/>
                  <a:gd name="T6" fmla="*/ 24 w 65"/>
                  <a:gd name="T7" fmla="*/ 44 h 47"/>
                  <a:gd name="T8" fmla="*/ 65 w 65"/>
                  <a:gd name="T9" fmla="*/ 3 h 47"/>
                  <a:gd name="T10" fmla="*/ 65 w 65"/>
                  <a:gd name="T11" fmla="*/ 0 h 47"/>
                  <a:gd name="T12" fmla="*/ 24 w 65"/>
                  <a:gd name="T13" fmla="*/ 41 h 47"/>
                  <a:gd name="T14" fmla="*/ 0 w 65"/>
                  <a:gd name="T15" fmla="*/ 41 h 47"/>
                  <a:gd name="T16" fmla="*/ 0 60000 65536"/>
                  <a:gd name="T17" fmla="*/ 0 60000 65536"/>
                  <a:gd name="T18" fmla="*/ 0 60000 65536"/>
                  <a:gd name="T19" fmla="*/ 0 60000 65536"/>
                  <a:gd name="T20" fmla="*/ 0 60000 65536"/>
                  <a:gd name="T21" fmla="*/ 0 60000 65536"/>
                  <a:gd name="T22" fmla="*/ 0 60000 65536"/>
                  <a:gd name="T23" fmla="*/ 0 60000 65536"/>
                  <a:gd name="T24" fmla="*/ 0 w 65"/>
                  <a:gd name="T25" fmla="*/ 0 h 47"/>
                  <a:gd name="T26" fmla="*/ 65 w 65"/>
                  <a:gd name="T27" fmla="*/ 47 h 47"/>
                  <a:gd name="connsiteX0" fmla="*/ 0 w 29154"/>
                  <a:gd name="connsiteY0" fmla="*/ 35957 h 37234"/>
                  <a:gd name="connsiteX1" fmla="*/ 0 w 29154"/>
                  <a:gd name="connsiteY1" fmla="*/ 37234 h 37234"/>
                  <a:gd name="connsiteX2" fmla="*/ 462 w 29154"/>
                  <a:gd name="connsiteY2" fmla="*/ 36596 h 37234"/>
                  <a:gd name="connsiteX3" fmla="*/ 3692 w 29154"/>
                  <a:gd name="connsiteY3" fmla="*/ 36596 h 37234"/>
                  <a:gd name="connsiteX4" fmla="*/ 10000 w 29154"/>
                  <a:gd name="connsiteY4" fmla="*/ 27872 h 37234"/>
                  <a:gd name="connsiteX5" fmla="*/ 29154 w 29154"/>
                  <a:gd name="connsiteY5" fmla="*/ 0 h 37234"/>
                  <a:gd name="connsiteX6" fmla="*/ 3692 w 29154"/>
                  <a:gd name="connsiteY6" fmla="*/ 35957 h 37234"/>
                  <a:gd name="connsiteX7" fmla="*/ 0 w 29154"/>
                  <a:gd name="connsiteY7" fmla="*/ 35957 h 37234"/>
                  <a:gd name="connsiteX0" fmla="*/ 0 w 29154"/>
                  <a:gd name="connsiteY0" fmla="*/ 35957 h 37234"/>
                  <a:gd name="connsiteX1" fmla="*/ 0 w 29154"/>
                  <a:gd name="connsiteY1" fmla="*/ 37234 h 37234"/>
                  <a:gd name="connsiteX2" fmla="*/ 462 w 29154"/>
                  <a:gd name="connsiteY2" fmla="*/ 36596 h 37234"/>
                  <a:gd name="connsiteX3" fmla="*/ 3692 w 29154"/>
                  <a:gd name="connsiteY3" fmla="*/ 36596 h 37234"/>
                  <a:gd name="connsiteX4" fmla="*/ 29154 w 29154"/>
                  <a:gd name="connsiteY4" fmla="*/ 1063 h 37234"/>
                  <a:gd name="connsiteX5" fmla="*/ 29154 w 29154"/>
                  <a:gd name="connsiteY5" fmla="*/ 0 h 37234"/>
                  <a:gd name="connsiteX6" fmla="*/ 3692 w 29154"/>
                  <a:gd name="connsiteY6" fmla="*/ 35957 h 37234"/>
                  <a:gd name="connsiteX7" fmla="*/ 0 w 29154"/>
                  <a:gd name="connsiteY7" fmla="*/ 35957 h 37234"/>
                  <a:gd name="connsiteX0" fmla="*/ 0 w 29154"/>
                  <a:gd name="connsiteY0" fmla="*/ 35957 h 37234"/>
                  <a:gd name="connsiteX1" fmla="*/ 0 w 29154"/>
                  <a:gd name="connsiteY1" fmla="*/ 37234 h 37234"/>
                  <a:gd name="connsiteX2" fmla="*/ 462 w 29154"/>
                  <a:gd name="connsiteY2" fmla="*/ 36596 h 37234"/>
                  <a:gd name="connsiteX3" fmla="*/ 3692 w 29154"/>
                  <a:gd name="connsiteY3" fmla="*/ 36596 h 37234"/>
                  <a:gd name="connsiteX4" fmla="*/ 29154 w 29154"/>
                  <a:gd name="connsiteY4" fmla="*/ 744 h 37234"/>
                  <a:gd name="connsiteX5" fmla="*/ 29154 w 29154"/>
                  <a:gd name="connsiteY5" fmla="*/ 0 h 37234"/>
                  <a:gd name="connsiteX6" fmla="*/ 3692 w 29154"/>
                  <a:gd name="connsiteY6" fmla="*/ 35957 h 37234"/>
                  <a:gd name="connsiteX7" fmla="*/ 0 w 29154"/>
                  <a:gd name="connsiteY7" fmla="*/ 35957 h 37234"/>
                  <a:gd name="connsiteX0" fmla="*/ 0 w 29154"/>
                  <a:gd name="connsiteY0" fmla="*/ 35957 h 39362"/>
                  <a:gd name="connsiteX1" fmla="*/ 0 w 29154"/>
                  <a:gd name="connsiteY1" fmla="*/ 37234 h 39362"/>
                  <a:gd name="connsiteX2" fmla="*/ 462 w 29154"/>
                  <a:gd name="connsiteY2" fmla="*/ 36596 h 39362"/>
                  <a:gd name="connsiteX3" fmla="*/ 3692 w 29154"/>
                  <a:gd name="connsiteY3" fmla="*/ 39362 h 39362"/>
                  <a:gd name="connsiteX4" fmla="*/ 29154 w 29154"/>
                  <a:gd name="connsiteY4" fmla="*/ 744 h 39362"/>
                  <a:gd name="connsiteX5" fmla="*/ 29154 w 29154"/>
                  <a:gd name="connsiteY5" fmla="*/ 0 h 39362"/>
                  <a:gd name="connsiteX6" fmla="*/ 3692 w 29154"/>
                  <a:gd name="connsiteY6" fmla="*/ 35957 h 39362"/>
                  <a:gd name="connsiteX7" fmla="*/ 0 w 29154"/>
                  <a:gd name="connsiteY7" fmla="*/ 35957 h 39362"/>
                  <a:gd name="connsiteX0" fmla="*/ 0 w 29154"/>
                  <a:gd name="connsiteY0" fmla="*/ 35957 h 39362"/>
                  <a:gd name="connsiteX1" fmla="*/ 0 w 29154"/>
                  <a:gd name="connsiteY1" fmla="*/ 37234 h 39362"/>
                  <a:gd name="connsiteX2" fmla="*/ 462 w 29154"/>
                  <a:gd name="connsiteY2" fmla="*/ 36596 h 39362"/>
                  <a:gd name="connsiteX3" fmla="*/ 3692 w 29154"/>
                  <a:gd name="connsiteY3" fmla="*/ 39362 h 39362"/>
                  <a:gd name="connsiteX4" fmla="*/ 29154 w 29154"/>
                  <a:gd name="connsiteY4" fmla="*/ 3191 h 39362"/>
                  <a:gd name="connsiteX5" fmla="*/ 29154 w 29154"/>
                  <a:gd name="connsiteY5" fmla="*/ 0 h 39362"/>
                  <a:gd name="connsiteX6" fmla="*/ 3692 w 29154"/>
                  <a:gd name="connsiteY6" fmla="*/ 35957 h 39362"/>
                  <a:gd name="connsiteX7" fmla="*/ 0 w 29154"/>
                  <a:gd name="connsiteY7" fmla="*/ 35957 h 3936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9154" h="39362">
                    <a:moveTo>
                      <a:pt x="0" y="35957"/>
                    </a:moveTo>
                    <a:lnTo>
                      <a:pt x="0" y="37234"/>
                    </a:lnTo>
                    <a:lnTo>
                      <a:pt x="462" y="36596"/>
                    </a:lnTo>
                    <a:lnTo>
                      <a:pt x="3692" y="39362"/>
                    </a:lnTo>
                    <a:lnTo>
                      <a:pt x="29154" y="3191"/>
                    </a:lnTo>
                    <a:lnTo>
                      <a:pt x="29154" y="0"/>
                    </a:lnTo>
                    <a:lnTo>
                      <a:pt x="3692" y="35957"/>
                    </a:lnTo>
                    <a:lnTo>
                      <a:pt x="0" y="35957"/>
                    </a:lnTo>
                    <a:close/>
                  </a:path>
                </a:pathLst>
              </a:custGeom>
              <a:gradFill>
                <a:gsLst>
                  <a:gs pos="0">
                    <a:schemeClr val="bg1">
                      <a:lumMod val="50000"/>
                    </a:schemeClr>
                  </a:gs>
                  <a:gs pos="50000">
                    <a:schemeClr val="bg1">
                      <a:lumMod val="60000"/>
                    </a:schemeClr>
                  </a:gs>
                  <a:gs pos="100000">
                    <a:schemeClr val="accent1">
                      <a:tint val="23500"/>
                      <a:satMod val="160000"/>
                      <a:lumMod val="73000"/>
                    </a:schemeClr>
                  </a:gs>
                </a:gsLst>
                <a:lin ang="5400000" scaled="0"/>
              </a:gradFill>
              <a:ln w="6350" cmpd="sng">
                <a:solidFill>
                  <a:srgbClr val="000000"/>
                </a:solidFill>
                <a:round/>
                <a:headEnd/>
                <a:tailEnd/>
              </a:ln>
            </xdr:spPr>
          </xdr:sp>
        </xdr:grpSp>
        <xdr:sp macro="" textlink="">
          <xdr:nvSpPr>
            <xdr:cNvPr id="130" name="Freeform 129"/>
            <xdr:cNvSpPr/>
          </xdr:nvSpPr>
          <xdr:spPr>
            <a:xfrm>
              <a:off x="2802790" y="7173951"/>
              <a:ext cx="2115801" cy="1843785"/>
            </a:xfrm>
            <a:custGeom>
              <a:avLst/>
              <a:gdLst>
                <a:gd name="connsiteX0" fmla="*/ 1781175 w 2066925"/>
                <a:gd name="connsiteY0" fmla="*/ 0 h 1800225"/>
                <a:gd name="connsiteX1" fmla="*/ 1781175 w 2066925"/>
                <a:gd name="connsiteY1" fmla="*/ 0 h 1800225"/>
                <a:gd name="connsiteX2" fmla="*/ 2066925 w 2066925"/>
                <a:gd name="connsiteY2" fmla="*/ 9525 h 1800225"/>
                <a:gd name="connsiteX3" fmla="*/ 323850 w 2066925"/>
                <a:gd name="connsiteY3" fmla="*/ 1800225 h 1800225"/>
                <a:gd name="connsiteX4" fmla="*/ 0 w 2066925"/>
                <a:gd name="connsiteY4" fmla="*/ 1800225 h 1800225"/>
                <a:gd name="connsiteX5" fmla="*/ 1781175 w 2066925"/>
                <a:gd name="connsiteY5" fmla="*/ 0 h 1800225"/>
                <a:gd name="connsiteX0" fmla="*/ 1781175 w 2083858"/>
                <a:gd name="connsiteY0" fmla="*/ 0 h 1800225"/>
                <a:gd name="connsiteX1" fmla="*/ 1781175 w 2083858"/>
                <a:gd name="connsiteY1" fmla="*/ 0 h 1800225"/>
                <a:gd name="connsiteX2" fmla="*/ 2083858 w 2083858"/>
                <a:gd name="connsiteY2" fmla="*/ 5264 h 1800225"/>
                <a:gd name="connsiteX3" fmla="*/ 323850 w 2083858"/>
                <a:gd name="connsiteY3" fmla="*/ 1800225 h 1800225"/>
                <a:gd name="connsiteX4" fmla="*/ 0 w 2083858"/>
                <a:gd name="connsiteY4" fmla="*/ 1800225 h 1800225"/>
                <a:gd name="connsiteX5" fmla="*/ 1781175 w 2083858"/>
                <a:gd name="connsiteY5" fmla="*/ 0 h 1800225"/>
                <a:gd name="connsiteX0" fmla="*/ 1781175 w 2083858"/>
                <a:gd name="connsiteY0" fmla="*/ 0 h 1814683"/>
                <a:gd name="connsiteX1" fmla="*/ 1781175 w 2083858"/>
                <a:gd name="connsiteY1" fmla="*/ 14458 h 1814683"/>
                <a:gd name="connsiteX2" fmla="*/ 2083858 w 2083858"/>
                <a:gd name="connsiteY2" fmla="*/ 19722 h 1814683"/>
                <a:gd name="connsiteX3" fmla="*/ 323850 w 2083858"/>
                <a:gd name="connsiteY3" fmla="*/ 1814683 h 1814683"/>
                <a:gd name="connsiteX4" fmla="*/ 0 w 2083858"/>
                <a:gd name="connsiteY4" fmla="*/ 1814683 h 1814683"/>
                <a:gd name="connsiteX5" fmla="*/ 1781175 w 2083858"/>
                <a:gd name="connsiteY5" fmla="*/ 0 h 1814683"/>
                <a:gd name="connsiteX0" fmla="*/ 1781175 w 2089663"/>
                <a:gd name="connsiteY0" fmla="*/ 0 h 1814683"/>
                <a:gd name="connsiteX1" fmla="*/ 1781175 w 2089663"/>
                <a:gd name="connsiteY1" fmla="*/ 14458 h 1814683"/>
                <a:gd name="connsiteX2" fmla="*/ 2089663 w 2089663"/>
                <a:gd name="connsiteY2" fmla="*/ 2372 h 1814683"/>
                <a:gd name="connsiteX3" fmla="*/ 323850 w 2089663"/>
                <a:gd name="connsiteY3" fmla="*/ 1814683 h 1814683"/>
                <a:gd name="connsiteX4" fmla="*/ 0 w 2089663"/>
                <a:gd name="connsiteY4" fmla="*/ 1814683 h 1814683"/>
                <a:gd name="connsiteX5" fmla="*/ 1781175 w 2089663"/>
                <a:gd name="connsiteY5" fmla="*/ 0 h 1814683"/>
                <a:gd name="connsiteX0" fmla="*/ 1781175 w 2089663"/>
                <a:gd name="connsiteY0" fmla="*/ 2892 h 1817575"/>
                <a:gd name="connsiteX1" fmla="*/ 1781175 w 2089663"/>
                <a:gd name="connsiteY1" fmla="*/ 0 h 1817575"/>
                <a:gd name="connsiteX2" fmla="*/ 2089663 w 2089663"/>
                <a:gd name="connsiteY2" fmla="*/ 5264 h 1817575"/>
                <a:gd name="connsiteX3" fmla="*/ 323850 w 2089663"/>
                <a:gd name="connsiteY3" fmla="*/ 1817575 h 1817575"/>
                <a:gd name="connsiteX4" fmla="*/ 0 w 2089663"/>
                <a:gd name="connsiteY4" fmla="*/ 1817575 h 1817575"/>
                <a:gd name="connsiteX5" fmla="*/ 1781175 w 2089663"/>
                <a:gd name="connsiteY5" fmla="*/ 2892 h 1817575"/>
                <a:gd name="connsiteX0" fmla="*/ 1792785 w 2101273"/>
                <a:gd name="connsiteY0" fmla="*/ 2892 h 1843600"/>
                <a:gd name="connsiteX1" fmla="*/ 1792785 w 2101273"/>
                <a:gd name="connsiteY1" fmla="*/ 0 h 1843600"/>
                <a:gd name="connsiteX2" fmla="*/ 2101273 w 2101273"/>
                <a:gd name="connsiteY2" fmla="*/ 5264 h 1843600"/>
                <a:gd name="connsiteX3" fmla="*/ 335460 w 2101273"/>
                <a:gd name="connsiteY3" fmla="*/ 1817575 h 1843600"/>
                <a:gd name="connsiteX4" fmla="*/ 0 w 2101273"/>
                <a:gd name="connsiteY4" fmla="*/ 1843600 h 1843600"/>
                <a:gd name="connsiteX5" fmla="*/ 1792785 w 2101273"/>
                <a:gd name="connsiteY5" fmla="*/ 2892 h 1843600"/>
                <a:gd name="connsiteX0" fmla="*/ 1807299 w 2115787"/>
                <a:gd name="connsiteY0" fmla="*/ 2892 h 1843600"/>
                <a:gd name="connsiteX1" fmla="*/ 1807299 w 2115787"/>
                <a:gd name="connsiteY1" fmla="*/ 0 h 1843600"/>
                <a:gd name="connsiteX2" fmla="*/ 2115787 w 2115787"/>
                <a:gd name="connsiteY2" fmla="*/ 5264 h 1843600"/>
                <a:gd name="connsiteX3" fmla="*/ 349974 w 2115787"/>
                <a:gd name="connsiteY3" fmla="*/ 1817575 h 1843600"/>
                <a:gd name="connsiteX4" fmla="*/ 0 w 2115787"/>
                <a:gd name="connsiteY4" fmla="*/ 1843600 h 1843600"/>
                <a:gd name="connsiteX5" fmla="*/ 1807299 w 2115787"/>
                <a:gd name="connsiteY5" fmla="*/ 2892 h 1843600"/>
                <a:gd name="connsiteX0" fmla="*/ 1807299 w 2115787"/>
                <a:gd name="connsiteY0" fmla="*/ 2892 h 1843600"/>
                <a:gd name="connsiteX1" fmla="*/ 1807299 w 2115787"/>
                <a:gd name="connsiteY1" fmla="*/ 0 h 1843600"/>
                <a:gd name="connsiteX2" fmla="*/ 2115787 w 2115787"/>
                <a:gd name="connsiteY2" fmla="*/ 5264 h 1843600"/>
                <a:gd name="connsiteX3" fmla="*/ 355779 w 2115787"/>
                <a:gd name="connsiteY3" fmla="*/ 1832033 h 1843600"/>
                <a:gd name="connsiteX4" fmla="*/ 0 w 2115787"/>
                <a:gd name="connsiteY4" fmla="*/ 1843600 h 1843600"/>
                <a:gd name="connsiteX5" fmla="*/ 1807299 w 2115787"/>
                <a:gd name="connsiteY5" fmla="*/ 2892 h 18436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2115787" h="1843600">
                  <a:moveTo>
                    <a:pt x="1807299" y="2892"/>
                  </a:moveTo>
                  <a:lnTo>
                    <a:pt x="1807299" y="0"/>
                  </a:lnTo>
                  <a:cubicBezTo>
                    <a:pt x="1857746" y="877"/>
                    <a:pt x="1887011" y="5264"/>
                    <a:pt x="2115787" y="5264"/>
                  </a:cubicBezTo>
                  <a:lnTo>
                    <a:pt x="355779" y="1832033"/>
                  </a:lnTo>
                  <a:lnTo>
                    <a:pt x="0" y="1843600"/>
                  </a:lnTo>
                  <a:lnTo>
                    <a:pt x="1807299" y="2892"/>
                  </a:lnTo>
                  <a:close/>
                </a:path>
              </a:pathLst>
            </a:custGeom>
            <a:gradFill flip="none" rotWithShape="1">
              <a:gsLst>
                <a:gs pos="0">
                  <a:schemeClr val="accent5">
                    <a:lumMod val="75000"/>
                  </a:schemeClr>
                </a:gs>
                <a:gs pos="50000">
                  <a:schemeClr val="accent5">
                    <a:lumMod val="60000"/>
                    <a:lumOff val="40000"/>
                  </a:schemeClr>
                </a:gs>
                <a:gs pos="100000">
                  <a:schemeClr val="accent5">
                    <a:lumMod val="40000"/>
                    <a:lumOff val="60000"/>
                  </a:schemeClr>
                </a:gs>
              </a:gsLst>
              <a:lin ang="0" scaled="1"/>
              <a:tileRect/>
            </a:gra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1" name="AutoShape 249"/>
            <xdr:cNvSpPr>
              <a:spLocks/>
            </xdr:cNvSpPr>
          </xdr:nvSpPr>
          <xdr:spPr bwMode="auto">
            <a:xfrm>
              <a:off x="962025" y="7315200"/>
              <a:ext cx="2381250" cy="733425"/>
            </a:xfrm>
            <a:prstGeom prst="callout2">
              <a:avLst>
                <a:gd name="adj1" fmla="val 18180"/>
                <a:gd name="adj2" fmla="val 103766"/>
                <a:gd name="adj3" fmla="val 19480"/>
                <a:gd name="adj4" fmla="val 115063"/>
                <a:gd name="adj5" fmla="val 64935"/>
                <a:gd name="adj6" fmla="val 133252"/>
              </a:avLst>
            </a:prstGeom>
            <a:solidFill>
              <a:srgbClr val="FFFFFF"/>
            </a:solidFill>
            <a:ln w="9525">
              <a:solidFill>
                <a:srgbClr val="000000"/>
              </a:solidFill>
              <a:miter lim="800000"/>
              <a:headEnd/>
              <a:tailEnd type="triangle" w="lg" len="lg"/>
            </a:ln>
          </xdr:spPr>
          <xdr:txBody>
            <a:bodyPr vertOverflow="clip" wrap="square" lIns="45720" tIns="41148" rIns="0" bIns="0" anchor="t" upright="1"/>
            <a:lstStyle/>
            <a:p>
              <a:pPr algn="r" rtl="0">
                <a:defRPr sz="1000"/>
              </a:pPr>
              <a:r>
                <a:rPr lang="en-US" sz="2000" b="1" i="0" u="none" strike="noStrike" baseline="0">
                  <a:solidFill>
                    <a:srgbClr val="000000"/>
                  </a:solidFill>
                  <a:latin typeface="Arial"/>
                  <a:cs typeface="Arial"/>
                </a:rPr>
                <a:t>Cell State-of-Charge Controller</a:t>
              </a:r>
            </a:p>
          </xdr:txBody>
        </xdr:sp>
        <xdr:sp macro="" textlink="">
          <xdr:nvSpPr>
            <xdr:cNvPr id="132" name="Freeform 131"/>
            <xdr:cNvSpPr/>
          </xdr:nvSpPr>
          <xdr:spPr>
            <a:xfrm>
              <a:off x="4363490" y="7174838"/>
              <a:ext cx="3369871" cy="253129"/>
            </a:xfrm>
            <a:custGeom>
              <a:avLst/>
              <a:gdLst>
                <a:gd name="connsiteX0" fmla="*/ 277455 w 512005"/>
                <a:gd name="connsiteY0" fmla="*/ 0 h 291756"/>
                <a:gd name="connsiteX1" fmla="*/ 512005 w 512005"/>
                <a:gd name="connsiteY1" fmla="*/ 2860 h 291756"/>
                <a:gd name="connsiteX2" fmla="*/ 225969 w 512005"/>
                <a:gd name="connsiteY2" fmla="*/ 291756 h 291756"/>
                <a:gd name="connsiteX3" fmla="*/ 0 w 512005"/>
                <a:gd name="connsiteY3" fmla="*/ 291756 h 291756"/>
                <a:gd name="connsiteX4" fmla="*/ 277455 w 512005"/>
                <a:gd name="connsiteY4" fmla="*/ 0 h 291756"/>
                <a:gd name="connsiteX0" fmla="*/ 277455 w 2977324"/>
                <a:gd name="connsiteY0" fmla="*/ 0 h 291756"/>
                <a:gd name="connsiteX1" fmla="*/ 2977324 w 2977324"/>
                <a:gd name="connsiteY1" fmla="*/ 2860 h 291756"/>
                <a:gd name="connsiteX2" fmla="*/ 225969 w 2977324"/>
                <a:gd name="connsiteY2" fmla="*/ 291756 h 291756"/>
                <a:gd name="connsiteX3" fmla="*/ 0 w 2977324"/>
                <a:gd name="connsiteY3" fmla="*/ 291756 h 291756"/>
                <a:gd name="connsiteX4" fmla="*/ 277455 w 2977324"/>
                <a:gd name="connsiteY4" fmla="*/ 0 h 291756"/>
                <a:gd name="connsiteX0" fmla="*/ 277455 w 2977324"/>
                <a:gd name="connsiteY0" fmla="*/ 0 h 291756"/>
                <a:gd name="connsiteX1" fmla="*/ 2977324 w 2977324"/>
                <a:gd name="connsiteY1" fmla="*/ 2860 h 291756"/>
                <a:gd name="connsiteX2" fmla="*/ 2729363 w 2977324"/>
                <a:gd name="connsiteY2" fmla="*/ 234242 h 291756"/>
                <a:gd name="connsiteX3" fmla="*/ 0 w 2977324"/>
                <a:gd name="connsiteY3" fmla="*/ 291756 h 291756"/>
                <a:gd name="connsiteX4" fmla="*/ 277455 w 2977324"/>
                <a:gd name="connsiteY4" fmla="*/ 0 h 291756"/>
                <a:gd name="connsiteX0" fmla="*/ 239381 w 2939250"/>
                <a:gd name="connsiteY0" fmla="*/ 0 h 234242"/>
                <a:gd name="connsiteX1" fmla="*/ 2939250 w 2939250"/>
                <a:gd name="connsiteY1" fmla="*/ 2860 h 234242"/>
                <a:gd name="connsiteX2" fmla="*/ 2691289 w 2939250"/>
                <a:gd name="connsiteY2" fmla="*/ 234242 h 234242"/>
                <a:gd name="connsiteX3" fmla="*/ 0 w 2939250"/>
                <a:gd name="connsiteY3" fmla="*/ 224657 h 234242"/>
                <a:gd name="connsiteX4" fmla="*/ 239381 w 2939250"/>
                <a:gd name="connsiteY4" fmla="*/ 0 h 234242"/>
                <a:gd name="connsiteX0" fmla="*/ 140751 w 2939250"/>
                <a:gd name="connsiteY0" fmla="*/ 0 h 251725"/>
                <a:gd name="connsiteX1" fmla="*/ 2939250 w 2939250"/>
                <a:gd name="connsiteY1" fmla="*/ 20343 h 251725"/>
                <a:gd name="connsiteX2" fmla="*/ 2691289 w 2939250"/>
                <a:gd name="connsiteY2" fmla="*/ 251725 h 251725"/>
                <a:gd name="connsiteX3" fmla="*/ 0 w 2939250"/>
                <a:gd name="connsiteY3" fmla="*/ 242140 h 251725"/>
                <a:gd name="connsiteX4" fmla="*/ 140751 w 2939250"/>
                <a:gd name="connsiteY4" fmla="*/ 0 h 251725"/>
                <a:gd name="connsiteX0" fmla="*/ 219074 w 3017573"/>
                <a:gd name="connsiteY0" fmla="*/ 0 h 251725"/>
                <a:gd name="connsiteX1" fmla="*/ 3017573 w 3017573"/>
                <a:gd name="connsiteY1" fmla="*/ 20343 h 251725"/>
                <a:gd name="connsiteX2" fmla="*/ 2769612 w 3017573"/>
                <a:gd name="connsiteY2" fmla="*/ 251725 h 251725"/>
                <a:gd name="connsiteX3" fmla="*/ 0 w 3017573"/>
                <a:gd name="connsiteY3" fmla="*/ 242140 h 251725"/>
                <a:gd name="connsiteX4" fmla="*/ 219074 w 3017573"/>
                <a:gd name="connsiteY4" fmla="*/ 0 h 251725"/>
                <a:gd name="connsiteX0" fmla="*/ 221975 w 3017573"/>
                <a:gd name="connsiteY0" fmla="*/ 0 h 248811"/>
                <a:gd name="connsiteX1" fmla="*/ 3017573 w 3017573"/>
                <a:gd name="connsiteY1" fmla="*/ 17429 h 248811"/>
                <a:gd name="connsiteX2" fmla="*/ 2769612 w 3017573"/>
                <a:gd name="connsiteY2" fmla="*/ 248811 h 248811"/>
                <a:gd name="connsiteX3" fmla="*/ 0 w 3017573"/>
                <a:gd name="connsiteY3" fmla="*/ 239226 h 248811"/>
                <a:gd name="connsiteX4" fmla="*/ 221975 w 3017573"/>
                <a:gd name="connsiteY4" fmla="*/ 0 h 248811"/>
                <a:gd name="connsiteX0" fmla="*/ 97238 w 2892836"/>
                <a:gd name="connsiteY0" fmla="*/ 0 h 248811"/>
                <a:gd name="connsiteX1" fmla="*/ 2892836 w 2892836"/>
                <a:gd name="connsiteY1" fmla="*/ 17429 h 248811"/>
                <a:gd name="connsiteX2" fmla="*/ 2644875 w 2892836"/>
                <a:gd name="connsiteY2" fmla="*/ 248811 h 248811"/>
                <a:gd name="connsiteX3" fmla="*/ 0 w 2892836"/>
                <a:gd name="connsiteY3" fmla="*/ 242140 h 248811"/>
                <a:gd name="connsiteX4" fmla="*/ 97238 w 2892836"/>
                <a:gd name="connsiteY4" fmla="*/ 0 h 248811"/>
                <a:gd name="connsiteX0" fmla="*/ 224876 w 2892836"/>
                <a:gd name="connsiteY0" fmla="*/ 2967 h 231382"/>
                <a:gd name="connsiteX1" fmla="*/ 2892836 w 2892836"/>
                <a:gd name="connsiteY1" fmla="*/ 0 h 231382"/>
                <a:gd name="connsiteX2" fmla="*/ 2644875 w 2892836"/>
                <a:gd name="connsiteY2" fmla="*/ 231382 h 231382"/>
                <a:gd name="connsiteX3" fmla="*/ 0 w 2892836"/>
                <a:gd name="connsiteY3" fmla="*/ 224711 h 231382"/>
                <a:gd name="connsiteX4" fmla="*/ 224876 w 2892836"/>
                <a:gd name="connsiteY4" fmla="*/ 2967 h 231382"/>
                <a:gd name="connsiteX0" fmla="*/ 233579 w 2892836"/>
                <a:gd name="connsiteY0" fmla="*/ 0 h 245898"/>
                <a:gd name="connsiteX1" fmla="*/ 2892836 w 2892836"/>
                <a:gd name="connsiteY1" fmla="*/ 14516 h 245898"/>
                <a:gd name="connsiteX2" fmla="*/ 2644875 w 2892836"/>
                <a:gd name="connsiteY2" fmla="*/ 245898 h 245898"/>
                <a:gd name="connsiteX3" fmla="*/ 0 w 2892836"/>
                <a:gd name="connsiteY3" fmla="*/ 239227 h 245898"/>
                <a:gd name="connsiteX4" fmla="*/ 233579 w 2892836"/>
                <a:gd name="connsiteY4" fmla="*/ 0 h 245898"/>
                <a:gd name="connsiteX0" fmla="*/ 233579 w 2898638"/>
                <a:gd name="connsiteY0" fmla="*/ 11708 h 257606"/>
                <a:gd name="connsiteX1" fmla="*/ 2898638 w 2898638"/>
                <a:gd name="connsiteY1" fmla="*/ 0 h 257606"/>
                <a:gd name="connsiteX2" fmla="*/ 2644875 w 2898638"/>
                <a:gd name="connsiteY2" fmla="*/ 257606 h 257606"/>
                <a:gd name="connsiteX3" fmla="*/ 0 w 2898638"/>
                <a:gd name="connsiteY3" fmla="*/ 250935 h 257606"/>
                <a:gd name="connsiteX4" fmla="*/ 233579 w 2898638"/>
                <a:gd name="connsiteY4" fmla="*/ 11708 h 257606"/>
                <a:gd name="connsiteX0" fmla="*/ 233579 w 2907341"/>
                <a:gd name="connsiteY0" fmla="*/ 5880 h 251778"/>
                <a:gd name="connsiteX1" fmla="*/ 2907341 w 2907341"/>
                <a:gd name="connsiteY1" fmla="*/ 0 h 251778"/>
                <a:gd name="connsiteX2" fmla="*/ 2644875 w 2907341"/>
                <a:gd name="connsiteY2" fmla="*/ 251778 h 251778"/>
                <a:gd name="connsiteX3" fmla="*/ 0 w 2907341"/>
                <a:gd name="connsiteY3" fmla="*/ 245107 h 251778"/>
                <a:gd name="connsiteX4" fmla="*/ 233579 w 2907341"/>
                <a:gd name="connsiteY4" fmla="*/ 5880 h 251778"/>
                <a:gd name="connsiteX0" fmla="*/ 233579 w 2907341"/>
                <a:gd name="connsiteY0" fmla="*/ 5880 h 251778"/>
                <a:gd name="connsiteX1" fmla="*/ 2907341 w 2907341"/>
                <a:gd name="connsiteY1" fmla="*/ 0 h 251778"/>
                <a:gd name="connsiteX2" fmla="*/ 2673884 w 2907341"/>
                <a:gd name="connsiteY2" fmla="*/ 251778 h 251778"/>
                <a:gd name="connsiteX3" fmla="*/ 0 w 2907341"/>
                <a:gd name="connsiteY3" fmla="*/ 245107 h 251778"/>
                <a:gd name="connsiteX4" fmla="*/ 233579 w 2907341"/>
                <a:gd name="connsiteY4" fmla="*/ 5880 h 251778"/>
                <a:gd name="connsiteX0" fmla="*/ 0 w 3111620"/>
                <a:gd name="connsiteY0" fmla="*/ 5880 h 251778"/>
                <a:gd name="connsiteX1" fmla="*/ 3111620 w 3111620"/>
                <a:gd name="connsiteY1" fmla="*/ 0 h 251778"/>
                <a:gd name="connsiteX2" fmla="*/ 2878163 w 3111620"/>
                <a:gd name="connsiteY2" fmla="*/ 251778 h 251778"/>
                <a:gd name="connsiteX3" fmla="*/ 204279 w 3111620"/>
                <a:gd name="connsiteY3" fmla="*/ 245107 h 251778"/>
                <a:gd name="connsiteX4" fmla="*/ 0 w 3111620"/>
                <a:gd name="connsiteY4" fmla="*/ 5880 h 251778"/>
                <a:gd name="connsiteX0" fmla="*/ 252616 w 3364236"/>
                <a:gd name="connsiteY0" fmla="*/ 5880 h 251778"/>
                <a:gd name="connsiteX1" fmla="*/ 3364236 w 3364236"/>
                <a:gd name="connsiteY1" fmla="*/ 0 h 251778"/>
                <a:gd name="connsiteX2" fmla="*/ 3130779 w 3364236"/>
                <a:gd name="connsiteY2" fmla="*/ 251778 h 251778"/>
                <a:gd name="connsiteX3" fmla="*/ 0 w 3364236"/>
                <a:gd name="connsiteY3" fmla="*/ 245107 h 251778"/>
                <a:gd name="connsiteX4" fmla="*/ 252616 w 3364236"/>
                <a:gd name="connsiteY4" fmla="*/ 5880 h 251778"/>
                <a:gd name="connsiteX0" fmla="*/ 252616 w 3367621"/>
                <a:gd name="connsiteY0" fmla="*/ 0 h 245898"/>
                <a:gd name="connsiteX1" fmla="*/ 3367621 w 3367621"/>
                <a:gd name="connsiteY1" fmla="*/ 685 h 245898"/>
                <a:gd name="connsiteX2" fmla="*/ 3130779 w 3367621"/>
                <a:gd name="connsiteY2" fmla="*/ 245898 h 245898"/>
                <a:gd name="connsiteX3" fmla="*/ 0 w 3367621"/>
                <a:gd name="connsiteY3" fmla="*/ 239227 h 245898"/>
                <a:gd name="connsiteX4" fmla="*/ 252616 w 3367621"/>
                <a:gd name="connsiteY4" fmla="*/ 0 h 245898"/>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367621" h="245898">
                  <a:moveTo>
                    <a:pt x="252616" y="0"/>
                  </a:moveTo>
                  <a:lnTo>
                    <a:pt x="3367621" y="685"/>
                  </a:lnTo>
                  <a:lnTo>
                    <a:pt x="3130779" y="245898"/>
                  </a:lnTo>
                  <a:lnTo>
                    <a:pt x="0" y="239227"/>
                  </a:lnTo>
                  <a:lnTo>
                    <a:pt x="252616" y="0"/>
                  </a:lnTo>
                  <a:close/>
                </a:path>
              </a:pathLst>
            </a:custGeom>
            <a:solidFill>
              <a:schemeClr val="bg2">
                <a:lumMod val="7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3" name="Freeform 132"/>
            <xdr:cNvSpPr/>
          </xdr:nvSpPr>
          <xdr:spPr>
            <a:xfrm>
              <a:off x="2816712" y="8780019"/>
              <a:ext cx="3403113" cy="243458"/>
            </a:xfrm>
            <a:custGeom>
              <a:avLst/>
              <a:gdLst>
                <a:gd name="connsiteX0" fmla="*/ 277455 w 512005"/>
                <a:gd name="connsiteY0" fmla="*/ 0 h 291756"/>
                <a:gd name="connsiteX1" fmla="*/ 512005 w 512005"/>
                <a:gd name="connsiteY1" fmla="*/ 2860 h 291756"/>
                <a:gd name="connsiteX2" fmla="*/ 225969 w 512005"/>
                <a:gd name="connsiteY2" fmla="*/ 291756 h 291756"/>
                <a:gd name="connsiteX3" fmla="*/ 0 w 512005"/>
                <a:gd name="connsiteY3" fmla="*/ 291756 h 291756"/>
                <a:gd name="connsiteX4" fmla="*/ 277455 w 512005"/>
                <a:gd name="connsiteY4" fmla="*/ 0 h 291756"/>
                <a:gd name="connsiteX0" fmla="*/ 277455 w 2977324"/>
                <a:gd name="connsiteY0" fmla="*/ 0 h 291756"/>
                <a:gd name="connsiteX1" fmla="*/ 2977324 w 2977324"/>
                <a:gd name="connsiteY1" fmla="*/ 2860 h 291756"/>
                <a:gd name="connsiteX2" fmla="*/ 225969 w 2977324"/>
                <a:gd name="connsiteY2" fmla="*/ 291756 h 291756"/>
                <a:gd name="connsiteX3" fmla="*/ 0 w 2977324"/>
                <a:gd name="connsiteY3" fmla="*/ 291756 h 291756"/>
                <a:gd name="connsiteX4" fmla="*/ 277455 w 2977324"/>
                <a:gd name="connsiteY4" fmla="*/ 0 h 291756"/>
                <a:gd name="connsiteX0" fmla="*/ 277455 w 2977324"/>
                <a:gd name="connsiteY0" fmla="*/ 0 h 291756"/>
                <a:gd name="connsiteX1" fmla="*/ 2977324 w 2977324"/>
                <a:gd name="connsiteY1" fmla="*/ 2860 h 291756"/>
                <a:gd name="connsiteX2" fmla="*/ 2729363 w 2977324"/>
                <a:gd name="connsiteY2" fmla="*/ 234242 h 291756"/>
                <a:gd name="connsiteX3" fmla="*/ 0 w 2977324"/>
                <a:gd name="connsiteY3" fmla="*/ 291756 h 291756"/>
                <a:gd name="connsiteX4" fmla="*/ 277455 w 2977324"/>
                <a:gd name="connsiteY4" fmla="*/ 0 h 291756"/>
                <a:gd name="connsiteX0" fmla="*/ 239381 w 2939250"/>
                <a:gd name="connsiteY0" fmla="*/ 0 h 234242"/>
                <a:gd name="connsiteX1" fmla="*/ 2939250 w 2939250"/>
                <a:gd name="connsiteY1" fmla="*/ 2860 h 234242"/>
                <a:gd name="connsiteX2" fmla="*/ 2691289 w 2939250"/>
                <a:gd name="connsiteY2" fmla="*/ 234242 h 234242"/>
                <a:gd name="connsiteX3" fmla="*/ 0 w 2939250"/>
                <a:gd name="connsiteY3" fmla="*/ 224657 h 234242"/>
                <a:gd name="connsiteX4" fmla="*/ 239381 w 2939250"/>
                <a:gd name="connsiteY4" fmla="*/ 0 h 234242"/>
                <a:gd name="connsiteX0" fmla="*/ 140751 w 2939250"/>
                <a:gd name="connsiteY0" fmla="*/ 0 h 251725"/>
                <a:gd name="connsiteX1" fmla="*/ 2939250 w 2939250"/>
                <a:gd name="connsiteY1" fmla="*/ 20343 h 251725"/>
                <a:gd name="connsiteX2" fmla="*/ 2691289 w 2939250"/>
                <a:gd name="connsiteY2" fmla="*/ 251725 h 251725"/>
                <a:gd name="connsiteX3" fmla="*/ 0 w 2939250"/>
                <a:gd name="connsiteY3" fmla="*/ 242140 h 251725"/>
                <a:gd name="connsiteX4" fmla="*/ 140751 w 2939250"/>
                <a:gd name="connsiteY4" fmla="*/ 0 h 251725"/>
                <a:gd name="connsiteX0" fmla="*/ 219074 w 3017573"/>
                <a:gd name="connsiteY0" fmla="*/ 0 h 251725"/>
                <a:gd name="connsiteX1" fmla="*/ 3017573 w 3017573"/>
                <a:gd name="connsiteY1" fmla="*/ 20343 h 251725"/>
                <a:gd name="connsiteX2" fmla="*/ 2769612 w 3017573"/>
                <a:gd name="connsiteY2" fmla="*/ 251725 h 251725"/>
                <a:gd name="connsiteX3" fmla="*/ 0 w 3017573"/>
                <a:gd name="connsiteY3" fmla="*/ 242140 h 251725"/>
                <a:gd name="connsiteX4" fmla="*/ 219074 w 3017573"/>
                <a:gd name="connsiteY4" fmla="*/ 0 h 251725"/>
                <a:gd name="connsiteX0" fmla="*/ 221975 w 3017573"/>
                <a:gd name="connsiteY0" fmla="*/ 0 h 248811"/>
                <a:gd name="connsiteX1" fmla="*/ 3017573 w 3017573"/>
                <a:gd name="connsiteY1" fmla="*/ 17429 h 248811"/>
                <a:gd name="connsiteX2" fmla="*/ 2769612 w 3017573"/>
                <a:gd name="connsiteY2" fmla="*/ 248811 h 248811"/>
                <a:gd name="connsiteX3" fmla="*/ 0 w 3017573"/>
                <a:gd name="connsiteY3" fmla="*/ 239226 h 248811"/>
                <a:gd name="connsiteX4" fmla="*/ 221975 w 3017573"/>
                <a:gd name="connsiteY4" fmla="*/ 0 h 248811"/>
                <a:gd name="connsiteX0" fmla="*/ 97238 w 2892836"/>
                <a:gd name="connsiteY0" fmla="*/ 0 h 248811"/>
                <a:gd name="connsiteX1" fmla="*/ 2892836 w 2892836"/>
                <a:gd name="connsiteY1" fmla="*/ 17429 h 248811"/>
                <a:gd name="connsiteX2" fmla="*/ 2644875 w 2892836"/>
                <a:gd name="connsiteY2" fmla="*/ 248811 h 248811"/>
                <a:gd name="connsiteX3" fmla="*/ 0 w 2892836"/>
                <a:gd name="connsiteY3" fmla="*/ 242140 h 248811"/>
                <a:gd name="connsiteX4" fmla="*/ 97238 w 2892836"/>
                <a:gd name="connsiteY4" fmla="*/ 0 h 248811"/>
                <a:gd name="connsiteX0" fmla="*/ 224876 w 2892836"/>
                <a:gd name="connsiteY0" fmla="*/ 2967 h 231382"/>
                <a:gd name="connsiteX1" fmla="*/ 2892836 w 2892836"/>
                <a:gd name="connsiteY1" fmla="*/ 0 h 231382"/>
                <a:gd name="connsiteX2" fmla="*/ 2644875 w 2892836"/>
                <a:gd name="connsiteY2" fmla="*/ 231382 h 231382"/>
                <a:gd name="connsiteX3" fmla="*/ 0 w 2892836"/>
                <a:gd name="connsiteY3" fmla="*/ 224711 h 231382"/>
                <a:gd name="connsiteX4" fmla="*/ 224876 w 2892836"/>
                <a:gd name="connsiteY4" fmla="*/ 2967 h 231382"/>
                <a:gd name="connsiteX0" fmla="*/ 233579 w 2892836"/>
                <a:gd name="connsiteY0" fmla="*/ 0 h 245898"/>
                <a:gd name="connsiteX1" fmla="*/ 2892836 w 2892836"/>
                <a:gd name="connsiteY1" fmla="*/ 14516 h 245898"/>
                <a:gd name="connsiteX2" fmla="*/ 2644875 w 2892836"/>
                <a:gd name="connsiteY2" fmla="*/ 245898 h 245898"/>
                <a:gd name="connsiteX3" fmla="*/ 0 w 2892836"/>
                <a:gd name="connsiteY3" fmla="*/ 239227 h 245898"/>
                <a:gd name="connsiteX4" fmla="*/ 233579 w 2892836"/>
                <a:gd name="connsiteY4" fmla="*/ 0 h 245898"/>
                <a:gd name="connsiteX0" fmla="*/ 233579 w 2898638"/>
                <a:gd name="connsiteY0" fmla="*/ 11708 h 257606"/>
                <a:gd name="connsiteX1" fmla="*/ 2898638 w 2898638"/>
                <a:gd name="connsiteY1" fmla="*/ 0 h 257606"/>
                <a:gd name="connsiteX2" fmla="*/ 2644875 w 2898638"/>
                <a:gd name="connsiteY2" fmla="*/ 257606 h 257606"/>
                <a:gd name="connsiteX3" fmla="*/ 0 w 2898638"/>
                <a:gd name="connsiteY3" fmla="*/ 250935 h 257606"/>
                <a:gd name="connsiteX4" fmla="*/ 233579 w 2898638"/>
                <a:gd name="connsiteY4" fmla="*/ 11708 h 257606"/>
                <a:gd name="connsiteX0" fmla="*/ 233579 w 2907341"/>
                <a:gd name="connsiteY0" fmla="*/ 5880 h 251778"/>
                <a:gd name="connsiteX1" fmla="*/ 2907341 w 2907341"/>
                <a:gd name="connsiteY1" fmla="*/ 0 h 251778"/>
                <a:gd name="connsiteX2" fmla="*/ 2644875 w 2907341"/>
                <a:gd name="connsiteY2" fmla="*/ 251778 h 251778"/>
                <a:gd name="connsiteX3" fmla="*/ 0 w 2907341"/>
                <a:gd name="connsiteY3" fmla="*/ 245107 h 251778"/>
                <a:gd name="connsiteX4" fmla="*/ 233579 w 2907341"/>
                <a:gd name="connsiteY4" fmla="*/ 5880 h 251778"/>
                <a:gd name="connsiteX0" fmla="*/ 233579 w 2907341"/>
                <a:gd name="connsiteY0" fmla="*/ 5880 h 251778"/>
                <a:gd name="connsiteX1" fmla="*/ 2907341 w 2907341"/>
                <a:gd name="connsiteY1" fmla="*/ 0 h 251778"/>
                <a:gd name="connsiteX2" fmla="*/ 2673884 w 2907341"/>
                <a:gd name="connsiteY2" fmla="*/ 251778 h 251778"/>
                <a:gd name="connsiteX3" fmla="*/ 0 w 2907341"/>
                <a:gd name="connsiteY3" fmla="*/ 245107 h 251778"/>
                <a:gd name="connsiteX4" fmla="*/ 233579 w 2907341"/>
                <a:gd name="connsiteY4" fmla="*/ 5880 h 251778"/>
                <a:gd name="connsiteX0" fmla="*/ 0 w 3132856"/>
                <a:gd name="connsiteY0" fmla="*/ 5880 h 251778"/>
                <a:gd name="connsiteX1" fmla="*/ 3132856 w 3132856"/>
                <a:gd name="connsiteY1" fmla="*/ 0 h 251778"/>
                <a:gd name="connsiteX2" fmla="*/ 2899399 w 3132856"/>
                <a:gd name="connsiteY2" fmla="*/ 251778 h 251778"/>
                <a:gd name="connsiteX3" fmla="*/ 225515 w 3132856"/>
                <a:gd name="connsiteY3" fmla="*/ 245107 h 251778"/>
                <a:gd name="connsiteX4" fmla="*/ 0 w 3132856"/>
                <a:gd name="connsiteY4" fmla="*/ 5880 h 251778"/>
                <a:gd name="connsiteX0" fmla="*/ 210291 w 3343147"/>
                <a:gd name="connsiteY0" fmla="*/ 5880 h 251778"/>
                <a:gd name="connsiteX1" fmla="*/ 3343147 w 3343147"/>
                <a:gd name="connsiteY1" fmla="*/ 0 h 251778"/>
                <a:gd name="connsiteX2" fmla="*/ 3109690 w 3343147"/>
                <a:gd name="connsiteY2" fmla="*/ 251778 h 251778"/>
                <a:gd name="connsiteX3" fmla="*/ 0 w 3343147"/>
                <a:gd name="connsiteY3" fmla="*/ 231507 h 251778"/>
                <a:gd name="connsiteX4" fmla="*/ 210291 w 3343147"/>
                <a:gd name="connsiteY4" fmla="*/ 5880 h 251778"/>
                <a:gd name="connsiteX0" fmla="*/ 210291 w 3343147"/>
                <a:gd name="connsiteY0" fmla="*/ 5880 h 244977"/>
                <a:gd name="connsiteX1" fmla="*/ 3343147 w 3343147"/>
                <a:gd name="connsiteY1" fmla="*/ 0 h 244977"/>
                <a:gd name="connsiteX2" fmla="*/ 3099709 w 3343147"/>
                <a:gd name="connsiteY2" fmla="*/ 244977 h 244977"/>
                <a:gd name="connsiteX3" fmla="*/ 0 w 3343147"/>
                <a:gd name="connsiteY3" fmla="*/ 231507 h 244977"/>
                <a:gd name="connsiteX4" fmla="*/ 210291 w 3343147"/>
                <a:gd name="connsiteY4" fmla="*/ 5880 h 24497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343147" h="244977">
                  <a:moveTo>
                    <a:pt x="210291" y="5880"/>
                  </a:moveTo>
                  <a:lnTo>
                    <a:pt x="3343147" y="0"/>
                  </a:lnTo>
                  <a:lnTo>
                    <a:pt x="3099709" y="244977"/>
                  </a:lnTo>
                  <a:lnTo>
                    <a:pt x="0" y="231507"/>
                  </a:lnTo>
                  <a:lnTo>
                    <a:pt x="210291" y="5880"/>
                  </a:lnTo>
                  <a:close/>
                </a:path>
              </a:pathLst>
            </a:custGeom>
            <a:solidFill>
              <a:schemeClr val="bg2">
                <a:lumMod val="7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4" name="Rectangle 133"/>
            <xdr:cNvSpPr/>
          </xdr:nvSpPr>
          <xdr:spPr>
            <a:xfrm>
              <a:off x="2771775" y="9020176"/>
              <a:ext cx="3200399" cy="3105149"/>
            </a:xfrm>
            <a:prstGeom prst="rect">
              <a:avLst/>
            </a:prstGeom>
            <a:gradFill flip="none" rotWithShape="1">
              <a:gsLst>
                <a:gs pos="0">
                  <a:schemeClr val="accent1">
                    <a:shade val="30000"/>
                    <a:satMod val="115000"/>
                    <a:lumMod val="84000"/>
                    <a:lumOff val="16000"/>
                  </a:schemeClr>
                </a:gs>
                <a:gs pos="50000">
                  <a:schemeClr val="accent1">
                    <a:shade val="67500"/>
                    <a:satMod val="115000"/>
                    <a:lumMod val="71000"/>
                    <a:lumOff val="29000"/>
                  </a:schemeClr>
                </a:gs>
                <a:gs pos="100000">
                  <a:schemeClr val="accent1">
                    <a:shade val="100000"/>
                    <a:satMod val="115000"/>
                    <a:lumMod val="63000"/>
                    <a:lumOff val="37000"/>
                  </a:schemeClr>
                </a:gs>
              </a:gsLst>
              <a:path path="circle">
                <a:fillToRect t="100000" r="100000"/>
              </a:path>
              <a:tileRect l="-100000" b="-100000"/>
            </a:gra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35" name="Group 222"/>
            <xdr:cNvGrpSpPr>
              <a:grpSpLocks/>
            </xdr:cNvGrpSpPr>
          </xdr:nvGrpSpPr>
          <xdr:grpSpPr bwMode="auto">
            <a:xfrm>
              <a:off x="2847975" y="9839325"/>
              <a:ext cx="666750" cy="552450"/>
              <a:chOff x="875" y="709"/>
              <a:chExt cx="70" cy="58"/>
            </a:xfrm>
          </xdr:grpSpPr>
          <xdr:grpSp>
            <xdr:nvGrpSpPr>
              <xdr:cNvPr id="150" name="Group 223"/>
              <xdr:cNvGrpSpPr>
                <a:grpSpLocks/>
              </xdr:cNvGrpSpPr>
            </xdr:nvGrpSpPr>
            <xdr:grpSpPr bwMode="auto">
              <a:xfrm>
                <a:off x="875" y="709"/>
                <a:ext cx="70" cy="58"/>
                <a:chOff x="875" y="709"/>
                <a:chExt cx="70" cy="58"/>
              </a:xfrm>
            </xdr:grpSpPr>
            <xdr:sp macro="" textlink="">
              <xdr:nvSpPr>
                <xdr:cNvPr id="154" name="AutoShape 224"/>
                <xdr:cNvSpPr>
                  <a:spLocks noChangeArrowheads="1"/>
                </xdr:cNvSpPr>
              </xdr:nvSpPr>
              <xdr:spPr bwMode="auto">
                <a:xfrm>
                  <a:off x="880" y="709"/>
                  <a:ext cx="65" cy="56"/>
                </a:xfrm>
                <a:prstGeom prst="hexagon">
                  <a:avLst>
                    <a:gd name="adj" fmla="val 29018"/>
                    <a:gd name="vf" fmla="val 115470"/>
                  </a:avLst>
                </a:prstGeom>
                <a:solidFill>
                  <a:srgbClr val="FFCC00"/>
                </a:solidFill>
                <a:ln w="9525">
                  <a:solidFill>
                    <a:srgbClr val="000000"/>
                  </a:solidFill>
                  <a:miter lim="800000"/>
                  <a:headEnd/>
                  <a:tailEnd/>
                </a:ln>
              </xdr:spPr>
            </xdr:sp>
            <xdr:sp macro="" textlink="">
              <xdr:nvSpPr>
                <xdr:cNvPr id="155" name="AutoShape 225"/>
                <xdr:cNvSpPr>
                  <a:spLocks noChangeArrowheads="1"/>
                </xdr:cNvSpPr>
              </xdr:nvSpPr>
              <xdr:spPr bwMode="auto">
                <a:xfrm>
                  <a:off x="875" y="711"/>
                  <a:ext cx="65" cy="56"/>
                </a:xfrm>
                <a:prstGeom prst="hexagon">
                  <a:avLst>
                    <a:gd name="adj" fmla="val 29018"/>
                    <a:gd name="vf" fmla="val 115470"/>
                  </a:avLst>
                </a:prstGeom>
                <a:solidFill>
                  <a:srgbClr val="FFCC00"/>
                </a:solidFill>
                <a:ln w="9525">
                  <a:solidFill>
                    <a:srgbClr val="000000"/>
                  </a:solidFill>
                  <a:miter lim="800000"/>
                  <a:headEnd/>
                  <a:tailEnd/>
                </a:ln>
              </xdr:spPr>
            </xdr:sp>
            <xdr:sp macro="" textlink="">
              <xdr:nvSpPr>
                <xdr:cNvPr id="156" name="Oval 226"/>
                <xdr:cNvSpPr>
                  <a:spLocks noChangeArrowheads="1"/>
                </xdr:cNvSpPr>
              </xdr:nvSpPr>
              <xdr:spPr bwMode="auto">
                <a:xfrm>
                  <a:off x="893" y="724"/>
                  <a:ext cx="31" cy="32"/>
                </a:xfrm>
                <a:prstGeom prst="ellipse">
                  <a:avLst/>
                </a:prstGeom>
                <a:solidFill>
                  <a:srgbClr val="FFCC00"/>
                </a:solidFill>
                <a:ln w="9525">
                  <a:solidFill>
                    <a:srgbClr val="000000"/>
                  </a:solidFill>
                  <a:round/>
                  <a:headEnd/>
                  <a:tailEnd/>
                </a:ln>
              </xdr:spPr>
            </xdr:sp>
            <xdr:sp macro="" textlink="">
              <xdr:nvSpPr>
                <xdr:cNvPr id="157" name="Oval 227"/>
                <xdr:cNvSpPr>
                  <a:spLocks noChangeArrowheads="1"/>
                </xdr:cNvSpPr>
              </xdr:nvSpPr>
              <xdr:spPr bwMode="auto">
                <a:xfrm>
                  <a:off x="890" y="727"/>
                  <a:ext cx="32" cy="31"/>
                </a:xfrm>
                <a:prstGeom prst="ellipse">
                  <a:avLst/>
                </a:prstGeom>
                <a:solidFill>
                  <a:srgbClr val="FFCC00"/>
                </a:solidFill>
                <a:ln w="9525">
                  <a:solidFill>
                    <a:srgbClr val="000000"/>
                  </a:solidFill>
                  <a:round/>
                  <a:headEnd/>
                  <a:tailEnd/>
                </a:ln>
              </xdr:spPr>
            </xdr:sp>
            <xdr:sp macro="" textlink="">
              <xdr:nvSpPr>
                <xdr:cNvPr id="158" name="Oval 228"/>
                <xdr:cNvSpPr>
                  <a:spLocks noChangeArrowheads="1"/>
                </xdr:cNvSpPr>
              </xdr:nvSpPr>
              <xdr:spPr bwMode="auto">
                <a:xfrm>
                  <a:off x="888" y="729"/>
                  <a:ext cx="31" cy="31"/>
                </a:xfrm>
                <a:prstGeom prst="ellipse">
                  <a:avLst/>
                </a:prstGeom>
                <a:solidFill>
                  <a:srgbClr val="FFCC00"/>
                </a:solidFill>
                <a:ln w="9525">
                  <a:solidFill>
                    <a:srgbClr val="000000"/>
                  </a:solidFill>
                  <a:round/>
                  <a:headEnd/>
                  <a:tailEnd/>
                </a:ln>
              </xdr:spPr>
            </xdr:sp>
            <xdr:sp macro="" textlink="">
              <xdr:nvSpPr>
                <xdr:cNvPr id="159" name="Oval 229"/>
                <xdr:cNvSpPr>
                  <a:spLocks noChangeArrowheads="1"/>
                </xdr:cNvSpPr>
              </xdr:nvSpPr>
              <xdr:spPr bwMode="auto">
                <a:xfrm>
                  <a:off x="886" y="731"/>
                  <a:ext cx="31" cy="32"/>
                </a:xfrm>
                <a:prstGeom prst="ellipse">
                  <a:avLst/>
                </a:prstGeom>
                <a:solidFill>
                  <a:srgbClr val="FFCC00"/>
                </a:solidFill>
                <a:ln w="9525">
                  <a:solidFill>
                    <a:srgbClr val="000000"/>
                  </a:solidFill>
                  <a:round/>
                  <a:headEnd/>
                  <a:tailEnd/>
                </a:ln>
              </xdr:spPr>
            </xdr:sp>
            <xdr:sp macro="" textlink="">
              <xdr:nvSpPr>
                <xdr:cNvPr id="160" name="Freeform 230"/>
                <xdr:cNvSpPr>
                  <a:spLocks/>
                </xdr:cNvSpPr>
              </xdr:nvSpPr>
              <xdr:spPr bwMode="auto">
                <a:xfrm>
                  <a:off x="891" y="709"/>
                  <a:ext cx="38" cy="2"/>
                </a:xfrm>
                <a:custGeom>
                  <a:avLst/>
                  <a:gdLst>
                    <a:gd name="T0" fmla="*/ 0 w 32"/>
                    <a:gd name="T1" fmla="*/ 2 h 2"/>
                    <a:gd name="T2" fmla="*/ 268 w 32"/>
                    <a:gd name="T3" fmla="*/ 0 h 2"/>
                    <a:gd name="T4" fmla="*/ 1662 w 32"/>
                    <a:gd name="T5" fmla="*/ 0 h 2"/>
                    <a:gd name="T6" fmla="*/ 1423 w 32"/>
                    <a:gd name="T7" fmla="*/ 2 h 2"/>
                    <a:gd name="T8" fmla="*/ 0 w 32"/>
                    <a:gd name="T9" fmla="*/ 2 h 2"/>
                    <a:gd name="T10" fmla="*/ 0 60000 65536"/>
                    <a:gd name="T11" fmla="*/ 0 60000 65536"/>
                    <a:gd name="T12" fmla="*/ 0 60000 65536"/>
                    <a:gd name="T13" fmla="*/ 0 60000 65536"/>
                    <a:gd name="T14" fmla="*/ 0 60000 65536"/>
                    <a:gd name="T15" fmla="*/ 0 w 32"/>
                    <a:gd name="T16" fmla="*/ 0 h 2"/>
                    <a:gd name="T17" fmla="*/ 32 w 32"/>
                    <a:gd name="T18" fmla="*/ 2 h 2"/>
                  </a:gdLst>
                  <a:ahLst/>
                  <a:cxnLst>
                    <a:cxn ang="T10">
                      <a:pos x="T0" y="T1"/>
                    </a:cxn>
                    <a:cxn ang="T11">
                      <a:pos x="T2" y="T3"/>
                    </a:cxn>
                    <a:cxn ang="T12">
                      <a:pos x="T4" y="T5"/>
                    </a:cxn>
                    <a:cxn ang="T13">
                      <a:pos x="T6" y="T7"/>
                    </a:cxn>
                    <a:cxn ang="T14">
                      <a:pos x="T8" y="T9"/>
                    </a:cxn>
                  </a:cxnLst>
                  <a:rect l="T15" t="T16" r="T17" b="T18"/>
                  <a:pathLst>
                    <a:path w="32" h="2">
                      <a:moveTo>
                        <a:pt x="0" y="2"/>
                      </a:moveTo>
                      <a:lnTo>
                        <a:pt x="5" y="0"/>
                      </a:lnTo>
                      <a:lnTo>
                        <a:pt x="32" y="0"/>
                      </a:lnTo>
                      <a:lnTo>
                        <a:pt x="28" y="2"/>
                      </a:lnTo>
                      <a:lnTo>
                        <a:pt x="0" y="2"/>
                      </a:lnTo>
                      <a:close/>
                    </a:path>
                  </a:pathLst>
                </a:custGeom>
                <a:solidFill>
                  <a:srgbClr val="FFCC00"/>
                </a:solidFill>
                <a:ln w="9525">
                  <a:solidFill>
                    <a:srgbClr val="000000"/>
                  </a:solidFill>
                  <a:round/>
                  <a:headEnd/>
                  <a:tailEnd/>
                </a:ln>
              </xdr:spPr>
            </xdr:sp>
            <xdr:sp macro="" textlink="">
              <xdr:nvSpPr>
                <xdr:cNvPr id="161" name="Freeform 231"/>
                <xdr:cNvSpPr>
                  <a:spLocks/>
                </xdr:cNvSpPr>
              </xdr:nvSpPr>
              <xdr:spPr bwMode="auto">
                <a:xfrm>
                  <a:off x="924" y="737"/>
                  <a:ext cx="21" cy="30"/>
                </a:xfrm>
                <a:custGeom>
                  <a:avLst/>
                  <a:gdLst>
                    <a:gd name="T0" fmla="*/ 488 w 18"/>
                    <a:gd name="T1" fmla="*/ 2 h 26"/>
                    <a:gd name="T2" fmla="*/ 653 w 18"/>
                    <a:gd name="T3" fmla="*/ 0 h 26"/>
                    <a:gd name="T4" fmla="*/ 163 w 18"/>
                    <a:gd name="T5" fmla="*/ 659 h 26"/>
                    <a:gd name="T6" fmla="*/ 0 w 18"/>
                    <a:gd name="T7" fmla="*/ 689 h 26"/>
                    <a:gd name="T8" fmla="*/ 488 w 18"/>
                    <a:gd name="T9" fmla="*/ 2 h 26"/>
                    <a:gd name="T10" fmla="*/ 0 60000 65536"/>
                    <a:gd name="T11" fmla="*/ 0 60000 65536"/>
                    <a:gd name="T12" fmla="*/ 0 60000 65536"/>
                    <a:gd name="T13" fmla="*/ 0 60000 65536"/>
                    <a:gd name="T14" fmla="*/ 0 60000 65536"/>
                    <a:gd name="T15" fmla="*/ 0 w 18"/>
                    <a:gd name="T16" fmla="*/ 0 h 26"/>
                    <a:gd name="T17" fmla="*/ 18 w 18"/>
                    <a:gd name="T18" fmla="*/ 26 h 26"/>
                  </a:gdLst>
                  <a:ahLst/>
                  <a:cxnLst>
                    <a:cxn ang="T10">
                      <a:pos x="T0" y="T1"/>
                    </a:cxn>
                    <a:cxn ang="T11">
                      <a:pos x="T2" y="T3"/>
                    </a:cxn>
                    <a:cxn ang="T12">
                      <a:pos x="T4" y="T5"/>
                    </a:cxn>
                    <a:cxn ang="T13">
                      <a:pos x="T6" y="T7"/>
                    </a:cxn>
                    <a:cxn ang="T14">
                      <a:pos x="T8" y="T9"/>
                    </a:cxn>
                  </a:cxnLst>
                  <a:rect l="T15" t="T16" r="T17" b="T18"/>
                  <a:pathLst>
                    <a:path w="18" h="26">
                      <a:moveTo>
                        <a:pt x="14" y="2"/>
                      </a:moveTo>
                      <a:lnTo>
                        <a:pt x="18" y="0"/>
                      </a:lnTo>
                      <a:lnTo>
                        <a:pt x="4" y="24"/>
                      </a:lnTo>
                      <a:lnTo>
                        <a:pt x="0" y="26"/>
                      </a:lnTo>
                      <a:lnTo>
                        <a:pt x="14" y="2"/>
                      </a:lnTo>
                      <a:close/>
                    </a:path>
                  </a:pathLst>
                </a:custGeom>
                <a:solidFill>
                  <a:srgbClr val="FFCC00"/>
                </a:solidFill>
                <a:ln w="9525">
                  <a:solidFill>
                    <a:srgbClr val="000000"/>
                  </a:solidFill>
                  <a:round/>
                  <a:headEnd/>
                  <a:tailEnd/>
                </a:ln>
              </xdr:spPr>
            </xdr:sp>
          </xdr:grpSp>
          <xdr:grpSp>
            <xdr:nvGrpSpPr>
              <xdr:cNvPr id="151" name="Group 232"/>
              <xdr:cNvGrpSpPr>
                <a:grpSpLocks/>
              </xdr:cNvGrpSpPr>
            </xdr:nvGrpSpPr>
            <xdr:grpSpPr bwMode="auto">
              <a:xfrm>
                <a:off x="889" y="735"/>
                <a:ext cx="24" cy="24"/>
                <a:chOff x="789" y="844"/>
                <a:chExt cx="24" cy="24"/>
              </a:xfrm>
            </xdr:grpSpPr>
            <xdr:sp macro="" textlink="">
              <xdr:nvSpPr>
                <xdr:cNvPr id="152" name="Line 233"/>
                <xdr:cNvSpPr>
                  <a:spLocks noChangeShapeType="1"/>
                </xdr:cNvSpPr>
              </xdr:nvSpPr>
              <xdr:spPr bwMode="auto">
                <a:xfrm>
                  <a:off x="789" y="857"/>
                  <a:ext cx="24" cy="0"/>
                </a:xfrm>
                <a:prstGeom prst="line">
                  <a:avLst/>
                </a:prstGeom>
                <a:noFill/>
                <a:ln w="28575">
                  <a:solidFill>
                    <a:srgbClr val="000000"/>
                  </a:solidFill>
                  <a:round/>
                  <a:headEnd/>
                  <a:tailEnd/>
                </a:ln>
              </xdr:spPr>
            </xdr:sp>
            <xdr:sp macro="" textlink="">
              <xdr:nvSpPr>
                <xdr:cNvPr id="153" name="Line 234"/>
                <xdr:cNvSpPr>
                  <a:spLocks noChangeShapeType="1"/>
                </xdr:cNvSpPr>
              </xdr:nvSpPr>
              <xdr:spPr bwMode="auto">
                <a:xfrm rot="-5400000">
                  <a:off x="790" y="856"/>
                  <a:ext cx="24" cy="0"/>
                </a:xfrm>
                <a:prstGeom prst="line">
                  <a:avLst/>
                </a:prstGeom>
                <a:noFill/>
                <a:ln w="28575">
                  <a:solidFill>
                    <a:srgbClr val="000000"/>
                  </a:solidFill>
                  <a:round/>
                  <a:headEnd/>
                  <a:tailEnd/>
                </a:ln>
              </xdr:spPr>
            </xdr:sp>
          </xdr:grpSp>
        </xdr:grpSp>
        <xdr:grpSp>
          <xdr:nvGrpSpPr>
            <xdr:cNvPr id="136" name="Group 235"/>
            <xdr:cNvGrpSpPr>
              <a:grpSpLocks/>
            </xdr:cNvGrpSpPr>
          </xdr:nvGrpSpPr>
          <xdr:grpSpPr bwMode="auto">
            <a:xfrm>
              <a:off x="5191125" y="9839325"/>
              <a:ext cx="666750" cy="552450"/>
              <a:chOff x="1016" y="782"/>
              <a:chExt cx="70" cy="58"/>
            </a:xfrm>
          </xdr:grpSpPr>
          <xdr:grpSp>
            <xdr:nvGrpSpPr>
              <xdr:cNvPr id="140" name="Group 236"/>
              <xdr:cNvGrpSpPr>
                <a:grpSpLocks/>
              </xdr:cNvGrpSpPr>
            </xdr:nvGrpSpPr>
            <xdr:grpSpPr bwMode="auto">
              <a:xfrm>
                <a:off x="1016" y="782"/>
                <a:ext cx="70" cy="58"/>
                <a:chOff x="875" y="709"/>
                <a:chExt cx="70" cy="58"/>
              </a:xfrm>
            </xdr:grpSpPr>
            <xdr:sp macro="" textlink="">
              <xdr:nvSpPr>
                <xdr:cNvPr id="142" name="AutoShape 237"/>
                <xdr:cNvSpPr>
                  <a:spLocks noChangeArrowheads="1"/>
                </xdr:cNvSpPr>
              </xdr:nvSpPr>
              <xdr:spPr bwMode="auto">
                <a:xfrm>
                  <a:off x="880" y="709"/>
                  <a:ext cx="65" cy="56"/>
                </a:xfrm>
                <a:prstGeom prst="hexagon">
                  <a:avLst>
                    <a:gd name="adj" fmla="val 29018"/>
                    <a:gd name="vf" fmla="val 115470"/>
                  </a:avLst>
                </a:prstGeom>
                <a:solidFill>
                  <a:srgbClr val="FFCC00"/>
                </a:solidFill>
                <a:ln w="9525">
                  <a:solidFill>
                    <a:srgbClr val="000000"/>
                  </a:solidFill>
                  <a:miter lim="800000"/>
                  <a:headEnd/>
                  <a:tailEnd/>
                </a:ln>
              </xdr:spPr>
            </xdr:sp>
            <xdr:sp macro="" textlink="">
              <xdr:nvSpPr>
                <xdr:cNvPr id="143" name="AutoShape 238"/>
                <xdr:cNvSpPr>
                  <a:spLocks noChangeArrowheads="1"/>
                </xdr:cNvSpPr>
              </xdr:nvSpPr>
              <xdr:spPr bwMode="auto">
                <a:xfrm>
                  <a:off x="875" y="711"/>
                  <a:ext cx="65" cy="56"/>
                </a:xfrm>
                <a:prstGeom prst="hexagon">
                  <a:avLst>
                    <a:gd name="adj" fmla="val 29018"/>
                    <a:gd name="vf" fmla="val 115470"/>
                  </a:avLst>
                </a:prstGeom>
                <a:solidFill>
                  <a:srgbClr val="FFCC00"/>
                </a:solidFill>
                <a:ln w="9525">
                  <a:solidFill>
                    <a:srgbClr val="000000"/>
                  </a:solidFill>
                  <a:miter lim="800000"/>
                  <a:headEnd/>
                  <a:tailEnd/>
                </a:ln>
              </xdr:spPr>
            </xdr:sp>
            <xdr:sp macro="" textlink="">
              <xdr:nvSpPr>
                <xdr:cNvPr id="144" name="Oval 239"/>
                <xdr:cNvSpPr>
                  <a:spLocks noChangeArrowheads="1"/>
                </xdr:cNvSpPr>
              </xdr:nvSpPr>
              <xdr:spPr bwMode="auto">
                <a:xfrm>
                  <a:off x="893" y="724"/>
                  <a:ext cx="31" cy="32"/>
                </a:xfrm>
                <a:prstGeom prst="ellipse">
                  <a:avLst/>
                </a:prstGeom>
                <a:solidFill>
                  <a:srgbClr val="FFCC00"/>
                </a:solidFill>
                <a:ln w="9525">
                  <a:solidFill>
                    <a:srgbClr val="000000"/>
                  </a:solidFill>
                  <a:round/>
                  <a:headEnd/>
                  <a:tailEnd/>
                </a:ln>
              </xdr:spPr>
            </xdr:sp>
            <xdr:sp macro="" textlink="">
              <xdr:nvSpPr>
                <xdr:cNvPr id="145" name="Oval 240"/>
                <xdr:cNvSpPr>
                  <a:spLocks noChangeArrowheads="1"/>
                </xdr:cNvSpPr>
              </xdr:nvSpPr>
              <xdr:spPr bwMode="auto">
                <a:xfrm>
                  <a:off x="890" y="727"/>
                  <a:ext cx="32" cy="31"/>
                </a:xfrm>
                <a:prstGeom prst="ellipse">
                  <a:avLst/>
                </a:prstGeom>
                <a:solidFill>
                  <a:srgbClr val="FFCC00"/>
                </a:solidFill>
                <a:ln w="9525">
                  <a:solidFill>
                    <a:srgbClr val="000000"/>
                  </a:solidFill>
                  <a:round/>
                  <a:headEnd/>
                  <a:tailEnd/>
                </a:ln>
              </xdr:spPr>
            </xdr:sp>
            <xdr:sp macro="" textlink="">
              <xdr:nvSpPr>
                <xdr:cNvPr id="146" name="Oval 241"/>
                <xdr:cNvSpPr>
                  <a:spLocks noChangeArrowheads="1"/>
                </xdr:cNvSpPr>
              </xdr:nvSpPr>
              <xdr:spPr bwMode="auto">
                <a:xfrm>
                  <a:off x="888" y="729"/>
                  <a:ext cx="31" cy="31"/>
                </a:xfrm>
                <a:prstGeom prst="ellipse">
                  <a:avLst/>
                </a:prstGeom>
                <a:solidFill>
                  <a:srgbClr val="FFCC00"/>
                </a:solidFill>
                <a:ln w="9525">
                  <a:solidFill>
                    <a:srgbClr val="000000"/>
                  </a:solidFill>
                  <a:round/>
                  <a:headEnd/>
                  <a:tailEnd/>
                </a:ln>
              </xdr:spPr>
            </xdr:sp>
            <xdr:sp macro="" textlink="">
              <xdr:nvSpPr>
                <xdr:cNvPr id="147" name="Oval 242"/>
                <xdr:cNvSpPr>
                  <a:spLocks noChangeArrowheads="1"/>
                </xdr:cNvSpPr>
              </xdr:nvSpPr>
              <xdr:spPr bwMode="auto">
                <a:xfrm>
                  <a:off x="886" y="731"/>
                  <a:ext cx="31" cy="32"/>
                </a:xfrm>
                <a:prstGeom prst="ellipse">
                  <a:avLst/>
                </a:prstGeom>
                <a:solidFill>
                  <a:srgbClr val="FFCC00"/>
                </a:solidFill>
                <a:ln w="9525">
                  <a:solidFill>
                    <a:srgbClr val="000000"/>
                  </a:solidFill>
                  <a:round/>
                  <a:headEnd/>
                  <a:tailEnd/>
                </a:ln>
              </xdr:spPr>
            </xdr:sp>
            <xdr:sp macro="" textlink="">
              <xdr:nvSpPr>
                <xdr:cNvPr id="148" name="Freeform 243"/>
                <xdr:cNvSpPr>
                  <a:spLocks/>
                </xdr:cNvSpPr>
              </xdr:nvSpPr>
              <xdr:spPr bwMode="auto">
                <a:xfrm>
                  <a:off x="891" y="709"/>
                  <a:ext cx="38" cy="2"/>
                </a:xfrm>
                <a:custGeom>
                  <a:avLst/>
                  <a:gdLst>
                    <a:gd name="T0" fmla="*/ 0 w 32"/>
                    <a:gd name="T1" fmla="*/ 2 h 2"/>
                    <a:gd name="T2" fmla="*/ 268 w 32"/>
                    <a:gd name="T3" fmla="*/ 0 h 2"/>
                    <a:gd name="T4" fmla="*/ 1662 w 32"/>
                    <a:gd name="T5" fmla="*/ 0 h 2"/>
                    <a:gd name="T6" fmla="*/ 1423 w 32"/>
                    <a:gd name="T7" fmla="*/ 2 h 2"/>
                    <a:gd name="T8" fmla="*/ 0 w 32"/>
                    <a:gd name="T9" fmla="*/ 2 h 2"/>
                    <a:gd name="T10" fmla="*/ 0 60000 65536"/>
                    <a:gd name="T11" fmla="*/ 0 60000 65536"/>
                    <a:gd name="T12" fmla="*/ 0 60000 65536"/>
                    <a:gd name="T13" fmla="*/ 0 60000 65536"/>
                    <a:gd name="T14" fmla="*/ 0 60000 65536"/>
                    <a:gd name="T15" fmla="*/ 0 w 32"/>
                    <a:gd name="T16" fmla="*/ 0 h 2"/>
                    <a:gd name="T17" fmla="*/ 32 w 32"/>
                    <a:gd name="T18" fmla="*/ 2 h 2"/>
                  </a:gdLst>
                  <a:ahLst/>
                  <a:cxnLst>
                    <a:cxn ang="T10">
                      <a:pos x="T0" y="T1"/>
                    </a:cxn>
                    <a:cxn ang="T11">
                      <a:pos x="T2" y="T3"/>
                    </a:cxn>
                    <a:cxn ang="T12">
                      <a:pos x="T4" y="T5"/>
                    </a:cxn>
                    <a:cxn ang="T13">
                      <a:pos x="T6" y="T7"/>
                    </a:cxn>
                    <a:cxn ang="T14">
                      <a:pos x="T8" y="T9"/>
                    </a:cxn>
                  </a:cxnLst>
                  <a:rect l="T15" t="T16" r="T17" b="T18"/>
                  <a:pathLst>
                    <a:path w="32" h="2">
                      <a:moveTo>
                        <a:pt x="0" y="2"/>
                      </a:moveTo>
                      <a:lnTo>
                        <a:pt x="5" y="0"/>
                      </a:lnTo>
                      <a:lnTo>
                        <a:pt x="32" y="0"/>
                      </a:lnTo>
                      <a:lnTo>
                        <a:pt x="28" y="2"/>
                      </a:lnTo>
                      <a:lnTo>
                        <a:pt x="0" y="2"/>
                      </a:lnTo>
                      <a:close/>
                    </a:path>
                  </a:pathLst>
                </a:custGeom>
                <a:solidFill>
                  <a:srgbClr val="FFCC00"/>
                </a:solidFill>
                <a:ln w="9525">
                  <a:solidFill>
                    <a:srgbClr val="000000"/>
                  </a:solidFill>
                  <a:round/>
                  <a:headEnd/>
                  <a:tailEnd/>
                </a:ln>
              </xdr:spPr>
            </xdr:sp>
            <xdr:sp macro="" textlink="">
              <xdr:nvSpPr>
                <xdr:cNvPr id="149" name="Freeform 244"/>
                <xdr:cNvSpPr>
                  <a:spLocks/>
                </xdr:cNvSpPr>
              </xdr:nvSpPr>
              <xdr:spPr bwMode="auto">
                <a:xfrm>
                  <a:off x="924" y="737"/>
                  <a:ext cx="21" cy="30"/>
                </a:xfrm>
                <a:custGeom>
                  <a:avLst/>
                  <a:gdLst>
                    <a:gd name="T0" fmla="*/ 488 w 18"/>
                    <a:gd name="T1" fmla="*/ 2 h 26"/>
                    <a:gd name="T2" fmla="*/ 653 w 18"/>
                    <a:gd name="T3" fmla="*/ 0 h 26"/>
                    <a:gd name="T4" fmla="*/ 163 w 18"/>
                    <a:gd name="T5" fmla="*/ 659 h 26"/>
                    <a:gd name="T6" fmla="*/ 0 w 18"/>
                    <a:gd name="T7" fmla="*/ 689 h 26"/>
                    <a:gd name="T8" fmla="*/ 488 w 18"/>
                    <a:gd name="T9" fmla="*/ 2 h 26"/>
                    <a:gd name="T10" fmla="*/ 0 60000 65536"/>
                    <a:gd name="T11" fmla="*/ 0 60000 65536"/>
                    <a:gd name="T12" fmla="*/ 0 60000 65536"/>
                    <a:gd name="T13" fmla="*/ 0 60000 65536"/>
                    <a:gd name="T14" fmla="*/ 0 60000 65536"/>
                    <a:gd name="T15" fmla="*/ 0 w 18"/>
                    <a:gd name="T16" fmla="*/ 0 h 26"/>
                    <a:gd name="T17" fmla="*/ 18 w 18"/>
                    <a:gd name="T18" fmla="*/ 26 h 26"/>
                  </a:gdLst>
                  <a:ahLst/>
                  <a:cxnLst>
                    <a:cxn ang="T10">
                      <a:pos x="T0" y="T1"/>
                    </a:cxn>
                    <a:cxn ang="T11">
                      <a:pos x="T2" y="T3"/>
                    </a:cxn>
                    <a:cxn ang="T12">
                      <a:pos x="T4" y="T5"/>
                    </a:cxn>
                    <a:cxn ang="T13">
                      <a:pos x="T6" y="T7"/>
                    </a:cxn>
                    <a:cxn ang="T14">
                      <a:pos x="T8" y="T9"/>
                    </a:cxn>
                  </a:cxnLst>
                  <a:rect l="T15" t="T16" r="T17" b="T18"/>
                  <a:pathLst>
                    <a:path w="18" h="26">
                      <a:moveTo>
                        <a:pt x="14" y="2"/>
                      </a:moveTo>
                      <a:lnTo>
                        <a:pt x="18" y="0"/>
                      </a:lnTo>
                      <a:lnTo>
                        <a:pt x="4" y="24"/>
                      </a:lnTo>
                      <a:lnTo>
                        <a:pt x="0" y="26"/>
                      </a:lnTo>
                      <a:lnTo>
                        <a:pt x="14" y="2"/>
                      </a:lnTo>
                      <a:close/>
                    </a:path>
                  </a:pathLst>
                </a:custGeom>
                <a:solidFill>
                  <a:srgbClr val="FFCC00"/>
                </a:solidFill>
                <a:ln w="9525">
                  <a:solidFill>
                    <a:srgbClr val="000000"/>
                  </a:solidFill>
                  <a:round/>
                  <a:headEnd/>
                  <a:tailEnd/>
                </a:ln>
              </xdr:spPr>
            </xdr:sp>
          </xdr:grpSp>
          <xdr:sp macro="" textlink="">
            <xdr:nvSpPr>
              <xdr:cNvPr id="141" name="Line 245"/>
              <xdr:cNvSpPr>
                <a:spLocks noChangeShapeType="1"/>
              </xdr:cNvSpPr>
            </xdr:nvSpPr>
            <xdr:spPr bwMode="auto">
              <a:xfrm>
                <a:off x="1030" y="819"/>
                <a:ext cx="24" cy="0"/>
              </a:xfrm>
              <a:prstGeom prst="line">
                <a:avLst/>
              </a:prstGeom>
              <a:noFill/>
              <a:ln w="28575">
                <a:solidFill>
                  <a:srgbClr val="000000"/>
                </a:solidFill>
                <a:round/>
                <a:headEnd/>
                <a:tailEnd/>
              </a:ln>
            </xdr:spPr>
          </xdr:sp>
        </xdr:grpSp>
        <xdr:sp macro="" textlink="">
          <xdr:nvSpPr>
            <xdr:cNvPr id="137" name="Freeform 136"/>
            <xdr:cNvSpPr/>
          </xdr:nvSpPr>
          <xdr:spPr>
            <a:xfrm>
              <a:off x="5966130" y="7174306"/>
              <a:ext cx="1806545" cy="4931948"/>
            </a:xfrm>
            <a:custGeom>
              <a:avLst/>
              <a:gdLst>
                <a:gd name="connsiteX0" fmla="*/ 0 w 1576320"/>
                <a:gd name="connsiteY0" fmla="*/ 1556197 h 4695423"/>
                <a:gd name="connsiteX1" fmla="*/ 1576320 w 1576320"/>
                <a:gd name="connsiteY1" fmla="*/ 0 h 4695423"/>
                <a:gd name="connsiteX2" fmla="*/ 1576320 w 1576320"/>
                <a:gd name="connsiteY2" fmla="*/ 3152641 h 4695423"/>
                <a:gd name="connsiteX3" fmla="*/ 20123 w 1576320"/>
                <a:gd name="connsiteY3" fmla="*/ 4695423 h 4695423"/>
                <a:gd name="connsiteX4" fmla="*/ 0 w 1576320"/>
                <a:gd name="connsiteY4" fmla="*/ 1556197 h 4695423"/>
                <a:gd name="connsiteX0" fmla="*/ 0 w 1671699"/>
                <a:gd name="connsiteY0" fmla="*/ 1707726 h 4695423"/>
                <a:gd name="connsiteX1" fmla="*/ 1671699 w 1671699"/>
                <a:gd name="connsiteY1" fmla="*/ 0 h 4695423"/>
                <a:gd name="connsiteX2" fmla="*/ 1671699 w 1671699"/>
                <a:gd name="connsiteY2" fmla="*/ 3152641 h 4695423"/>
                <a:gd name="connsiteX3" fmla="*/ 115502 w 1671699"/>
                <a:gd name="connsiteY3" fmla="*/ 4695423 h 4695423"/>
                <a:gd name="connsiteX4" fmla="*/ 0 w 1671699"/>
                <a:gd name="connsiteY4" fmla="*/ 1707726 h 4695423"/>
                <a:gd name="connsiteX0" fmla="*/ 0 w 1671699"/>
                <a:gd name="connsiteY0" fmla="*/ 1707726 h 4780658"/>
                <a:gd name="connsiteX1" fmla="*/ 1671699 w 1671699"/>
                <a:gd name="connsiteY1" fmla="*/ 0 h 4780658"/>
                <a:gd name="connsiteX2" fmla="*/ 1671699 w 1671699"/>
                <a:gd name="connsiteY2" fmla="*/ 3152641 h 4780658"/>
                <a:gd name="connsiteX3" fmla="*/ 1047 w 1671699"/>
                <a:gd name="connsiteY3" fmla="*/ 4780658 h 4780658"/>
                <a:gd name="connsiteX4" fmla="*/ 0 w 1671699"/>
                <a:gd name="connsiteY4" fmla="*/ 1707726 h 4780658"/>
                <a:gd name="connsiteX0" fmla="*/ 0 w 1680704"/>
                <a:gd name="connsiteY0" fmla="*/ 1783491 h 4856423"/>
                <a:gd name="connsiteX1" fmla="*/ 1680704 w 1680704"/>
                <a:gd name="connsiteY1" fmla="*/ 0 h 4856423"/>
                <a:gd name="connsiteX2" fmla="*/ 1671699 w 1680704"/>
                <a:gd name="connsiteY2" fmla="*/ 3228406 h 4856423"/>
                <a:gd name="connsiteX3" fmla="*/ 1047 w 1680704"/>
                <a:gd name="connsiteY3" fmla="*/ 4856423 h 4856423"/>
                <a:gd name="connsiteX4" fmla="*/ 0 w 1680704"/>
                <a:gd name="connsiteY4" fmla="*/ 1783491 h 4856423"/>
                <a:gd name="connsiteX0" fmla="*/ 0 w 1680704"/>
                <a:gd name="connsiteY0" fmla="*/ 1802432 h 4875364"/>
                <a:gd name="connsiteX1" fmla="*/ 1680704 w 1680704"/>
                <a:gd name="connsiteY1" fmla="*/ 0 h 4875364"/>
                <a:gd name="connsiteX2" fmla="*/ 1671699 w 1680704"/>
                <a:gd name="connsiteY2" fmla="*/ 3247347 h 4875364"/>
                <a:gd name="connsiteX3" fmla="*/ 1047 w 1680704"/>
                <a:gd name="connsiteY3" fmla="*/ 4875364 h 4875364"/>
                <a:gd name="connsiteX4" fmla="*/ 0 w 1680704"/>
                <a:gd name="connsiteY4" fmla="*/ 1802432 h 4875364"/>
                <a:gd name="connsiteX0" fmla="*/ 0 w 1690108"/>
                <a:gd name="connsiteY0" fmla="*/ 1802432 h 4875364"/>
                <a:gd name="connsiteX1" fmla="*/ 1680704 w 1690108"/>
                <a:gd name="connsiteY1" fmla="*/ 0 h 4875364"/>
                <a:gd name="connsiteX2" fmla="*/ 1689709 w 1690108"/>
                <a:gd name="connsiteY2" fmla="*/ 3218935 h 4875364"/>
                <a:gd name="connsiteX3" fmla="*/ 1047 w 1690108"/>
                <a:gd name="connsiteY3" fmla="*/ 4875364 h 4875364"/>
                <a:gd name="connsiteX4" fmla="*/ 0 w 1690108"/>
                <a:gd name="connsiteY4" fmla="*/ 1802432 h 4875364"/>
                <a:gd name="connsiteX0" fmla="*/ 0 w 1690108"/>
                <a:gd name="connsiteY0" fmla="*/ 1802432 h 4903776"/>
                <a:gd name="connsiteX1" fmla="*/ 1680704 w 1690108"/>
                <a:gd name="connsiteY1" fmla="*/ 0 h 4903776"/>
                <a:gd name="connsiteX2" fmla="*/ 1689709 w 1690108"/>
                <a:gd name="connsiteY2" fmla="*/ 3218935 h 4903776"/>
                <a:gd name="connsiteX3" fmla="*/ 1047 w 1690108"/>
                <a:gd name="connsiteY3" fmla="*/ 4903776 h 4903776"/>
                <a:gd name="connsiteX4" fmla="*/ 0 w 1690108"/>
                <a:gd name="connsiteY4" fmla="*/ 1802432 h 4903776"/>
                <a:gd name="connsiteX0" fmla="*/ 0 w 1698974"/>
                <a:gd name="connsiteY0" fmla="*/ 1802432 h 4903776"/>
                <a:gd name="connsiteX1" fmla="*/ 1680704 w 1698974"/>
                <a:gd name="connsiteY1" fmla="*/ 0 h 4903776"/>
                <a:gd name="connsiteX2" fmla="*/ 1698714 w 1698974"/>
                <a:gd name="connsiteY2" fmla="*/ 2783288 h 4903776"/>
                <a:gd name="connsiteX3" fmla="*/ 1047 w 1698974"/>
                <a:gd name="connsiteY3" fmla="*/ 4903776 h 4903776"/>
                <a:gd name="connsiteX4" fmla="*/ 0 w 1698974"/>
                <a:gd name="connsiteY4" fmla="*/ 1802432 h 4903776"/>
                <a:gd name="connsiteX0" fmla="*/ 0 w 1707979"/>
                <a:gd name="connsiteY0" fmla="*/ 1849785 h 4903776"/>
                <a:gd name="connsiteX1" fmla="*/ 1689709 w 1707979"/>
                <a:gd name="connsiteY1" fmla="*/ 0 h 4903776"/>
                <a:gd name="connsiteX2" fmla="*/ 1707719 w 1707979"/>
                <a:gd name="connsiteY2" fmla="*/ 2783288 h 4903776"/>
                <a:gd name="connsiteX3" fmla="*/ 10052 w 1707979"/>
                <a:gd name="connsiteY3" fmla="*/ 4903776 h 4903776"/>
                <a:gd name="connsiteX4" fmla="*/ 0 w 1707979"/>
                <a:gd name="connsiteY4" fmla="*/ 1849785 h 490377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707979" h="4903776">
                  <a:moveTo>
                    <a:pt x="0" y="1849785"/>
                  </a:moveTo>
                  <a:cubicBezTo>
                    <a:pt x="560235" y="1248974"/>
                    <a:pt x="1129474" y="600811"/>
                    <a:pt x="1689709" y="0"/>
                  </a:cubicBezTo>
                  <a:cubicBezTo>
                    <a:pt x="1686707" y="1076135"/>
                    <a:pt x="1710721" y="1707153"/>
                    <a:pt x="1707719" y="2783288"/>
                  </a:cubicBezTo>
                  <a:lnTo>
                    <a:pt x="10052" y="4903776"/>
                  </a:lnTo>
                  <a:cubicBezTo>
                    <a:pt x="6701" y="3885779"/>
                    <a:pt x="3351" y="2867782"/>
                    <a:pt x="0" y="1849785"/>
                  </a:cubicBezTo>
                  <a:close/>
                </a:path>
              </a:pathLst>
            </a:custGeom>
            <a:gradFill flip="none" rotWithShape="1">
              <a:gsLst>
                <a:gs pos="0">
                  <a:schemeClr val="accent1">
                    <a:shade val="30000"/>
                    <a:satMod val="115000"/>
                  </a:schemeClr>
                </a:gs>
                <a:gs pos="50000">
                  <a:schemeClr val="accent1">
                    <a:shade val="67500"/>
                    <a:satMod val="115000"/>
                    <a:lumMod val="83000"/>
                    <a:lumOff val="17000"/>
                  </a:schemeClr>
                </a:gs>
                <a:gs pos="100000">
                  <a:schemeClr val="accent1">
                    <a:shade val="100000"/>
                    <a:satMod val="115000"/>
                    <a:lumMod val="27000"/>
                    <a:lumOff val="73000"/>
                  </a:schemeClr>
                </a:gs>
              </a:gsLst>
              <a:path path="circle">
                <a:fillToRect t="100000" r="100000"/>
              </a:path>
              <a:tileRect l="-100000" b="-100000"/>
            </a:gra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8" name="AutoShape 474"/>
            <xdr:cNvSpPr>
              <a:spLocks/>
            </xdr:cNvSpPr>
          </xdr:nvSpPr>
          <xdr:spPr bwMode="auto">
            <a:xfrm>
              <a:off x="257175" y="8258175"/>
              <a:ext cx="2276475" cy="1028700"/>
            </a:xfrm>
            <a:prstGeom prst="callout2">
              <a:avLst>
                <a:gd name="adj1" fmla="val 12357"/>
                <a:gd name="adj2" fmla="val 104943"/>
                <a:gd name="adj3" fmla="val 10449"/>
                <a:gd name="adj4" fmla="val 125570"/>
                <a:gd name="adj5" fmla="val 60427"/>
                <a:gd name="adj6" fmla="val 143839"/>
              </a:avLst>
            </a:prstGeom>
            <a:solidFill>
              <a:srgbClr val="FFFFFF"/>
            </a:solidFill>
            <a:ln w="12700">
              <a:solidFill>
                <a:srgbClr val="000000"/>
              </a:solidFill>
              <a:miter lim="800000"/>
              <a:headEnd/>
              <a:tailEnd type="triangle" w="lg" len="lg"/>
            </a:ln>
          </xdr:spPr>
          <xdr:txBody>
            <a:bodyPr vertOverflow="clip" wrap="square" lIns="0" tIns="32004" rIns="36576" bIns="0" anchor="t" upright="1"/>
            <a:lstStyle/>
            <a:p>
              <a:pPr algn="r" rtl="0">
                <a:defRPr sz="1000"/>
              </a:pPr>
              <a:r>
                <a:rPr lang="en-US" sz="2000" b="1" i="0" u="none" strike="noStrike" baseline="0">
                  <a:solidFill>
                    <a:srgbClr val="000000"/>
                  </a:solidFill>
                  <a:latin typeface="Arial"/>
                  <a:cs typeface="Arial"/>
                </a:rPr>
                <a:t>Polymer Strip Blocking Air Flow at Cell Terminals </a:t>
              </a:r>
            </a:p>
          </xdr:txBody>
        </xdr:sp>
        <xdr:sp macro="" textlink="">
          <xdr:nvSpPr>
            <xdr:cNvPr id="139" name="AutoShape 247"/>
            <xdr:cNvSpPr>
              <a:spLocks/>
            </xdr:cNvSpPr>
          </xdr:nvSpPr>
          <xdr:spPr bwMode="auto">
            <a:xfrm>
              <a:off x="409575" y="9925050"/>
              <a:ext cx="1781175" cy="723900"/>
            </a:xfrm>
            <a:prstGeom prst="callout2">
              <a:avLst>
                <a:gd name="adj1" fmla="val 15792"/>
                <a:gd name="adj2" fmla="val 104278"/>
                <a:gd name="adj3" fmla="val 15792"/>
                <a:gd name="adj4" fmla="val 117111"/>
                <a:gd name="adj5" fmla="val 32893"/>
                <a:gd name="adj6" fmla="val 143852"/>
              </a:avLst>
            </a:prstGeom>
            <a:solidFill>
              <a:srgbClr val="FFFFFF"/>
            </a:solidFill>
            <a:ln w="9525">
              <a:solidFill>
                <a:srgbClr val="000000"/>
              </a:solidFill>
              <a:miter lim="800000"/>
              <a:headEnd type="none" w="lg" len="lg"/>
              <a:tailEnd type="triangle" w="lg" len="lg"/>
            </a:ln>
          </xdr:spPr>
          <xdr:txBody>
            <a:bodyPr vertOverflow="clip" wrap="square" lIns="0" tIns="41148" rIns="45720" bIns="0" anchor="t" upright="1"/>
            <a:lstStyle/>
            <a:p>
              <a:pPr algn="r" rtl="0">
                <a:defRPr sz="1000"/>
              </a:pPr>
              <a:r>
                <a:rPr lang="en-US" sz="2000" b="1" i="0" u="none" strike="noStrike" baseline="0">
                  <a:solidFill>
                    <a:srgbClr val="000000"/>
                  </a:solidFill>
                  <a:latin typeface="Arial"/>
                  <a:cs typeface="Arial"/>
                </a:rPr>
                <a:t>Module Terminal </a:t>
              </a:r>
            </a:p>
          </xdr:txBody>
        </xdr:sp>
      </xdr:grpSp>
      <xdr:grpSp>
        <xdr:nvGrpSpPr>
          <xdr:cNvPr id="6" name="Group 5"/>
          <xdr:cNvGrpSpPr/>
        </xdr:nvGrpSpPr>
        <xdr:grpSpPr>
          <a:xfrm>
            <a:off x="8233514" y="6899455"/>
            <a:ext cx="853336" cy="5267303"/>
            <a:chOff x="7995389" y="6899455"/>
            <a:chExt cx="853336" cy="5267303"/>
          </a:xfrm>
        </xdr:grpSpPr>
        <xdr:grpSp>
          <xdr:nvGrpSpPr>
            <xdr:cNvPr id="66" name="Group 65"/>
            <xdr:cNvGrpSpPr/>
          </xdr:nvGrpSpPr>
          <xdr:grpSpPr>
            <a:xfrm>
              <a:off x="7995389" y="6918505"/>
              <a:ext cx="529486" cy="5248253"/>
              <a:chOff x="7995389" y="6918505"/>
              <a:chExt cx="529486" cy="5248253"/>
            </a:xfrm>
          </xdr:grpSpPr>
          <xdr:sp macro="" textlink="">
            <xdr:nvSpPr>
              <xdr:cNvPr id="93" name="Rectangle 92"/>
              <xdr:cNvSpPr/>
            </xdr:nvSpPr>
            <xdr:spPr>
              <a:xfrm>
                <a:off x="8458689" y="7553687"/>
                <a:ext cx="66186" cy="355778"/>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4" name="Rectangle 93"/>
              <xdr:cNvSpPr/>
            </xdr:nvSpPr>
            <xdr:spPr>
              <a:xfrm>
                <a:off x="8458689" y="8013496"/>
                <a:ext cx="66186" cy="353428"/>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5" name="Rectangle 94"/>
              <xdr:cNvSpPr/>
            </xdr:nvSpPr>
            <xdr:spPr>
              <a:xfrm>
                <a:off x="8458689" y="8460391"/>
                <a:ext cx="66186" cy="356938"/>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6" name="Rectangle 95"/>
              <xdr:cNvSpPr/>
            </xdr:nvSpPr>
            <xdr:spPr>
              <a:xfrm>
                <a:off x="8456308" y="8920199"/>
                <a:ext cx="66186" cy="353428"/>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7" name="Rectangle 96"/>
              <xdr:cNvSpPr/>
            </xdr:nvSpPr>
            <xdr:spPr>
              <a:xfrm>
                <a:off x="8458689" y="9362658"/>
                <a:ext cx="66186" cy="356675"/>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8" name="Rectangle 97"/>
              <xdr:cNvSpPr/>
            </xdr:nvSpPr>
            <xdr:spPr>
              <a:xfrm>
                <a:off x="8458689" y="9824817"/>
                <a:ext cx="66186" cy="353429"/>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9" name="Rectangle 98"/>
              <xdr:cNvSpPr/>
            </xdr:nvSpPr>
            <xdr:spPr>
              <a:xfrm>
                <a:off x="8458689" y="10272871"/>
                <a:ext cx="66186" cy="355778"/>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0" name="Rectangle 99"/>
              <xdr:cNvSpPr/>
            </xdr:nvSpPr>
            <xdr:spPr>
              <a:xfrm>
                <a:off x="8458689" y="10724469"/>
                <a:ext cx="66186" cy="354588"/>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1" name="Rectangle 100"/>
              <xdr:cNvSpPr/>
            </xdr:nvSpPr>
            <xdr:spPr>
              <a:xfrm>
                <a:off x="8453438" y="11174875"/>
                <a:ext cx="71437" cy="353429"/>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2" name="Freeform 101"/>
              <xdr:cNvSpPr/>
            </xdr:nvSpPr>
            <xdr:spPr>
              <a:xfrm flipH="1" flipV="1">
                <a:off x="8262328" y="11872348"/>
                <a:ext cx="257850" cy="294410"/>
              </a:xfrm>
              <a:custGeom>
                <a:avLst/>
                <a:gdLst>
                  <a:gd name="connsiteX0" fmla="*/ 0 w 266700"/>
                  <a:gd name="connsiteY0" fmla="*/ 0 h 295275"/>
                  <a:gd name="connsiteX1" fmla="*/ 266700 w 266700"/>
                  <a:gd name="connsiteY1" fmla="*/ 0 h 295275"/>
                  <a:gd name="connsiteX2" fmla="*/ 266700 w 266700"/>
                  <a:gd name="connsiteY2" fmla="*/ 295275 h 295275"/>
                  <a:gd name="connsiteX0" fmla="*/ 0 w 461372"/>
                  <a:gd name="connsiteY0" fmla="*/ 6046 h 295275"/>
                  <a:gd name="connsiteX1" fmla="*/ 461372 w 461372"/>
                  <a:gd name="connsiteY1" fmla="*/ 0 h 295275"/>
                  <a:gd name="connsiteX2" fmla="*/ 461372 w 461372"/>
                  <a:gd name="connsiteY2" fmla="*/ 295275 h 295275"/>
                </a:gdLst>
                <a:ahLst/>
                <a:cxnLst>
                  <a:cxn ang="0">
                    <a:pos x="connsiteX0" y="connsiteY0"/>
                  </a:cxn>
                  <a:cxn ang="0">
                    <a:pos x="connsiteX1" y="connsiteY1"/>
                  </a:cxn>
                  <a:cxn ang="0">
                    <a:pos x="connsiteX2" y="connsiteY2"/>
                  </a:cxn>
                </a:cxnLst>
                <a:rect l="l" t="t" r="r" b="b"/>
                <a:pathLst>
                  <a:path w="461372" h="295275">
                    <a:moveTo>
                      <a:pt x="0" y="6046"/>
                    </a:moveTo>
                    <a:lnTo>
                      <a:pt x="461372" y="0"/>
                    </a:lnTo>
                    <a:lnTo>
                      <a:pt x="461372" y="295275"/>
                    </a:lnTo>
                  </a:path>
                </a:pathLst>
              </a:custGeom>
              <a:noFill/>
              <a:ln>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03" name="Straight Connector 102"/>
              <xdr:cNvCxnSpPr/>
            </xdr:nvCxnSpPr>
            <xdr:spPr>
              <a:xfrm flipH="1">
                <a:off x="8210550" y="7346237"/>
                <a:ext cx="0" cy="4370968"/>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Freeform 103"/>
              <xdr:cNvSpPr/>
            </xdr:nvSpPr>
            <xdr:spPr>
              <a:xfrm flipH="1">
                <a:off x="8448675" y="7346237"/>
                <a:ext cx="66675" cy="579683"/>
              </a:xfrm>
              <a:custGeom>
                <a:avLst/>
                <a:gdLst>
                  <a:gd name="connsiteX0" fmla="*/ 0 w 66675"/>
                  <a:gd name="connsiteY0" fmla="*/ 0 h 581025"/>
                  <a:gd name="connsiteX1" fmla="*/ 0 w 66675"/>
                  <a:gd name="connsiteY1" fmla="*/ 200025 h 581025"/>
                  <a:gd name="connsiteX2" fmla="*/ 66675 w 66675"/>
                  <a:gd name="connsiteY2" fmla="*/ 200025 h 581025"/>
                  <a:gd name="connsiteX3" fmla="*/ 66675 w 66675"/>
                  <a:gd name="connsiteY3" fmla="*/ 581025 h 581025"/>
                  <a:gd name="connsiteX4" fmla="*/ 66675 w 66675"/>
                  <a:gd name="connsiteY4" fmla="*/ 581025 h 581025"/>
                  <a:gd name="connsiteX5" fmla="*/ 66675 w 66675"/>
                  <a:gd name="connsiteY5" fmla="*/ 581025 h 581025"/>
                  <a:gd name="connsiteX6" fmla="*/ 66675 w 66675"/>
                  <a:gd name="connsiteY6" fmla="*/ 581025 h 581025"/>
                  <a:gd name="connsiteX7" fmla="*/ 66675 w 66675"/>
                  <a:gd name="connsiteY7" fmla="*/ 581025 h 5810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66675" h="581025">
                    <a:moveTo>
                      <a:pt x="0" y="0"/>
                    </a:moveTo>
                    <a:lnTo>
                      <a:pt x="0" y="200025"/>
                    </a:lnTo>
                    <a:lnTo>
                      <a:pt x="66675" y="200025"/>
                    </a:lnTo>
                    <a:lnTo>
                      <a:pt x="66675" y="581025"/>
                    </a:lnTo>
                    <a:lnTo>
                      <a:pt x="66675" y="581025"/>
                    </a:lnTo>
                    <a:lnTo>
                      <a:pt x="66675" y="581025"/>
                    </a:lnTo>
                    <a:lnTo>
                      <a:pt x="66675" y="581025"/>
                    </a:lnTo>
                    <a:lnTo>
                      <a:pt x="66675" y="581025"/>
                    </a:lnTo>
                  </a:path>
                </a:pathLst>
              </a:custGeom>
              <a:noFill/>
              <a:ln w="190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5" name="Freeform 104"/>
              <xdr:cNvSpPr/>
            </xdr:nvSpPr>
            <xdr:spPr>
              <a:xfrm flipH="1">
                <a:off x="8448675" y="7916517"/>
                <a:ext cx="66675" cy="459808"/>
              </a:xfrm>
              <a:custGeom>
                <a:avLst/>
                <a:gdLst>
                  <a:gd name="connsiteX0" fmla="*/ 66675 w 66675"/>
                  <a:gd name="connsiteY0" fmla="*/ 0 h 459581"/>
                  <a:gd name="connsiteX1" fmla="*/ 0 w 66675"/>
                  <a:gd name="connsiteY1" fmla="*/ 0 h 459581"/>
                  <a:gd name="connsiteX2" fmla="*/ 0 w 66675"/>
                  <a:gd name="connsiteY2" fmla="*/ 92868 h 459581"/>
                  <a:gd name="connsiteX3" fmla="*/ 66675 w 66675"/>
                  <a:gd name="connsiteY3" fmla="*/ 92868 h 459581"/>
                  <a:gd name="connsiteX4" fmla="*/ 66675 w 66675"/>
                  <a:gd name="connsiteY4" fmla="*/ 459581 h 459581"/>
                  <a:gd name="connsiteX5" fmla="*/ 66675 w 66675"/>
                  <a:gd name="connsiteY5" fmla="*/ 459581 h 45958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66675" h="459581">
                    <a:moveTo>
                      <a:pt x="66675" y="0"/>
                    </a:moveTo>
                    <a:lnTo>
                      <a:pt x="0" y="0"/>
                    </a:lnTo>
                    <a:lnTo>
                      <a:pt x="0" y="92868"/>
                    </a:lnTo>
                    <a:lnTo>
                      <a:pt x="66675" y="92868"/>
                    </a:lnTo>
                    <a:lnTo>
                      <a:pt x="66675" y="459581"/>
                    </a:lnTo>
                    <a:lnTo>
                      <a:pt x="66675" y="459581"/>
                    </a:lnTo>
                  </a:path>
                </a:pathLst>
              </a:custGeom>
              <a:noFill/>
              <a:ln w="190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6" name="Freeform 105"/>
              <xdr:cNvSpPr/>
            </xdr:nvSpPr>
            <xdr:spPr>
              <a:xfrm flipH="1">
                <a:off x="8448675" y="8369273"/>
                <a:ext cx="66675" cy="459808"/>
              </a:xfrm>
              <a:custGeom>
                <a:avLst/>
                <a:gdLst>
                  <a:gd name="connsiteX0" fmla="*/ 66675 w 66675"/>
                  <a:gd name="connsiteY0" fmla="*/ 0 h 459581"/>
                  <a:gd name="connsiteX1" fmla="*/ 0 w 66675"/>
                  <a:gd name="connsiteY1" fmla="*/ 0 h 459581"/>
                  <a:gd name="connsiteX2" fmla="*/ 0 w 66675"/>
                  <a:gd name="connsiteY2" fmla="*/ 92868 h 459581"/>
                  <a:gd name="connsiteX3" fmla="*/ 66675 w 66675"/>
                  <a:gd name="connsiteY3" fmla="*/ 92868 h 459581"/>
                  <a:gd name="connsiteX4" fmla="*/ 66675 w 66675"/>
                  <a:gd name="connsiteY4" fmla="*/ 459581 h 459581"/>
                  <a:gd name="connsiteX5" fmla="*/ 66675 w 66675"/>
                  <a:gd name="connsiteY5" fmla="*/ 459581 h 45958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66675" h="459581">
                    <a:moveTo>
                      <a:pt x="66675" y="0"/>
                    </a:moveTo>
                    <a:lnTo>
                      <a:pt x="0" y="0"/>
                    </a:lnTo>
                    <a:lnTo>
                      <a:pt x="0" y="92868"/>
                    </a:lnTo>
                    <a:lnTo>
                      <a:pt x="66675" y="92868"/>
                    </a:lnTo>
                    <a:lnTo>
                      <a:pt x="66675" y="459581"/>
                    </a:lnTo>
                    <a:lnTo>
                      <a:pt x="66675" y="459581"/>
                    </a:lnTo>
                  </a:path>
                </a:pathLst>
              </a:custGeom>
              <a:noFill/>
              <a:ln w="190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7" name="Freeform 106"/>
              <xdr:cNvSpPr/>
            </xdr:nvSpPr>
            <xdr:spPr>
              <a:xfrm flipH="1">
                <a:off x="8448675" y="8819679"/>
                <a:ext cx="66675" cy="458648"/>
              </a:xfrm>
              <a:custGeom>
                <a:avLst/>
                <a:gdLst>
                  <a:gd name="connsiteX0" fmla="*/ 66675 w 66675"/>
                  <a:gd name="connsiteY0" fmla="*/ 0 h 459581"/>
                  <a:gd name="connsiteX1" fmla="*/ 0 w 66675"/>
                  <a:gd name="connsiteY1" fmla="*/ 0 h 459581"/>
                  <a:gd name="connsiteX2" fmla="*/ 0 w 66675"/>
                  <a:gd name="connsiteY2" fmla="*/ 92868 h 459581"/>
                  <a:gd name="connsiteX3" fmla="*/ 66675 w 66675"/>
                  <a:gd name="connsiteY3" fmla="*/ 92868 h 459581"/>
                  <a:gd name="connsiteX4" fmla="*/ 66675 w 66675"/>
                  <a:gd name="connsiteY4" fmla="*/ 459581 h 459581"/>
                  <a:gd name="connsiteX5" fmla="*/ 66675 w 66675"/>
                  <a:gd name="connsiteY5" fmla="*/ 459581 h 45958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66675" h="459581">
                    <a:moveTo>
                      <a:pt x="66675" y="0"/>
                    </a:moveTo>
                    <a:lnTo>
                      <a:pt x="0" y="0"/>
                    </a:lnTo>
                    <a:lnTo>
                      <a:pt x="0" y="92868"/>
                    </a:lnTo>
                    <a:lnTo>
                      <a:pt x="66675" y="92868"/>
                    </a:lnTo>
                    <a:lnTo>
                      <a:pt x="66675" y="459581"/>
                    </a:lnTo>
                    <a:lnTo>
                      <a:pt x="66675" y="459581"/>
                    </a:lnTo>
                  </a:path>
                </a:pathLst>
              </a:custGeom>
              <a:noFill/>
              <a:ln w="190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8" name="Freeform 107"/>
              <xdr:cNvSpPr/>
            </xdr:nvSpPr>
            <xdr:spPr>
              <a:xfrm flipH="1">
                <a:off x="8448675" y="9271275"/>
                <a:ext cx="66675" cy="459808"/>
              </a:xfrm>
              <a:custGeom>
                <a:avLst/>
                <a:gdLst>
                  <a:gd name="connsiteX0" fmla="*/ 66675 w 66675"/>
                  <a:gd name="connsiteY0" fmla="*/ 0 h 459581"/>
                  <a:gd name="connsiteX1" fmla="*/ 0 w 66675"/>
                  <a:gd name="connsiteY1" fmla="*/ 0 h 459581"/>
                  <a:gd name="connsiteX2" fmla="*/ 0 w 66675"/>
                  <a:gd name="connsiteY2" fmla="*/ 92868 h 459581"/>
                  <a:gd name="connsiteX3" fmla="*/ 66675 w 66675"/>
                  <a:gd name="connsiteY3" fmla="*/ 92868 h 459581"/>
                  <a:gd name="connsiteX4" fmla="*/ 66675 w 66675"/>
                  <a:gd name="connsiteY4" fmla="*/ 459581 h 459581"/>
                  <a:gd name="connsiteX5" fmla="*/ 66675 w 66675"/>
                  <a:gd name="connsiteY5" fmla="*/ 459581 h 45958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66675" h="459581">
                    <a:moveTo>
                      <a:pt x="66675" y="0"/>
                    </a:moveTo>
                    <a:lnTo>
                      <a:pt x="0" y="0"/>
                    </a:lnTo>
                    <a:lnTo>
                      <a:pt x="0" y="92868"/>
                    </a:lnTo>
                    <a:lnTo>
                      <a:pt x="66675" y="92868"/>
                    </a:lnTo>
                    <a:lnTo>
                      <a:pt x="66675" y="459581"/>
                    </a:lnTo>
                    <a:lnTo>
                      <a:pt x="66675" y="459581"/>
                    </a:lnTo>
                  </a:path>
                </a:pathLst>
              </a:custGeom>
              <a:noFill/>
              <a:ln w="190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9" name="Freeform 108"/>
              <xdr:cNvSpPr/>
            </xdr:nvSpPr>
            <xdr:spPr>
              <a:xfrm flipH="1">
                <a:off x="8448675" y="9724097"/>
                <a:ext cx="66675" cy="458912"/>
              </a:xfrm>
              <a:custGeom>
                <a:avLst/>
                <a:gdLst>
                  <a:gd name="connsiteX0" fmla="*/ 66675 w 66675"/>
                  <a:gd name="connsiteY0" fmla="*/ 0 h 459581"/>
                  <a:gd name="connsiteX1" fmla="*/ 0 w 66675"/>
                  <a:gd name="connsiteY1" fmla="*/ 0 h 459581"/>
                  <a:gd name="connsiteX2" fmla="*/ 0 w 66675"/>
                  <a:gd name="connsiteY2" fmla="*/ 92868 h 459581"/>
                  <a:gd name="connsiteX3" fmla="*/ 66675 w 66675"/>
                  <a:gd name="connsiteY3" fmla="*/ 92868 h 459581"/>
                  <a:gd name="connsiteX4" fmla="*/ 66675 w 66675"/>
                  <a:gd name="connsiteY4" fmla="*/ 459581 h 459581"/>
                  <a:gd name="connsiteX5" fmla="*/ 66675 w 66675"/>
                  <a:gd name="connsiteY5" fmla="*/ 459581 h 45958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66675" h="459581">
                    <a:moveTo>
                      <a:pt x="66675" y="0"/>
                    </a:moveTo>
                    <a:lnTo>
                      <a:pt x="0" y="0"/>
                    </a:lnTo>
                    <a:lnTo>
                      <a:pt x="0" y="92868"/>
                    </a:lnTo>
                    <a:lnTo>
                      <a:pt x="66675" y="92868"/>
                    </a:lnTo>
                    <a:lnTo>
                      <a:pt x="66675" y="459581"/>
                    </a:lnTo>
                    <a:lnTo>
                      <a:pt x="66675" y="459581"/>
                    </a:lnTo>
                  </a:path>
                </a:pathLst>
              </a:custGeom>
              <a:noFill/>
              <a:ln w="190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0" name="Freeform 109"/>
              <xdr:cNvSpPr/>
            </xdr:nvSpPr>
            <xdr:spPr>
              <a:xfrm flipH="1">
                <a:off x="8448675" y="10175958"/>
                <a:ext cx="66675" cy="459807"/>
              </a:xfrm>
              <a:custGeom>
                <a:avLst/>
                <a:gdLst>
                  <a:gd name="connsiteX0" fmla="*/ 66675 w 66675"/>
                  <a:gd name="connsiteY0" fmla="*/ 0 h 459581"/>
                  <a:gd name="connsiteX1" fmla="*/ 0 w 66675"/>
                  <a:gd name="connsiteY1" fmla="*/ 0 h 459581"/>
                  <a:gd name="connsiteX2" fmla="*/ 0 w 66675"/>
                  <a:gd name="connsiteY2" fmla="*/ 92868 h 459581"/>
                  <a:gd name="connsiteX3" fmla="*/ 66675 w 66675"/>
                  <a:gd name="connsiteY3" fmla="*/ 92868 h 459581"/>
                  <a:gd name="connsiteX4" fmla="*/ 66675 w 66675"/>
                  <a:gd name="connsiteY4" fmla="*/ 459581 h 459581"/>
                  <a:gd name="connsiteX5" fmla="*/ 66675 w 66675"/>
                  <a:gd name="connsiteY5" fmla="*/ 459581 h 45958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66675" h="459581">
                    <a:moveTo>
                      <a:pt x="66675" y="0"/>
                    </a:moveTo>
                    <a:lnTo>
                      <a:pt x="0" y="0"/>
                    </a:lnTo>
                    <a:lnTo>
                      <a:pt x="0" y="92868"/>
                    </a:lnTo>
                    <a:lnTo>
                      <a:pt x="66675" y="92868"/>
                    </a:lnTo>
                    <a:lnTo>
                      <a:pt x="66675" y="459581"/>
                    </a:lnTo>
                    <a:lnTo>
                      <a:pt x="66675" y="459581"/>
                    </a:lnTo>
                  </a:path>
                </a:pathLst>
              </a:custGeom>
              <a:noFill/>
              <a:ln w="190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1" name="Freeform 110"/>
              <xdr:cNvSpPr/>
            </xdr:nvSpPr>
            <xdr:spPr>
              <a:xfrm flipH="1">
                <a:off x="8448675" y="10626362"/>
                <a:ext cx="66675" cy="459808"/>
              </a:xfrm>
              <a:custGeom>
                <a:avLst/>
                <a:gdLst>
                  <a:gd name="connsiteX0" fmla="*/ 66675 w 66675"/>
                  <a:gd name="connsiteY0" fmla="*/ 0 h 459581"/>
                  <a:gd name="connsiteX1" fmla="*/ 0 w 66675"/>
                  <a:gd name="connsiteY1" fmla="*/ 0 h 459581"/>
                  <a:gd name="connsiteX2" fmla="*/ 0 w 66675"/>
                  <a:gd name="connsiteY2" fmla="*/ 92868 h 459581"/>
                  <a:gd name="connsiteX3" fmla="*/ 66675 w 66675"/>
                  <a:gd name="connsiteY3" fmla="*/ 92868 h 459581"/>
                  <a:gd name="connsiteX4" fmla="*/ 66675 w 66675"/>
                  <a:gd name="connsiteY4" fmla="*/ 459581 h 459581"/>
                  <a:gd name="connsiteX5" fmla="*/ 66675 w 66675"/>
                  <a:gd name="connsiteY5" fmla="*/ 459581 h 45958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66675" h="459581">
                    <a:moveTo>
                      <a:pt x="66675" y="0"/>
                    </a:moveTo>
                    <a:lnTo>
                      <a:pt x="0" y="0"/>
                    </a:lnTo>
                    <a:lnTo>
                      <a:pt x="0" y="92868"/>
                    </a:lnTo>
                    <a:lnTo>
                      <a:pt x="66675" y="92868"/>
                    </a:lnTo>
                    <a:lnTo>
                      <a:pt x="66675" y="459581"/>
                    </a:lnTo>
                    <a:lnTo>
                      <a:pt x="66675" y="459581"/>
                    </a:lnTo>
                  </a:path>
                </a:pathLst>
              </a:custGeom>
              <a:noFill/>
              <a:ln w="190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2" name="Freeform 111"/>
              <xdr:cNvSpPr/>
            </xdr:nvSpPr>
            <xdr:spPr>
              <a:xfrm flipH="1">
                <a:off x="8448675" y="11079118"/>
                <a:ext cx="66675" cy="458649"/>
              </a:xfrm>
              <a:custGeom>
                <a:avLst/>
                <a:gdLst>
                  <a:gd name="connsiteX0" fmla="*/ 66675 w 66675"/>
                  <a:gd name="connsiteY0" fmla="*/ 0 h 459581"/>
                  <a:gd name="connsiteX1" fmla="*/ 0 w 66675"/>
                  <a:gd name="connsiteY1" fmla="*/ 0 h 459581"/>
                  <a:gd name="connsiteX2" fmla="*/ 0 w 66675"/>
                  <a:gd name="connsiteY2" fmla="*/ 92868 h 459581"/>
                  <a:gd name="connsiteX3" fmla="*/ 66675 w 66675"/>
                  <a:gd name="connsiteY3" fmla="*/ 92868 h 459581"/>
                  <a:gd name="connsiteX4" fmla="*/ 66675 w 66675"/>
                  <a:gd name="connsiteY4" fmla="*/ 459581 h 459581"/>
                  <a:gd name="connsiteX5" fmla="*/ 66675 w 66675"/>
                  <a:gd name="connsiteY5" fmla="*/ 459581 h 45958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66675" h="459581">
                    <a:moveTo>
                      <a:pt x="66675" y="0"/>
                    </a:moveTo>
                    <a:lnTo>
                      <a:pt x="0" y="0"/>
                    </a:lnTo>
                    <a:lnTo>
                      <a:pt x="0" y="92868"/>
                    </a:lnTo>
                    <a:lnTo>
                      <a:pt x="66675" y="92868"/>
                    </a:lnTo>
                    <a:lnTo>
                      <a:pt x="66675" y="459581"/>
                    </a:lnTo>
                    <a:lnTo>
                      <a:pt x="66675" y="459581"/>
                    </a:lnTo>
                  </a:path>
                </a:pathLst>
              </a:custGeom>
              <a:noFill/>
              <a:ln w="190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3" name="Freeform 112"/>
              <xdr:cNvSpPr/>
            </xdr:nvSpPr>
            <xdr:spPr>
              <a:xfrm flipH="1">
                <a:off x="8448675" y="11528297"/>
                <a:ext cx="66675" cy="191253"/>
              </a:xfrm>
              <a:custGeom>
                <a:avLst/>
                <a:gdLst>
                  <a:gd name="connsiteX0" fmla="*/ 66675 w 66675"/>
                  <a:gd name="connsiteY0" fmla="*/ 0 h 190500"/>
                  <a:gd name="connsiteX1" fmla="*/ 0 w 66675"/>
                  <a:gd name="connsiteY1" fmla="*/ 2381 h 190500"/>
                  <a:gd name="connsiteX2" fmla="*/ 0 w 66675"/>
                  <a:gd name="connsiteY2" fmla="*/ 190500 h 190500"/>
                  <a:gd name="connsiteX3" fmla="*/ 0 w 66675"/>
                  <a:gd name="connsiteY3" fmla="*/ 190500 h 190500"/>
                </a:gdLst>
                <a:ahLst/>
                <a:cxnLst>
                  <a:cxn ang="0">
                    <a:pos x="connsiteX0" y="connsiteY0"/>
                  </a:cxn>
                  <a:cxn ang="0">
                    <a:pos x="connsiteX1" y="connsiteY1"/>
                  </a:cxn>
                  <a:cxn ang="0">
                    <a:pos x="connsiteX2" y="connsiteY2"/>
                  </a:cxn>
                  <a:cxn ang="0">
                    <a:pos x="connsiteX3" y="connsiteY3"/>
                  </a:cxn>
                </a:cxnLst>
                <a:rect l="l" t="t" r="r" b="b"/>
                <a:pathLst>
                  <a:path w="66675" h="190500">
                    <a:moveTo>
                      <a:pt x="66675" y="0"/>
                    </a:moveTo>
                    <a:lnTo>
                      <a:pt x="0" y="2381"/>
                    </a:lnTo>
                    <a:lnTo>
                      <a:pt x="0" y="190500"/>
                    </a:lnTo>
                    <a:lnTo>
                      <a:pt x="0" y="190500"/>
                    </a:lnTo>
                  </a:path>
                </a:pathLst>
              </a:custGeom>
              <a:noFill/>
              <a:ln w="190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4" name="Freeform 113"/>
              <xdr:cNvSpPr/>
            </xdr:nvSpPr>
            <xdr:spPr>
              <a:xfrm>
                <a:off x="7995389" y="6918505"/>
                <a:ext cx="266205" cy="292676"/>
              </a:xfrm>
              <a:custGeom>
                <a:avLst/>
                <a:gdLst>
                  <a:gd name="connsiteX0" fmla="*/ 0 w 266700"/>
                  <a:gd name="connsiteY0" fmla="*/ 0 h 295275"/>
                  <a:gd name="connsiteX1" fmla="*/ 266700 w 266700"/>
                  <a:gd name="connsiteY1" fmla="*/ 0 h 295275"/>
                  <a:gd name="connsiteX2" fmla="*/ 266700 w 266700"/>
                  <a:gd name="connsiteY2" fmla="*/ 295275 h 295275"/>
                  <a:gd name="connsiteX0" fmla="*/ 0 w 382286"/>
                  <a:gd name="connsiteY0" fmla="*/ 0 h 295275"/>
                  <a:gd name="connsiteX1" fmla="*/ 382286 w 382286"/>
                  <a:gd name="connsiteY1" fmla="*/ 0 h 295275"/>
                  <a:gd name="connsiteX2" fmla="*/ 382286 w 382286"/>
                  <a:gd name="connsiteY2" fmla="*/ 295275 h 295275"/>
                </a:gdLst>
                <a:ahLst/>
                <a:cxnLst>
                  <a:cxn ang="0">
                    <a:pos x="connsiteX0" y="connsiteY0"/>
                  </a:cxn>
                  <a:cxn ang="0">
                    <a:pos x="connsiteX1" y="connsiteY1"/>
                  </a:cxn>
                  <a:cxn ang="0">
                    <a:pos x="connsiteX2" y="connsiteY2"/>
                  </a:cxn>
                </a:cxnLst>
                <a:rect l="l" t="t" r="r" b="b"/>
                <a:pathLst>
                  <a:path w="382286" h="295275">
                    <a:moveTo>
                      <a:pt x="0" y="0"/>
                    </a:moveTo>
                    <a:lnTo>
                      <a:pt x="382286" y="0"/>
                    </a:lnTo>
                    <a:lnTo>
                      <a:pt x="382286" y="295275"/>
                    </a:lnTo>
                  </a:path>
                </a:pathLst>
              </a:custGeom>
              <a:noFill/>
              <a:ln>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5" name="Freeform 114"/>
              <xdr:cNvSpPr/>
            </xdr:nvSpPr>
            <xdr:spPr>
              <a:xfrm>
                <a:off x="8222697" y="7154468"/>
                <a:ext cx="214972" cy="4817758"/>
              </a:xfrm>
              <a:custGeom>
                <a:avLst/>
                <a:gdLst>
                  <a:gd name="connsiteX0" fmla="*/ 57150 w 200025"/>
                  <a:gd name="connsiteY0" fmla="*/ 0 h 4467225"/>
                  <a:gd name="connsiteX1" fmla="*/ 57150 w 200025"/>
                  <a:gd name="connsiteY1" fmla="*/ 266700 h 4467225"/>
                  <a:gd name="connsiteX2" fmla="*/ 76200 w 200025"/>
                  <a:gd name="connsiteY2" fmla="*/ 304800 h 4467225"/>
                  <a:gd name="connsiteX3" fmla="*/ 114300 w 200025"/>
                  <a:gd name="connsiteY3" fmla="*/ 352425 h 4467225"/>
                  <a:gd name="connsiteX4" fmla="*/ 152400 w 200025"/>
                  <a:gd name="connsiteY4" fmla="*/ 371475 h 4467225"/>
                  <a:gd name="connsiteX5" fmla="*/ 180975 w 200025"/>
                  <a:gd name="connsiteY5" fmla="*/ 409575 h 4467225"/>
                  <a:gd name="connsiteX6" fmla="*/ 200025 w 200025"/>
                  <a:gd name="connsiteY6" fmla="*/ 485775 h 4467225"/>
                  <a:gd name="connsiteX7" fmla="*/ 200025 w 200025"/>
                  <a:gd name="connsiteY7" fmla="*/ 3971925 h 4467225"/>
                  <a:gd name="connsiteX8" fmla="*/ 171450 w 200025"/>
                  <a:gd name="connsiteY8" fmla="*/ 4057650 h 4467225"/>
                  <a:gd name="connsiteX9" fmla="*/ 104775 w 200025"/>
                  <a:gd name="connsiteY9" fmla="*/ 4105275 h 4467225"/>
                  <a:gd name="connsiteX10" fmla="*/ 47625 w 200025"/>
                  <a:gd name="connsiteY10" fmla="*/ 4200525 h 4467225"/>
                  <a:gd name="connsiteX11" fmla="*/ 47625 w 200025"/>
                  <a:gd name="connsiteY11" fmla="*/ 4276725 h 4467225"/>
                  <a:gd name="connsiteX12" fmla="*/ 47625 w 200025"/>
                  <a:gd name="connsiteY12" fmla="*/ 4467225 h 4467225"/>
                  <a:gd name="connsiteX13" fmla="*/ 0 w 200025"/>
                  <a:gd name="connsiteY13" fmla="*/ 0 h 4467225"/>
                  <a:gd name="connsiteX14" fmla="*/ 57150 w 200025"/>
                  <a:gd name="connsiteY14" fmla="*/ 0 h 4467225"/>
                  <a:gd name="connsiteX0" fmla="*/ 57150 w 200025"/>
                  <a:gd name="connsiteY0" fmla="*/ 0 h 4485212"/>
                  <a:gd name="connsiteX1" fmla="*/ 57150 w 200025"/>
                  <a:gd name="connsiteY1" fmla="*/ 266700 h 4485212"/>
                  <a:gd name="connsiteX2" fmla="*/ 76200 w 200025"/>
                  <a:gd name="connsiteY2" fmla="*/ 304800 h 4485212"/>
                  <a:gd name="connsiteX3" fmla="*/ 114300 w 200025"/>
                  <a:gd name="connsiteY3" fmla="*/ 352425 h 4485212"/>
                  <a:gd name="connsiteX4" fmla="*/ 152400 w 200025"/>
                  <a:gd name="connsiteY4" fmla="*/ 371475 h 4485212"/>
                  <a:gd name="connsiteX5" fmla="*/ 180975 w 200025"/>
                  <a:gd name="connsiteY5" fmla="*/ 409575 h 4485212"/>
                  <a:gd name="connsiteX6" fmla="*/ 200025 w 200025"/>
                  <a:gd name="connsiteY6" fmla="*/ 485775 h 4485212"/>
                  <a:gd name="connsiteX7" fmla="*/ 200025 w 200025"/>
                  <a:gd name="connsiteY7" fmla="*/ 3971925 h 4485212"/>
                  <a:gd name="connsiteX8" fmla="*/ 171450 w 200025"/>
                  <a:gd name="connsiteY8" fmla="*/ 4057650 h 4485212"/>
                  <a:gd name="connsiteX9" fmla="*/ 104775 w 200025"/>
                  <a:gd name="connsiteY9" fmla="*/ 4105275 h 4485212"/>
                  <a:gd name="connsiteX10" fmla="*/ 47625 w 200025"/>
                  <a:gd name="connsiteY10" fmla="*/ 4200525 h 4485212"/>
                  <a:gd name="connsiteX11" fmla="*/ 47625 w 200025"/>
                  <a:gd name="connsiteY11" fmla="*/ 4276725 h 4485212"/>
                  <a:gd name="connsiteX12" fmla="*/ 10990 w 200025"/>
                  <a:gd name="connsiteY12" fmla="*/ 4485212 h 4485212"/>
                  <a:gd name="connsiteX13" fmla="*/ 0 w 200025"/>
                  <a:gd name="connsiteY13" fmla="*/ 0 h 4485212"/>
                  <a:gd name="connsiteX14" fmla="*/ 57150 w 200025"/>
                  <a:gd name="connsiteY14" fmla="*/ 0 h 4485212"/>
                  <a:gd name="connsiteX0" fmla="*/ 57150 w 200025"/>
                  <a:gd name="connsiteY0" fmla="*/ 0 h 4498149"/>
                  <a:gd name="connsiteX1" fmla="*/ 57150 w 200025"/>
                  <a:gd name="connsiteY1" fmla="*/ 266700 h 4498149"/>
                  <a:gd name="connsiteX2" fmla="*/ 76200 w 200025"/>
                  <a:gd name="connsiteY2" fmla="*/ 304800 h 4498149"/>
                  <a:gd name="connsiteX3" fmla="*/ 114300 w 200025"/>
                  <a:gd name="connsiteY3" fmla="*/ 352425 h 4498149"/>
                  <a:gd name="connsiteX4" fmla="*/ 152400 w 200025"/>
                  <a:gd name="connsiteY4" fmla="*/ 371475 h 4498149"/>
                  <a:gd name="connsiteX5" fmla="*/ 180975 w 200025"/>
                  <a:gd name="connsiteY5" fmla="*/ 409575 h 4498149"/>
                  <a:gd name="connsiteX6" fmla="*/ 200025 w 200025"/>
                  <a:gd name="connsiteY6" fmla="*/ 485775 h 4498149"/>
                  <a:gd name="connsiteX7" fmla="*/ 200025 w 200025"/>
                  <a:gd name="connsiteY7" fmla="*/ 3971925 h 4498149"/>
                  <a:gd name="connsiteX8" fmla="*/ 171450 w 200025"/>
                  <a:gd name="connsiteY8" fmla="*/ 4057650 h 4498149"/>
                  <a:gd name="connsiteX9" fmla="*/ 104775 w 200025"/>
                  <a:gd name="connsiteY9" fmla="*/ 4105275 h 4498149"/>
                  <a:gd name="connsiteX10" fmla="*/ 47625 w 200025"/>
                  <a:gd name="connsiteY10" fmla="*/ 4200525 h 4498149"/>
                  <a:gd name="connsiteX11" fmla="*/ 47625 w 200025"/>
                  <a:gd name="connsiteY11" fmla="*/ 4486572 h 4498149"/>
                  <a:gd name="connsiteX12" fmla="*/ 10990 w 200025"/>
                  <a:gd name="connsiteY12" fmla="*/ 4485212 h 4498149"/>
                  <a:gd name="connsiteX13" fmla="*/ 0 w 200025"/>
                  <a:gd name="connsiteY13" fmla="*/ 0 h 4498149"/>
                  <a:gd name="connsiteX14" fmla="*/ 57150 w 200025"/>
                  <a:gd name="connsiteY14" fmla="*/ 0 h 4498149"/>
                  <a:gd name="connsiteX0" fmla="*/ 57150 w 200025"/>
                  <a:gd name="connsiteY0" fmla="*/ 0 h 4498149"/>
                  <a:gd name="connsiteX1" fmla="*/ 57150 w 200025"/>
                  <a:gd name="connsiteY1" fmla="*/ 266700 h 4498149"/>
                  <a:gd name="connsiteX2" fmla="*/ 76200 w 200025"/>
                  <a:gd name="connsiteY2" fmla="*/ 304800 h 4498149"/>
                  <a:gd name="connsiteX3" fmla="*/ 114300 w 200025"/>
                  <a:gd name="connsiteY3" fmla="*/ 352425 h 4498149"/>
                  <a:gd name="connsiteX4" fmla="*/ 152400 w 200025"/>
                  <a:gd name="connsiteY4" fmla="*/ 371475 h 4498149"/>
                  <a:gd name="connsiteX5" fmla="*/ 180975 w 200025"/>
                  <a:gd name="connsiteY5" fmla="*/ 409575 h 4498149"/>
                  <a:gd name="connsiteX6" fmla="*/ 200025 w 200025"/>
                  <a:gd name="connsiteY6" fmla="*/ 485775 h 4498149"/>
                  <a:gd name="connsiteX7" fmla="*/ 200025 w 200025"/>
                  <a:gd name="connsiteY7" fmla="*/ 3971925 h 4498149"/>
                  <a:gd name="connsiteX8" fmla="*/ 171450 w 200025"/>
                  <a:gd name="connsiteY8" fmla="*/ 4057650 h 4498149"/>
                  <a:gd name="connsiteX9" fmla="*/ 104775 w 200025"/>
                  <a:gd name="connsiteY9" fmla="*/ 4105275 h 4498149"/>
                  <a:gd name="connsiteX10" fmla="*/ 47625 w 200025"/>
                  <a:gd name="connsiteY10" fmla="*/ 4200525 h 4498149"/>
                  <a:gd name="connsiteX11" fmla="*/ 65838 w 200025"/>
                  <a:gd name="connsiteY11" fmla="*/ 4486572 h 4498149"/>
                  <a:gd name="connsiteX12" fmla="*/ 10990 w 200025"/>
                  <a:gd name="connsiteY12" fmla="*/ 4485212 h 4498149"/>
                  <a:gd name="connsiteX13" fmla="*/ 0 w 200025"/>
                  <a:gd name="connsiteY13" fmla="*/ 0 h 4498149"/>
                  <a:gd name="connsiteX14" fmla="*/ 57150 w 200025"/>
                  <a:gd name="connsiteY14" fmla="*/ 0 h 4498149"/>
                  <a:gd name="connsiteX0" fmla="*/ 57150 w 200025"/>
                  <a:gd name="connsiteY0" fmla="*/ 0 h 4498149"/>
                  <a:gd name="connsiteX1" fmla="*/ 57150 w 200025"/>
                  <a:gd name="connsiteY1" fmla="*/ 266700 h 4498149"/>
                  <a:gd name="connsiteX2" fmla="*/ 76200 w 200025"/>
                  <a:gd name="connsiteY2" fmla="*/ 304800 h 4498149"/>
                  <a:gd name="connsiteX3" fmla="*/ 114300 w 200025"/>
                  <a:gd name="connsiteY3" fmla="*/ 352425 h 4498149"/>
                  <a:gd name="connsiteX4" fmla="*/ 152400 w 200025"/>
                  <a:gd name="connsiteY4" fmla="*/ 371475 h 4498149"/>
                  <a:gd name="connsiteX5" fmla="*/ 180975 w 200025"/>
                  <a:gd name="connsiteY5" fmla="*/ 409575 h 4498149"/>
                  <a:gd name="connsiteX6" fmla="*/ 200025 w 200025"/>
                  <a:gd name="connsiteY6" fmla="*/ 485775 h 4498149"/>
                  <a:gd name="connsiteX7" fmla="*/ 200025 w 200025"/>
                  <a:gd name="connsiteY7" fmla="*/ 3971925 h 4498149"/>
                  <a:gd name="connsiteX8" fmla="*/ 171450 w 200025"/>
                  <a:gd name="connsiteY8" fmla="*/ 4057650 h 4498149"/>
                  <a:gd name="connsiteX9" fmla="*/ 104775 w 200025"/>
                  <a:gd name="connsiteY9" fmla="*/ 4105275 h 4498149"/>
                  <a:gd name="connsiteX10" fmla="*/ 77980 w 200025"/>
                  <a:gd name="connsiteY10" fmla="*/ 4200525 h 4498149"/>
                  <a:gd name="connsiteX11" fmla="*/ 65838 w 200025"/>
                  <a:gd name="connsiteY11" fmla="*/ 4486572 h 4498149"/>
                  <a:gd name="connsiteX12" fmla="*/ 10990 w 200025"/>
                  <a:gd name="connsiteY12" fmla="*/ 4485212 h 4498149"/>
                  <a:gd name="connsiteX13" fmla="*/ 0 w 200025"/>
                  <a:gd name="connsiteY13" fmla="*/ 0 h 4498149"/>
                  <a:gd name="connsiteX14" fmla="*/ 57150 w 200025"/>
                  <a:gd name="connsiteY14" fmla="*/ 0 h 4498149"/>
                  <a:gd name="connsiteX0" fmla="*/ 57150 w 200025"/>
                  <a:gd name="connsiteY0" fmla="*/ 0 h 4498149"/>
                  <a:gd name="connsiteX1" fmla="*/ 57150 w 200025"/>
                  <a:gd name="connsiteY1" fmla="*/ 266700 h 4498149"/>
                  <a:gd name="connsiteX2" fmla="*/ 76200 w 200025"/>
                  <a:gd name="connsiteY2" fmla="*/ 304800 h 4498149"/>
                  <a:gd name="connsiteX3" fmla="*/ 114300 w 200025"/>
                  <a:gd name="connsiteY3" fmla="*/ 352425 h 4498149"/>
                  <a:gd name="connsiteX4" fmla="*/ 152400 w 200025"/>
                  <a:gd name="connsiteY4" fmla="*/ 371475 h 4498149"/>
                  <a:gd name="connsiteX5" fmla="*/ 180975 w 200025"/>
                  <a:gd name="connsiteY5" fmla="*/ 409575 h 4498149"/>
                  <a:gd name="connsiteX6" fmla="*/ 200025 w 200025"/>
                  <a:gd name="connsiteY6" fmla="*/ 485775 h 4498149"/>
                  <a:gd name="connsiteX7" fmla="*/ 200025 w 200025"/>
                  <a:gd name="connsiteY7" fmla="*/ 3971925 h 4498149"/>
                  <a:gd name="connsiteX8" fmla="*/ 171450 w 200025"/>
                  <a:gd name="connsiteY8" fmla="*/ 4057650 h 4498149"/>
                  <a:gd name="connsiteX9" fmla="*/ 104775 w 200025"/>
                  <a:gd name="connsiteY9" fmla="*/ 4105275 h 4498149"/>
                  <a:gd name="connsiteX10" fmla="*/ 59767 w 200025"/>
                  <a:gd name="connsiteY10" fmla="*/ 4200525 h 4498149"/>
                  <a:gd name="connsiteX11" fmla="*/ 65838 w 200025"/>
                  <a:gd name="connsiteY11" fmla="*/ 4486572 h 4498149"/>
                  <a:gd name="connsiteX12" fmla="*/ 10990 w 200025"/>
                  <a:gd name="connsiteY12" fmla="*/ 4485212 h 4498149"/>
                  <a:gd name="connsiteX13" fmla="*/ 0 w 200025"/>
                  <a:gd name="connsiteY13" fmla="*/ 0 h 4498149"/>
                  <a:gd name="connsiteX14" fmla="*/ 57150 w 200025"/>
                  <a:gd name="connsiteY14" fmla="*/ 0 h 4498149"/>
                  <a:gd name="connsiteX0" fmla="*/ 57150 w 200025"/>
                  <a:gd name="connsiteY0" fmla="*/ 0 h 4498149"/>
                  <a:gd name="connsiteX1" fmla="*/ 57150 w 200025"/>
                  <a:gd name="connsiteY1" fmla="*/ 266700 h 4498149"/>
                  <a:gd name="connsiteX2" fmla="*/ 76200 w 200025"/>
                  <a:gd name="connsiteY2" fmla="*/ 304800 h 4498149"/>
                  <a:gd name="connsiteX3" fmla="*/ 114300 w 200025"/>
                  <a:gd name="connsiteY3" fmla="*/ 352425 h 4498149"/>
                  <a:gd name="connsiteX4" fmla="*/ 152400 w 200025"/>
                  <a:gd name="connsiteY4" fmla="*/ 371475 h 4498149"/>
                  <a:gd name="connsiteX5" fmla="*/ 180975 w 200025"/>
                  <a:gd name="connsiteY5" fmla="*/ 409575 h 4498149"/>
                  <a:gd name="connsiteX6" fmla="*/ 200025 w 200025"/>
                  <a:gd name="connsiteY6" fmla="*/ 485775 h 4498149"/>
                  <a:gd name="connsiteX7" fmla="*/ 200025 w 200025"/>
                  <a:gd name="connsiteY7" fmla="*/ 3971925 h 4498149"/>
                  <a:gd name="connsiteX8" fmla="*/ 171450 w 200025"/>
                  <a:gd name="connsiteY8" fmla="*/ 4057650 h 4498149"/>
                  <a:gd name="connsiteX9" fmla="*/ 104775 w 200025"/>
                  <a:gd name="connsiteY9" fmla="*/ 4144946 h 4498149"/>
                  <a:gd name="connsiteX10" fmla="*/ 59767 w 200025"/>
                  <a:gd name="connsiteY10" fmla="*/ 4200525 h 4498149"/>
                  <a:gd name="connsiteX11" fmla="*/ 65838 w 200025"/>
                  <a:gd name="connsiteY11" fmla="*/ 4486572 h 4498149"/>
                  <a:gd name="connsiteX12" fmla="*/ 10990 w 200025"/>
                  <a:gd name="connsiteY12" fmla="*/ 4485212 h 4498149"/>
                  <a:gd name="connsiteX13" fmla="*/ 0 w 200025"/>
                  <a:gd name="connsiteY13" fmla="*/ 0 h 4498149"/>
                  <a:gd name="connsiteX14" fmla="*/ 57150 w 200025"/>
                  <a:gd name="connsiteY14" fmla="*/ 0 h 4498149"/>
                  <a:gd name="connsiteX0" fmla="*/ 57150 w 200025"/>
                  <a:gd name="connsiteY0" fmla="*/ 0 h 4498149"/>
                  <a:gd name="connsiteX1" fmla="*/ 57150 w 200025"/>
                  <a:gd name="connsiteY1" fmla="*/ 266700 h 4498149"/>
                  <a:gd name="connsiteX2" fmla="*/ 76200 w 200025"/>
                  <a:gd name="connsiteY2" fmla="*/ 304800 h 4498149"/>
                  <a:gd name="connsiteX3" fmla="*/ 114300 w 200025"/>
                  <a:gd name="connsiteY3" fmla="*/ 352425 h 4498149"/>
                  <a:gd name="connsiteX4" fmla="*/ 152400 w 200025"/>
                  <a:gd name="connsiteY4" fmla="*/ 371475 h 4498149"/>
                  <a:gd name="connsiteX5" fmla="*/ 180975 w 200025"/>
                  <a:gd name="connsiteY5" fmla="*/ 409575 h 4498149"/>
                  <a:gd name="connsiteX6" fmla="*/ 200025 w 200025"/>
                  <a:gd name="connsiteY6" fmla="*/ 485775 h 4498149"/>
                  <a:gd name="connsiteX7" fmla="*/ 200025 w 200025"/>
                  <a:gd name="connsiteY7" fmla="*/ 3971925 h 4498149"/>
                  <a:gd name="connsiteX8" fmla="*/ 171450 w 200025"/>
                  <a:gd name="connsiteY8" fmla="*/ 4057650 h 4498149"/>
                  <a:gd name="connsiteX9" fmla="*/ 154449 w 200025"/>
                  <a:gd name="connsiteY9" fmla="*/ 4154223 h 4498149"/>
                  <a:gd name="connsiteX10" fmla="*/ 104775 w 200025"/>
                  <a:gd name="connsiteY10" fmla="*/ 4144946 h 4498149"/>
                  <a:gd name="connsiteX11" fmla="*/ 59767 w 200025"/>
                  <a:gd name="connsiteY11" fmla="*/ 4200525 h 4498149"/>
                  <a:gd name="connsiteX12" fmla="*/ 65838 w 200025"/>
                  <a:gd name="connsiteY12" fmla="*/ 4486572 h 4498149"/>
                  <a:gd name="connsiteX13" fmla="*/ 10990 w 200025"/>
                  <a:gd name="connsiteY13" fmla="*/ 4485212 h 4498149"/>
                  <a:gd name="connsiteX14" fmla="*/ 0 w 200025"/>
                  <a:gd name="connsiteY14" fmla="*/ 0 h 4498149"/>
                  <a:gd name="connsiteX15" fmla="*/ 57150 w 200025"/>
                  <a:gd name="connsiteY15" fmla="*/ 0 h 4498149"/>
                  <a:gd name="connsiteX0" fmla="*/ 57150 w 200025"/>
                  <a:gd name="connsiteY0" fmla="*/ 0 h 4498149"/>
                  <a:gd name="connsiteX1" fmla="*/ 57150 w 200025"/>
                  <a:gd name="connsiteY1" fmla="*/ 266700 h 4498149"/>
                  <a:gd name="connsiteX2" fmla="*/ 76200 w 200025"/>
                  <a:gd name="connsiteY2" fmla="*/ 304800 h 4498149"/>
                  <a:gd name="connsiteX3" fmla="*/ 114300 w 200025"/>
                  <a:gd name="connsiteY3" fmla="*/ 352425 h 4498149"/>
                  <a:gd name="connsiteX4" fmla="*/ 152400 w 200025"/>
                  <a:gd name="connsiteY4" fmla="*/ 371475 h 4498149"/>
                  <a:gd name="connsiteX5" fmla="*/ 180975 w 200025"/>
                  <a:gd name="connsiteY5" fmla="*/ 409575 h 4498149"/>
                  <a:gd name="connsiteX6" fmla="*/ 200025 w 200025"/>
                  <a:gd name="connsiteY6" fmla="*/ 485775 h 4498149"/>
                  <a:gd name="connsiteX7" fmla="*/ 200025 w 200025"/>
                  <a:gd name="connsiteY7" fmla="*/ 3971925 h 4498149"/>
                  <a:gd name="connsiteX8" fmla="*/ 171450 w 200025"/>
                  <a:gd name="connsiteY8" fmla="*/ 4057650 h 4498149"/>
                  <a:gd name="connsiteX9" fmla="*/ 148378 w 200025"/>
                  <a:gd name="connsiteY9" fmla="*/ 4114553 h 4498149"/>
                  <a:gd name="connsiteX10" fmla="*/ 104775 w 200025"/>
                  <a:gd name="connsiteY10" fmla="*/ 4144946 h 4498149"/>
                  <a:gd name="connsiteX11" fmla="*/ 59767 w 200025"/>
                  <a:gd name="connsiteY11" fmla="*/ 4200525 h 4498149"/>
                  <a:gd name="connsiteX12" fmla="*/ 65838 w 200025"/>
                  <a:gd name="connsiteY12" fmla="*/ 4486572 h 4498149"/>
                  <a:gd name="connsiteX13" fmla="*/ 10990 w 200025"/>
                  <a:gd name="connsiteY13" fmla="*/ 4485212 h 4498149"/>
                  <a:gd name="connsiteX14" fmla="*/ 0 w 200025"/>
                  <a:gd name="connsiteY14" fmla="*/ 0 h 4498149"/>
                  <a:gd name="connsiteX15" fmla="*/ 57150 w 200025"/>
                  <a:gd name="connsiteY15" fmla="*/ 0 h 4498149"/>
                  <a:gd name="connsiteX0" fmla="*/ 57150 w 200025"/>
                  <a:gd name="connsiteY0" fmla="*/ 0 h 4497810"/>
                  <a:gd name="connsiteX1" fmla="*/ 57150 w 200025"/>
                  <a:gd name="connsiteY1" fmla="*/ 266700 h 4497810"/>
                  <a:gd name="connsiteX2" fmla="*/ 76200 w 200025"/>
                  <a:gd name="connsiteY2" fmla="*/ 304800 h 4497810"/>
                  <a:gd name="connsiteX3" fmla="*/ 114300 w 200025"/>
                  <a:gd name="connsiteY3" fmla="*/ 352425 h 4497810"/>
                  <a:gd name="connsiteX4" fmla="*/ 152400 w 200025"/>
                  <a:gd name="connsiteY4" fmla="*/ 371475 h 4497810"/>
                  <a:gd name="connsiteX5" fmla="*/ 180975 w 200025"/>
                  <a:gd name="connsiteY5" fmla="*/ 409575 h 4497810"/>
                  <a:gd name="connsiteX6" fmla="*/ 200025 w 200025"/>
                  <a:gd name="connsiteY6" fmla="*/ 485775 h 4497810"/>
                  <a:gd name="connsiteX7" fmla="*/ 200025 w 200025"/>
                  <a:gd name="connsiteY7" fmla="*/ 3971925 h 4497810"/>
                  <a:gd name="connsiteX8" fmla="*/ 171450 w 200025"/>
                  <a:gd name="connsiteY8" fmla="*/ 4057650 h 4497810"/>
                  <a:gd name="connsiteX9" fmla="*/ 148378 w 200025"/>
                  <a:gd name="connsiteY9" fmla="*/ 4114553 h 4497810"/>
                  <a:gd name="connsiteX10" fmla="*/ 104775 w 200025"/>
                  <a:gd name="connsiteY10" fmla="*/ 4144946 h 4497810"/>
                  <a:gd name="connsiteX11" fmla="*/ 77981 w 200025"/>
                  <a:gd name="connsiteY11" fmla="*/ 4206192 h 4497810"/>
                  <a:gd name="connsiteX12" fmla="*/ 65838 w 200025"/>
                  <a:gd name="connsiteY12" fmla="*/ 4486572 h 4497810"/>
                  <a:gd name="connsiteX13" fmla="*/ 10990 w 200025"/>
                  <a:gd name="connsiteY13" fmla="*/ 4485212 h 4497810"/>
                  <a:gd name="connsiteX14" fmla="*/ 0 w 200025"/>
                  <a:gd name="connsiteY14" fmla="*/ 0 h 4497810"/>
                  <a:gd name="connsiteX15" fmla="*/ 57150 w 200025"/>
                  <a:gd name="connsiteY15" fmla="*/ 0 h 4497810"/>
                  <a:gd name="connsiteX0" fmla="*/ 57150 w 200025"/>
                  <a:gd name="connsiteY0" fmla="*/ 0 h 4497810"/>
                  <a:gd name="connsiteX1" fmla="*/ 57150 w 200025"/>
                  <a:gd name="connsiteY1" fmla="*/ 266700 h 4497810"/>
                  <a:gd name="connsiteX2" fmla="*/ 76200 w 200025"/>
                  <a:gd name="connsiteY2" fmla="*/ 304800 h 4497810"/>
                  <a:gd name="connsiteX3" fmla="*/ 114300 w 200025"/>
                  <a:gd name="connsiteY3" fmla="*/ 352425 h 4497810"/>
                  <a:gd name="connsiteX4" fmla="*/ 152400 w 200025"/>
                  <a:gd name="connsiteY4" fmla="*/ 371475 h 4497810"/>
                  <a:gd name="connsiteX5" fmla="*/ 180975 w 200025"/>
                  <a:gd name="connsiteY5" fmla="*/ 409575 h 4497810"/>
                  <a:gd name="connsiteX6" fmla="*/ 200025 w 200025"/>
                  <a:gd name="connsiteY6" fmla="*/ 485775 h 4497810"/>
                  <a:gd name="connsiteX7" fmla="*/ 200025 w 200025"/>
                  <a:gd name="connsiteY7" fmla="*/ 3971925 h 4497810"/>
                  <a:gd name="connsiteX8" fmla="*/ 171450 w 200025"/>
                  <a:gd name="connsiteY8" fmla="*/ 4057650 h 4497810"/>
                  <a:gd name="connsiteX9" fmla="*/ 148378 w 200025"/>
                  <a:gd name="connsiteY9" fmla="*/ 4114553 h 4497810"/>
                  <a:gd name="connsiteX10" fmla="*/ 104775 w 200025"/>
                  <a:gd name="connsiteY10" fmla="*/ 4144946 h 4497810"/>
                  <a:gd name="connsiteX11" fmla="*/ 65840 w 200025"/>
                  <a:gd name="connsiteY11" fmla="*/ 4206192 h 4497810"/>
                  <a:gd name="connsiteX12" fmla="*/ 65838 w 200025"/>
                  <a:gd name="connsiteY12" fmla="*/ 4486572 h 4497810"/>
                  <a:gd name="connsiteX13" fmla="*/ 10990 w 200025"/>
                  <a:gd name="connsiteY13" fmla="*/ 4485212 h 4497810"/>
                  <a:gd name="connsiteX14" fmla="*/ 0 w 200025"/>
                  <a:gd name="connsiteY14" fmla="*/ 0 h 4497810"/>
                  <a:gd name="connsiteX15" fmla="*/ 57150 w 200025"/>
                  <a:gd name="connsiteY15" fmla="*/ 0 h 4497810"/>
                  <a:gd name="connsiteX0" fmla="*/ 57150 w 200025"/>
                  <a:gd name="connsiteY0" fmla="*/ 0 h 4498149"/>
                  <a:gd name="connsiteX1" fmla="*/ 57150 w 200025"/>
                  <a:gd name="connsiteY1" fmla="*/ 266700 h 4498149"/>
                  <a:gd name="connsiteX2" fmla="*/ 76200 w 200025"/>
                  <a:gd name="connsiteY2" fmla="*/ 304800 h 4498149"/>
                  <a:gd name="connsiteX3" fmla="*/ 114300 w 200025"/>
                  <a:gd name="connsiteY3" fmla="*/ 352425 h 4498149"/>
                  <a:gd name="connsiteX4" fmla="*/ 152400 w 200025"/>
                  <a:gd name="connsiteY4" fmla="*/ 371475 h 4498149"/>
                  <a:gd name="connsiteX5" fmla="*/ 180975 w 200025"/>
                  <a:gd name="connsiteY5" fmla="*/ 409575 h 4498149"/>
                  <a:gd name="connsiteX6" fmla="*/ 200025 w 200025"/>
                  <a:gd name="connsiteY6" fmla="*/ 485775 h 4498149"/>
                  <a:gd name="connsiteX7" fmla="*/ 200025 w 200025"/>
                  <a:gd name="connsiteY7" fmla="*/ 3971925 h 4498149"/>
                  <a:gd name="connsiteX8" fmla="*/ 171450 w 200025"/>
                  <a:gd name="connsiteY8" fmla="*/ 4057650 h 4498149"/>
                  <a:gd name="connsiteX9" fmla="*/ 148378 w 200025"/>
                  <a:gd name="connsiteY9" fmla="*/ 4114553 h 4498149"/>
                  <a:gd name="connsiteX10" fmla="*/ 104775 w 200025"/>
                  <a:gd name="connsiteY10" fmla="*/ 4144946 h 4498149"/>
                  <a:gd name="connsiteX11" fmla="*/ 71911 w 200025"/>
                  <a:gd name="connsiteY11" fmla="*/ 4200525 h 4498149"/>
                  <a:gd name="connsiteX12" fmla="*/ 65838 w 200025"/>
                  <a:gd name="connsiteY12" fmla="*/ 4486572 h 4498149"/>
                  <a:gd name="connsiteX13" fmla="*/ 10990 w 200025"/>
                  <a:gd name="connsiteY13" fmla="*/ 4485212 h 4498149"/>
                  <a:gd name="connsiteX14" fmla="*/ 0 w 200025"/>
                  <a:gd name="connsiteY14" fmla="*/ 0 h 4498149"/>
                  <a:gd name="connsiteX15" fmla="*/ 57150 w 200025"/>
                  <a:gd name="connsiteY15" fmla="*/ 0 h 4498149"/>
                  <a:gd name="connsiteX0" fmla="*/ 57150 w 200025"/>
                  <a:gd name="connsiteY0" fmla="*/ 0 h 4498149"/>
                  <a:gd name="connsiteX1" fmla="*/ 57150 w 200025"/>
                  <a:gd name="connsiteY1" fmla="*/ 266700 h 4498149"/>
                  <a:gd name="connsiteX2" fmla="*/ 76200 w 200025"/>
                  <a:gd name="connsiteY2" fmla="*/ 304800 h 4498149"/>
                  <a:gd name="connsiteX3" fmla="*/ 114300 w 200025"/>
                  <a:gd name="connsiteY3" fmla="*/ 352425 h 4498149"/>
                  <a:gd name="connsiteX4" fmla="*/ 152400 w 200025"/>
                  <a:gd name="connsiteY4" fmla="*/ 371475 h 4498149"/>
                  <a:gd name="connsiteX5" fmla="*/ 180975 w 200025"/>
                  <a:gd name="connsiteY5" fmla="*/ 409575 h 4498149"/>
                  <a:gd name="connsiteX6" fmla="*/ 200025 w 200025"/>
                  <a:gd name="connsiteY6" fmla="*/ 485775 h 4498149"/>
                  <a:gd name="connsiteX7" fmla="*/ 200025 w 200025"/>
                  <a:gd name="connsiteY7" fmla="*/ 3971925 h 4498149"/>
                  <a:gd name="connsiteX8" fmla="*/ 195735 w 200025"/>
                  <a:gd name="connsiteY8" fmla="*/ 4051983 h 4498149"/>
                  <a:gd name="connsiteX9" fmla="*/ 148378 w 200025"/>
                  <a:gd name="connsiteY9" fmla="*/ 4114553 h 4498149"/>
                  <a:gd name="connsiteX10" fmla="*/ 104775 w 200025"/>
                  <a:gd name="connsiteY10" fmla="*/ 4144946 h 4498149"/>
                  <a:gd name="connsiteX11" fmla="*/ 71911 w 200025"/>
                  <a:gd name="connsiteY11" fmla="*/ 4200525 h 4498149"/>
                  <a:gd name="connsiteX12" fmla="*/ 65838 w 200025"/>
                  <a:gd name="connsiteY12" fmla="*/ 4486572 h 4498149"/>
                  <a:gd name="connsiteX13" fmla="*/ 10990 w 200025"/>
                  <a:gd name="connsiteY13" fmla="*/ 4485212 h 4498149"/>
                  <a:gd name="connsiteX14" fmla="*/ 0 w 200025"/>
                  <a:gd name="connsiteY14" fmla="*/ 0 h 4498149"/>
                  <a:gd name="connsiteX15" fmla="*/ 57150 w 200025"/>
                  <a:gd name="connsiteY15" fmla="*/ 0 h 4498149"/>
                  <a:gd name="connsiteX0" fmla="*/ 57150 w 200025"/>
                  <a:gd name="connsiteY0" fmla="*/ 0 h 4498149"/>
                  <a:gd name="connsiteX1" fmla="*/ 57150 w 200025"/>
                  <a:gd name="connsiteY1" fmla="*/ 266700 h 4498149"/>
                  <a:gd name="connsiteX2" fmla="*/ 76200 w 200025"/>
                  <a:gd name="connsiteY2" fmla="*/ 304800 h 4498149"/>
                  <a:gd name="connsiteX3" fmla="*/ 114300 w 200025"/>
                  <a:gd name="connsiteY3" fmla="*/ 352425 h 4498149"/>
                  <a:gd name="connsiteX4" fmla="*/ 152400 w 200025"/>
                  <a:gd name="connsiteY4" fmla="*/ 371475 h 4498149"/>
                  <a:gd name="connsiteX5" fmla="*/ 180975 w 200025"/>
                  <a:gd name="connsiteY5" fmla="*/ 409575 h 4498149"/>
                  <a:gd name="connsiteX6" fmla="*/ 200025 w 200025"/>
                  <a:gd name="connsiteY6" fmla="*/ 485775 h 4498149"/>
                  <a:gd name="connsiteX7" fmla="*/ 200025 w 200025"/>
                  <a:gd name="connsiteY7" fmla="*/ 3971925 h 4498149"/>
                  <a:gd name="connsiteX8" fmla="*/ 183593 w 200025"/>
                  <a:gd name="connsiteY8" fmla="*/ 4068985 h 4498149"/>
                  <a:gd name="connsiteX9" fmla="*/ 148378 w 200025"/>
                  <a:gd name="connsiteY9" fmla="*/ 4114553 h 4498149"/>
                  <a:gd name="connsiteX10" fmla="*/ 104775 w 200025"/>
                  <a:gd name="connsiteY10" fmla="*/ 4144946 h 4498149"/>
                  <a:gd name="connsiteX11" fmla="*/ 71911 w 200025"/>
                  <a:gd name="connsiteY11" fmla="*/ 4200525 h 4498149"/>
                  <a:gd name="connsiteX12" fmla="*/ 65838 w 200025"/>
                  <a:gd name="connsiteY12" fmla="*/ 4486572 h 4498149"/>
                  <a:gd name="connsiteX13" fmla="*/ 10990 w 200025"/>
                  <a:gd name="connsiteY13" fmla="*/ 4485212 h 4498149"/>
                  <a:gd name="connsiteX14" fmla="*/ 0 w 200025"/>
                  <a:gd name="connsiteY14" fmla="*/ 0 h 4498149"/>
                  <a:gd name="connsiteX15" fmla="*/ 57150 w 200025"/>
                  <a:gd name="connsiteY15" fmla="*/ 0 h 4498149"/>
                  <a:gd name="connsiteX0" fmla="*/ 57150 w 200025"/>
                  <a:gd name="connsiteY0" fmla="*/ 0 h 4499506"/>
                  <a:gd name="connsiteX1" fmla="*/ 57150 w 200025"/>
                  <a:gd name="connsiteY1" fmla="*/ 266700 h 4499506"/>
                  <a:gd name="connsiteX2" fmla="*/ 76200 w 200025"/>
                  <a:gd name="connsiteY2" fmla="*/ 304800 h 4499506"/>
                  <a:gd name="connsiteX3" fmla="*/ 114300 w 200025"/>
                  <a:gd name="connsiteY3" fmla="*/ 352425 h 4499506"/>
                  <a:gd name="connsiteX4" fmla="*/ 152400 w 200025"/>
                  <a:gd name="connsiteY4" fmla="*/ 371475 h 4499506"/>
                  <a:gd name="connsiteX5" fmla="*/ 180975 w 200025"/>
                  <a:gd name="connsiteY5" fmla="*/ 409575 h 4499506"/>
                  <a:gd name="connsiteX6" fmla="*/ 200025 w 200025"/>
                  <a:gd name="connsiteY6" fmla="*/ 485775 h 4499506"/>
                  <a:gd name="connsiteX7" fmla="*/ 200025 w 200025"/>
                  <a:gd name="connsiteY7" fmla="*/ 3971925 h 4499506"/>
                  <a:gd name="connsiteX8" fmla="*/ 183593 w 200025"/>
                  <a:gd name="connsiteY8" fmla="*/ 4068985 h 4499506"/>
                  <a:gd name="connsiteX9" fmla="*/ 148378 w 200025"/>
                  <a:gd name="connsiteY9" fmla="*/ 4114553 h 4499506"/>
                  <a:gd name="connsiteX10" fmla="*/ 104775 w 200025"/>
                  <a:gd name="connsiteY10" fmla="*/ 4144946 h 4499506"/>
                  <a:gd name="connsiteX11" fmla="*/ 71911 w 200025"/>
                  <a:gd name="connsiteY11" fmla="*/ 4200525 h 4499506"/>
                  <a:gd name="connsiteX12" fmla="*/ 65838 w 200025"/>
                  <a:gd name="connsiteY12" fmla="*/ 4486572 h 4499506"/>
                  <a:gd name="connsiteX13" fmla="*/ 10990 w 200025"/>
                  <a:gd name="connsiteY13" fmla="*/ 4494217 h 4499506"/>
                  <a:gd name="connsiteX14" fmla="*/ 0 w 200025"/>
                  <a:gd name="connsiteY14" fmla="*/ 0 h 4499506"/>
                  <a:gd name="connsiteX15" fmla="*/ 57150 w 200025"/>
                  <a:gd name="connsiteY15" fmla="*/ 0 h 4499506"/>
                  <a:gd name="connsiteX0" fmla="*/ 57150 w 200025"/>
                  <a:gd name="connsiteY0" fmla="*/ 0 h 4509997"/>
                  <a:gd name="connsiteX1" fmla="*/ 57150 w 200025"/>
                  <a:gd name="connsiteY1" fmla="*/ 266700 h 4509997"/>
                  <a:gd name="connsiteX2" fmla="*/ 76200 w 200025"/>
                  <a:gd name="connsiteY2" fmla="*/ 304800 h 4509997"/>
                  <a:gd name="connsiteX3" fmla="*/ 114300 w 200025"/>
                  <a:gd name="connsiteY3" fmla="*/ 352425 h 4509997"/>
                  <a:gd name="connsiteX4" fmla="*/ 152400 w 200025"/>
                  <a:gd name="connsiteY4" fmla="*/ 371475 h 4509997"/>
                  <a:gd name="connsiteX5" fmla="*/ 180975 w 200025"/>
                  <a:gd name="connsiteY5" fmla="*/ 409575 h 4509997"/>
                  <a:gd name="connsiteX6" fmla="*/ 200025 w 200025"/>
                  <a:gd name="connsiteY6" fmla="*/ 485775 h 4509997"/>
                  <a:gd name="connsiteX7" fmla="*/ 200025 w 200025"/>
                  <a:gd name="connsiteY7" fmla="*/ 3971925 h 4509997"/>
                  <a:gd name="connsiteX8" fmla="*/ 183593 w 200025"/>
                  <a:gd name="connsiteY8" fmla="*/ 4068985 h 4509997"/>
                  <a:gd name="connsiteX9" fmla="*/ 148378 w 200025"/>
                  <a:gd name="connsiteY9" fmla="*/ 4114553 h 4509997"/>
                  <a:gd name="connsiteX10" fmla="*/ 104775 w 200025"/>
                  <a:gd name="connsiteY10" fmla="*/ 4144946 h 4509997"/>
                  <a:gd name="connsiteX11" fmla="*/ 71911 w 200025"/>
                  <a:gd name="connsiteY11" fmla="*/ 4200525 h 4509997"/>
                  <a:gd name="connsiteX12" fmla="*/ 65838 w 200025"/>
                  <a:gd name="connsiteY12" fmla="*/ 4486572 h 4509997"/>
                  <a:gd name="connsiteX13" fmla="*/ 10990 w 200025"/>
                  <a:gd name="connsiteY13" fmla="*/ 4494217 h 4509997"/>
                  <a:gd name="connsiteX14" fmla="*/ 0 w 200025"/>
                  <a:gd name="connsiteY14" fmla="*/ 0 h 4509997"/>
                  <a:gd name="connsiteX15" fmla="*/ 57150 w 200025"/>
                  <a:gd name="connsiteY15" fmla="*/ 0 h 4509997"/>
                  <a:gd name="connsiteX0" fmla="*/ 57150 w 200025"/>
                  <a:gd name="connsiteY0" fmla="*/ 0 h 4509998"/>
                  <a:gd name="connsiteX1" fmla="*/ 57150 w 200025"/>
                  <a:gd name="connsiteY1" fmla="*/ 266700 h 4509998"/>
                  <a:gd name="connsiteX2" fmla="*/ 76200 w 200025"/>
                  <a:gd name="connsiteY2" fmla="*/ 304800 h 4509998"/>
                  <a:gd name="connsiteX3" fmla="*/ 114300 w 200025"/>
                  <a:gd name="connsiteY3" fmla="*/ 352425 h 4509998"/>
                  <a:gd name="connsiteX4" fmla="*/ 152400 w 200025"/>
                  <a:gd name="connsiteY4" fmla="*/ 371475 h 4509998"/>
                  <a:gd name="connsiteX5" fmla="*/ 180975 w 200025"/>
                  <a:gd name="connsiteY5" fmla="*/ 409575 h 4509998"/>
                  <a:gd name="connsiteX6" fmla="*/ 200025 w 200025"/>
                  <a:gd name="connsiteY6" fmla="*/ 485775 h 4509998"/>
                  <a:gd name="connsiteX7" fmla="*/ 200025 w 200025"/>
                  <a:gd name="connsiteY7" fmla="*/ 3971925 h 4509998"/>
                  <a:gd name="connsiteX8" fmla="*/ 183593 w 200025"/>
                  <a:gd name="connsiteY8" fmla="*/ 4068985 h 4509998"/>
                  <a:gd name="connsiteX9" fmla="*/ 148378 w 200025"/>
                  <a:gd name="connsiteY9" fmla="*/ 4114553 h 4509998"/>
                  <a:gd name="connsiteX10" fmla="*/ 104775 w 200025"/>
                  <a:gd name="connsiteY10" fmla="*/ 4144946 h 4509998"/>
                  <a:gd name="connsiteX11" fmla="*/ 71911 w 200025"/>
                  <a:gd name="connsiteY11" fmla="*/ 4200525 h 4509998"/>
                  <a:gd name="connsiteX12" fmla="*/ 65838 w 200025"/>
                  <a:gd name="connsiteY12" fmla="*/ 4486572 h 4509998"/>
                  <a:gd name="connsiteX13" fmla="*/ 10990 w 200025"/>
                  <a:gd name="connsiteY13" fmla="*/ 4494217 h 4509998"/>
                  <a:gd name="connsiteX14" fmla="*/ 0 w 200025"/>
                  <a:gd name="connsiteY14" fmla="*/ 0 h 4509998"/>
                  <a:gd name="connsiteX15" fmla="*/ 57150 w 200025"/>
                  <a:gd name="connsiteY15" fmla="*/ 0 h 4509998"/>
                  <a:gd name="connsiteX0" fmla="*/ 57150 w 200025"/>
                  <a:gd name="connsiteY0" fmla="*/ 0 h 4508446"/>
                  <a:gd name="connsiteX1" fmla="*/ 57150 w 200025"/>
                  <a:gd name="connsiteY1" fmla="*/ 266700 h 4508446"/>
                  <a:gd name="connsiteX2" fmla="*/ 76200 w 200025"/>
                  <a:gd name="connsiteY2" fmla="*/ 304800 h 4508446"/>
                  <a:gd name="connsiteX3" fmla="*/ 114300 w 200025"/>
                  <a:gd name="connsiteY3" fmla="*/ 352425 h 4508446"/>
                  <a:gd name="connsiteX4" fmla="*/ 152400 w 200025"/>
                  <a:gd name="connsiteY4" fmla="*/ 371475 h 4508446"/>
                  <a:gd name="connsiteX5" fmla="*/ 180975 w 200025"/>
                  <a:gd name="connsiteY5" fmla="*/ 409575 h 4508446"/>
                  <a:gd name="connsiteX6" fmla="*/ 200025 w 200025"/>
                  <a:gd name="connsiteY6" fmla="*/ 485775 h 4508446"/>
                  <a:gd name="connsiteX7" fmla="*/ 200025 w 200025"/>
                  <a:gd name="connsiteY7" fmla="*/ 3971925 h 4508446"/>
                  <a:gd name="connsiteX8" fmla="*/ 183593 w 200025"/>
                  <a:gd name="connsiteY8" fmla="*/ 4068985 h 4508446"/>
                  <a:gd name="connsiteX9" fmla="*/ 148378 w 200025"/>
                  <a:gd name="connsiteY9" fmla="*/ 4114553 h 4508446"/>
                  <a:gd name="connsiteX10" fmla="*/ 104775 w 200025"/>
                  <a:gd name="connsiteY10" fmla="*/ 4144946 h 4508446"/>
                  <a:gd name="connsiteX11" fmla="*/ 71911 w 200025"/>
                  <a:gd name="connsiteY11" fmla="*/ 4200525 h 4508446"/>
                  <a:gd name="connsiteX12" fmla="*/ 68205 w 200025"/>
                  <a:gd name="connsiteY12" fmla="*/ 4484322 h 4508446"/>
                  <a:gd name="connsiteX13" fmla="*/ 10990 w 200025"/>
                  <a:gd name="connsiteY13" fmla="*/ 4494217 h 4508446"/>
                  <a:gd name="connsiteX14" fmla="*/ 0 w 200025"/>
                  <a:gd name="connsiteY14" fmla="*/ 0 h 4508446"/>
                  <a:gd name="connsiteX15" fmla="*/ 57150 w 200025"/>
                  <a:gd name="connsiteY15" fmla="*/ 0 h 4508446"/>
                  <a:gd name="connsiteX0" fmla="*/ 57150 w 200025"/>
                  <a:gd name="connsiteY0" fmla="*/ 0 h 4497757"/>
                  <a:gd name="connsiteX1" fmla="*/ 57150 w 200025"/>
                  <a:gd name="connsiteY1" fmla="*/ 266700 h 4497757"/>
                  <a:gd name="connsiteX2" fmla="*/ 76200 w 200025"/>
                  <a:gd name="connsiteY2" fmla="*/ 304800 h 4497757"/>
                  <a:gd name="connsiteX3" fmla="*/ 114300 w 200025"/>
                  <a:gd name="connsiteY3" fmla="*/ 352425 h 4497757"/>
                  <a:gd name="connsiteX4" fmla="*/ 152400 w 200025"/>
                  <a:gd name="connsiteY4" fmla="*/ 371475 h 4497757"/>
                  <a:gd name="connsiteX5" fmla="*/ 180975 w 200025"/>
                  <a:gd name="connsiteY5" fmla="*/ 409575 h 4497757"/>
                  <a:gd name="connsiteX6" fmla="*/ 200025 w 200025"/>
                  <a:gd name="connsiteY6" fmla="*/ 485775 h 4497757"/>
                  <a:gd name="connsiteX7" fmla="*/ 200025 w 200025"/>
                  <a:gd name="connsiteY7" fmla="*/ 3971925 h 4497757"/>
                  <a:gd name="connsiteX8" fmla="*/ 183593 w 200025"/>
                  <a:gd name="connsiteY8" fmla="*/ 4068985 h 4497757"/>
                  <a:gd name="connsiteX9" fmla="*/ 148378 w 200025"/>
                  <a:gd name="connsiteY9" fmla="*/ 4114553 h 4497757"/>
                  <a:gd name="connsiteX10" fmla="*/ 104775 w 200025"/>
                  <a:gd name="connsiteY10" fmla="*/ 4144946 h 4497757"/>
                  <a:gd name="connsiteX11" fmla="*/ 71911 w 200025"/>
                  <a:gd name="connsiteY11" fmla="*/ 4200525 h 4497757"/>
                  <a:gd name="connsiteX12" fmla="*/ 68205 w 200025"/>
                  <a:gd name="connsiteY12" fmla="*/ 4484322 h 4497757"/>
                  <a:gd name="connsiteX13" fmla="*/ 10990 w 200025"/>
                  <a:gd name="connsiteY13" fmla="*/ 4494217 h 4497757"/>
                  <a:gd name="connsiteX14" fmla="*/ 0 w 200025"/>
                  <a:gd name="connsiteY14" fmla="*/ 0 h 4497757"/>
                  <a:gd name="connsiteX15" fmla="*/ 57150 w 200025"/>
                  <a:gd name="connsiteY15" fmla="*/ 0 h 4497757"/>
                  <a:gd name="connsiteX0" fmla="*/ 57150 w 200025"/>
                  <a:gd name="connsiteY0" fmla="*/ 0 h 4498002"/>
                  <a:gd name="connsiteX1" fmla="*/ 57150 w 200025"/>
                  <a:gd name="connsiteY1" fmla="*/ 266700 h 4498002"/>
                  <a:gd name="connsiteX2" fmla="*/ 76200 w 200025"/>
                  <a:gd name="connsiteY2" fmla="*/ 304800 h 4498002"/>
                  <a:gd name="connsiteX3" fmla="*/ 114300 w 200025"/>
                  <a:gd name="connsiteY3" fmla="*/ 352425 h 4498002"/>
                  <a:gd name="connsiteX4" fmla="*/ 152400 w 200025"/>
                  <a:gd name="connsiteY4" fmla="*/ 371475 h 4498002"/>
                  <a:gd name="connsiteX5" fmla="*/ 180975 w 200025"/>
                  <a:gd name="connsiteY5" fmla="*/ 409575 h 4498002"/>
                  <a:gd name="connsiteX6" fmla="*/ 200025 w 200025"/>
                  <a:gd name="connsiteY6" fmla="*/ 485775 h 4498002"/>
                  <a:gd name="connsiteX7" fmla="*/ 200025 w 200025"/>
                  <a:gd name="connsiteY7" fmla="*/ 3971925 h 4498002"/>
                  <a:gd name="connsiteX8" fmla="*/ 183593 w 200025"/>
                  <a:gd name="connsiteY8" fmla="*/ 4068985 h 4498002"/>
                  <a:gd name="connsiteX9" fmla="*/ 148378 w 200025"/>
                  <a:gd name="connsiteY9" fmla="*/ 4114553 h 4498002"/>
                  <a:gd name="connsiteX10" fmla="*/ 104775 w 200025"/>
                  <a:gd name="connsiteY10" fmla="*/ 4144946 h 4498002"/>
                  <a:gd name="connsiteX11" fmla="*/ 71911 w 200025"/>
                  <a:gd name="connsiteY11" fmla="*/ 4200525 h 4498002"/>
                  <a:gd name="connsiteX12" fmla="*/ 68205 w 200025"/>
                  <a:gd name="connsiteY12" fmla="*/ 4484322 h 4498002"/>
                  <a:gd name="connsiteX13" fmla="*/ 10990 w 200025"/>
                  <a:gd name="connsiteY13" fmla="*/ 4494217 h 4498002"/>
                  <a:gd name="connsiteX14" fmla="*/ 0 w 200025"/>
                  <a:gd name="connsiteY14" fmla="*/ 0 h 4498002"/>
                  <a:gd name="connsiteX15" fmla="*/ 57150 w 200025"/>
                  <a:gd name="connsiteY15" fmla="*/ 0 h 4498002"/>
                  <a:gd name="connsiteX0" fmla="*/ 57150 w 200025"/>
                  <a:gd name="connsiteY0" fmla="*/ 0 h 4494217"/>
                  <a:gd name="connsiteX1" fmla="*/ 57150 w 200025"/>
                  <a:gd name="connsiteY1" fmla="*/ 266700 h 4494217"/>
                  <a:gd name="connsiteX2" fmla="*/ 76200 w 200025"/>
                  <a:gd name="connsiteY2" fmla="*/ 304800 h 4494217"/>
                  <a:gd name="connsiteX3" fmla="*/ 114300 w 200025"/>
                  <a:gd name="connsiteY3" fmla="*/ 352425 h 4494217"/>
                  <a:gd name="connsiteX4" fmla="*/ 152400 w 200025"/>
                  <a:gd name="connsiteY4" fmla="*/ 371475 h 4494217"/>
                  <a:gd name="connsiteX5" fmla="*/ 180975 w 200025"/>
                  <a:gd name="connsiteY5" fmla="*/ 409575 h 4494217"/>
                  <a:gd name="connsiteX6" fmla="*/ 200025 w 200025"/>
                  <a:gd name="connsiteY6" fmla="*/ 485775 h 4494217"/>
                  <a:gd name="connsiteX7" fmla="*/ 200025 w 200025"/>
                  <a:gd name="connsiteY7" fmla="*/ 3971925 h 4494217"/>
                  <a:gd name="connsiteX8" fmla="*/ 183593 w 200025"/>
                  <a:gd name="connsiteY8" fmla="*/ 4068985 h 4494217"/>
                  <a:gd name="connsiteX9" fmla="*/ 148378 w 200025"/>
                  <a:gd name="connsiteY9" fmla="*/ 4114553 h 4494217"/>
                  <a:gd name="connsiteX10" fmla="*/ 104775 w 200025"/>
                  <a:gd name="connsiteY10" fmla="*/ 4144946 h 4494217"/>
                  <a:gd name="connsiteX11" fmla="*/ 71911 w 200025"/>
                  <a:gd name="connsiteY11" fmla="*/ 4200525 h 4494217"/>
                  <a:gd name="connsiteX12" fmla="*/ 68205 w 200025"/>
                  <a:gd name="connsiteY12" fmla="*/ 4484322 h 4494217"/>
                  <a:gd name="connsiteX13" fmla="*/ 10990 w 200025"/>
                  <a:gd name="connsiteY13" fmla="*/ 4494217 h 4494217"/>
                  <a:gd name="connsiteX14" fmla="*/ 0 w 200025"/>
                  <a:gd name="connsiteY14" fmla="*/ 0 h 4494217"/>
                  <a:gd name="connsiteX15" fmla="*/ 57150 w 200025"/>
                  <a:gd name="connsiteY15" fmla="*/ 0 h 4494217"/>
                  <a:gd name="connsiteX0" fmla="*/ 57150 w 200025"/>
                  <a:gd name="connsiteY0" fmla="*/ 0 h 4494217"/>
                  <a:gd name="connsiteX1" fmla="*/ 57150 w 200025"/>
                  <a:gd name="connsiteY1" fmla="*/ 266700 h 4494217"/>
                  <a:gd name="connsiteX2" fmla="*/ 76200 w 200025"/>
                  <a:gd name="connsiteY2" fmla="*/ 304800 h 4494217"/>
                  <a:gd name="connsiteX3" fmla="*/ 114300 w 200025"/>
                  <a:gd name="connsiteY3" fmla="*/ 352425 h 4494217"/>
                  <a:gd name="connsiteX4" fmla="*/ 152400 w 200025"/>
                  <a:gd name="connsiteY4" fmla="*/ 371475 h 4494217"/>
                  <a:gd name="connsiteX5" fmla="*/ 180975 w 200025"/>
                  <a:gd name="connsiteY5" fmla="*/ 409575 h 4494217"/>
                  <a:gd name="connsiteX6" fmla="*/ 200025 w 200025"/>
                  <a:gd name="connsiteY6" fmla="*/ 485775 h 4494217"/>
                  <a:gd name="connsiteX7" fmla="*/ 200025 w 200025"/>
                  <a:gd name="connsiteY7" fmla="*/ 3971925 h 4494217"/>
                  <a:gd name="connsiteX8" fmla="*/ 183593 w 200025"/>
                  <a:gd name="connsiteY8" fmla="*/ 4068985 h 4494217"/>
                  <a:gd name="connsiteX9" fmla="*/ 148378 w 200025"/>
                  <a:gd name="connsiteY9" fmla="*/ 4114553 h 4494217"/>
                  <a:gd name="connsiteX10" fmla="*/ 104775 w 200025"/>
                  <a:gd name="connsiteY10" fmla="*/ 4144946 h 4494217"/>
                  <a:gd name="connsiteX11" fmla="*/ 71911 w 200025"/>
                  <a:gd name="connsiteY11" fmla="*/ 4200525 h 4494217"/>
                  <a:gd name="connsiteX12" fmla="*/ 68205 w 200025"/>
                  <a:gd name="connsiteY12" fmla="*/ 4484322 h 4494217"/>
                  <a:gd name="connsiteX13" fmla="*/ 10990 w 200025"/>
                  <a:gd name="connsiteY13" fmla="*/ 4494217 h 4494217"/>
                  <a:gd name="connsiteX14" fmla="*/ 0 w 200025"/>
                  <a:gd name="connsiteY14" fmla="*/ 0 h 4494217"/>
                  <a:gd name="connsiteX15" fmla="*/ 57150 w 200025"/>
                  <a:gd name="connsiteY15" fmla="*/ 0 h 4494217"/>
                  <a:gd name="connsiteX0" fmla="*/ 66176 w 209051"/>
                  <a:gd name="connsiteY0" fmla="*/ 0 h 4506182"/>
                  <a:gd name="connsiteX1" fmla="*/ 66176 w 209051"/>
                  <a:gd name="connsiteY1" fmla="*/ 266700 h 4506182"/>
                  <a:gd name="connsiteX2" fmla="*/ 85226 w 209051"/>
                  <a:gd name="connsiteY2" fmla="*/ 304800 h 4506182"/>
                  <a:gd name="connsiteX3" fmla="*/ 123326 w 209051"/>
                  <a:gd name="connsiteY3" fmla="*/ 352425 h 4506182"/>
                  <a:gd name="connsiteX4" fmla="*/ 161426 w 209051"/>
                  <a:gd name="connsiteY4" fmla="*/ 371475 h 4506182"/>
                  <a:gd name="connsiteX5" fmla="*/ 190001 w 209051"/>
                  <a:gd name="connsiteY5" fmla="*/ 409575 h 4506182"/>
                  <a:gd name="connsiteX6" fmla="*/ 209051 w 209051"/>
                  <a:gd name="connsiteY6" fmla="*/ 485775 h 4506182"/>
                  <a:gd name="connsiteX7" fmla="*/ 209051 w 209051"/>
                  <a:gd name="connsiteY7" fmla="*/ 3971925 h 4506182"/>
                  <a:gd name="connsiteX8" fmla="*/ 192619 w 209051"/>
                  <a:gd name="connsiteY8" fmla="*/ 4068985 h 4506182"/>
                  <a:gd name="connsiteX9" fmla="*/ 157404 w 209051"/>
                  <a:gd name="connsiteY9" fmla="*/ 4114553 h 4506182"/>
                  <a:gd name="connsiteX10" fmla="*/ 113801 w 209051"/>
                  <a:gd name="connsiteY10" fmla="*/ 4144946 h 4506182"/>
                  <a:gd name="connsiteX11" fmla="*/ 80937 w 209051"/>
                  <a:gd name="connsiteY11" fmla="*/ 4200525 h 4506182"/>
                  <a:gd name="connsiteX12" fmla="*/ 77231 w 209051"/>
                  <a:gd name="connsiteY12" fmla="*/ 4484322 h 4506182"/>
                  <a:gd name="connsiteX13" fmla="*/ 555 w 209051"/>
                  <a:gd name="connsiteY13" fmla="*/ 4488095 h 4506182"/>
                  <a:gd name="connsiteX14" fmla="*/ 9026 w 209051"/>
                  <a:gd name="connsiteY14" fmla="*/ 0 h 4506182"/>
                  <a:gd name="connsiteX15" fmla="*/ 66176 w 209051"/>
                  <a:gd name="connsiteY15" fmla="*/ 0 h 4506182"/>
                  <a:gd name="connsiteX0" fmla="*/ 70875 w 213750"/>
                  <a:gd name="connsiteY0" fmla="*/ 0 h 4506182"/>
                  <a:gd name="connsiteX1" fmla="*/ 70875 w 213750"/>
                  <a:gd name="connsiteY1" fmla="*/ 266700 h 4506182"/>
                  <a:gd name="connsiteX2" fmla="*/ 89925 w 213750"/>
                  <a:gd name="connsiteY2" fmla="*/ 304800 h 4506182"/>
                  <a:gd name="connsiteX3" fmla="*/ 128025 w 213750"/>
                  <a:gd name="connsiteY3" fmla="*/ 352425 h 4506182"/>
                  <a:gd name="connsiteX4" fmla="*/ 166125 w 213750"/>
                  <a:gd name="connsiteY4" fmla="*/ 371475 h 4506182"/>
                  <a:gd name="connsiteX5" fmla="*/ 194700 w 213750"/>
                  <a:gd name="connsiteY5" fmla="*/ 409575 h 4506182"/>
                  <a:gd name="connsiteX6" fmla="*/ 213750 w 213750"/>
                  <a:gd name="connsiteY6" fmla="*/ 485775 h 4506182"/>
                  <a:gd name="connsiteX7" fmla="*/ 213750 w 213750"/>
                  <a:gd name="connsiteY7" fmla="*/ 3971925 h 4506182"/>
                  <a:gd name="connsiteX8" fmla="*/ 197318 w 213750"/>
                  <a:gd name="connsiteY8" fmla="*/ 4068985 h 4506182"/>
                  <a:gd name="connsiteX9" fmla="*/ 162103 w 213750"/>
                  <a:gd name="connsiteY9" fmla="*/ 4114553 h 4506182"/>
                  <a:gd name="connsiteX10" fmla="*/ 118500 w 213750"/>
                  <a:gd name="connsiteY10" fmla="*/ 4144946 h 4506182"/>
                  <a:gd name="connsiteX11" fmla="*/ 85636 w 213750"/>
                  <a:gd name="connsiteY11" fmla="*/ 4200525 h 4506182"/>
                  <a:gd name="connsiteX12" fmla="*/ 81930 w 213750"/>
                  <a:gd name="connsiteY12" fmla="*/ 4484322 h 4506182"/>
                  <a:gd name="connsiteX13" fmla="*/ 5254 w 213750"/>
                  <a:gd name="connsiteY13" fmla="*/ 4488095 h 4506182"/>
                  <a:gd name="connsiteX14" fmla="*/ 0 w 213750"/>
                  <a:gd name="connsiteY14" fmla="*/ 0 h 4506182"/>
                  <a:gd name="connsiteX15" fmla="*/ 70875 w 213750"/>
                  <a:gd name="connsiteY15" fmla="*/ 0 h 4506182"/>
                  <a:gd name="connsiteX0" fmla="*/ 70875 w 213750"/>
                  <a:gd name="connsiteY0" fmla="*/ 159408 h 4506182"/>
                  <a:gd name="connsiteX1" fmla="*/ 70875 w 213750"/>
                  <a:gd name="connsiteY1" fmla="*/ 266700 h 4506182"/>
                  <a:gd name="connsiteX2" fmla="*/ 89925 w 213750"/>
                  <a:gd name="connsiteY2" fmla="*/ 304800 h 4506182"/>
                  <a:gd name="connsiteX3" fmla="*/ 128025 w 213750"/>
                  <a:gd name="connsiteY3" fmla="*/ 352425 h 4506182"/>
                  <a:gd name="connsiteX4" fmla="*/ 166125 w 213750"/>
                  <a:gd name="connsiteY4" fmla="*/ 371475 h 4506182"/>
                  <a:gd name="connsiteX5" fmla="*/ 194700 w 213750"/>
                  <a:gd name="connsiteY5" fmla="*/ 409575 h 4506182"/>
                  <a:gd name="connsiteX6" fmla="*/ 213750 w 213750"/>
                  <a:gd name="connsiteY6" fmla="*/ 485775 h 4506182"/>
                  <a:gd name="connsiteX7" fmla="*/ 213750 w 213750"/>
                  <a:gd name="connsiteY7" fmla="*/ 3971925 h 4506182"/>
                  <a:gd name="connsiteX8" fmla="*/ 197318 w 213750"/>
                  <a:gd name="connsiteY8" fmla="*/ 4068985 h 4506182"/>
                  <a:gd name="connsiteX9" fmla="*/ 162103 w 213750"/>
                  <a:gd name="connsiteY9" fmla="*/ 4114553 h 4506182"/>
                  <a:gd name="connsiteX10" fmla="*/ 118500 w 213750"/>
                  <a:gd name="connsiteY10" fmla="*/ 4144946 h 4506182"/>
                  <a:gd name="connsiteX11" fmla="*/ 85636 w 213750"/>
                  <a:gd name="connsiteY11" fmla="*/ 4200525 h 4506182"/>
                  <a:gd name="connsiteX12" fmla="*/ 81930 w 213750"/>
                  <a:gd name="connsiteY12" fmla="*/ 4484322 h 4506182"/>
                  <a:gd name="connsiteX13" fmla="*/ 5254 w 213750"/>
                  <a:gd name="connsiteY13" fmla="*/ 4488095 h 4506182"/>
                  <a:gd name="connsiteX14" fmla="*/ 0 w 213750"/>
                  <a:gd name="connsiteY14" fmla="*/ 0 h 4506182"/>
                  <a:gd name="connsiteX15" fmla="*/ 70875 w 213750"/>
                  <a:gd name="connsiteY15" fmla="*/ 159408 h 4506182"/>
                  <a:gd name="connsiteX0" fmla="*/ 70875 w 213750"/>
                  <a:gd name="connsiteY0" fmla="*/ 18393 h 4365167"/>
                  <a:gd name="connsiteX1" fmla="*/ 70875 w 213750"/>
                  <a:gd name="connsiteY1" fmla="*/ 125685 h 4365167"/>
                  <a:gd name="connsiteX2" fmla="*/ 89925 w 213750"/>
                  <a:gd name="connsiteY2" fmla="*/ 163785 h 4365167"/>
                  <a:gd name="connsiteX3" fmla="*/ 128025 w 213750"/>
                  <a:gd name="connsiteY3" fmla="*/ 211410 h 4365167"/>
                  <a:gd name="connsiteX4" fmla="*/ 166125 w 213750"/>
                  <a:gd name="connsiteY4" fmla="*/ 230460 h 4365167"/>
                  <a:gd name="connsiteX5" fmla="*/ 194700 w 213750"/>
                  <a:gd name="connsiteY5" fmla="*/ 268560 h 4365167"/>
                  <a:gd name="connsiteX6" fmla="*/ 213750 w 213750"/>
                  <a:gd name="connsiteY6" fmla="*/ 344760 h 4365167"/>
                  <a:gd name="connsiteX7" fmla="*/ 213750 w 213750"/>
                  <a:gd name="connsiteY7" fmla="*/ 3830910 h 4365167"/>
                  <a:gd name="connsiteX8" fmla="*/ 197318 w 213750"/>
                  <a:gd name="connsiteY8" fmla="*/ 3927970 h 4365167"/>
                  <a:gd name="connsiteX9" fmla="*/ 162103 w 213750"/>
                  <a:gd name="connsiteY9" fmla="*/ 3973538 h 4365167"/>
                  <a:gd name="connsiteX10" fmla="*/ 118500 w 213750"/>
                  <a:gd name="connsiteY10" fmla="*/ 4003931 h 4365167"/>
                  <a:gd name="connsiteX11" fmla="*/ 85636 w 213750"/>
                  <a:gd name="connsiteY11" fmla="*/ 4059510 h 4365167"/>
                  <a:gd name="connsiteX12" fmla="*/ 81930 w 213750"/>
                  <a:gd name="connsiteY12" fmla="*/ 4343307 h 4365167"/>
                  <a:gd name="connsiteX13" fmla="*/ 5254 w 213750"/>
                  <a:gd name="connsiteY13" fmla="*/ 4347080 h 4365167"/>
                  <a:gd name="connsiteX14" fmla="*/ 0 w 213750"/>
                  <a:gd name="connsiteY14" fmla="*/ 0 h 4365167"/>
                  <a:gd name="connsiteX15" fmla="*/ 70875 w 213750"/>
                  <a:gd name="connsiteY15" fmla="*/ 18393 h 4365167"/>
                  <a:gd name="connsiteX0" fmla="*/ 70875 w 213750"/>
                  <a:gd name="connsiteY0" fmla="*/ 0 h 4371298"/>
                  <a:gd name="connsiteX1" fmla="*/ 70875 w 213750"/>
                  <a:gd name="connsiteY1" fmla="*/ 131816 h 4371298"/>
                  <a:gd name="connsiteX2" fmla="*/ 89925 w 213750"/>
                  <a:gd name="connsiteY2" fmla="*/ 169916 h 4371298"/>
                  <a:gd name="connsiteX3" fmla="*/ 128025 w 213750"/>
                  <a:gd name="connsiteY3" fmla="*/ 217541 h 4371298"/>
                  <a:gd name="connsiteX4" fmla="*/ 166125 w 213750"/>
                  <a:gd name="connsiteY4" fmla="*/ 236591 h 4371298"/>
                  <a:gd name="connsiteX5" fmla="*/ 194700 w 213750"/>
                  <a:gd name="connsiteY5" fmla="*/ 274691 h 4371298"/>
                  <a:gd name="connsiteX6" fmla="*/ 213750 w 213750"/>
                  <a:gd name="connsiteY6" fmla="*/ 350891 h 4371298"/>
                  <a:gd name="connsiteX7" fmla="*/ 213750 w 213750"/>
                  <a:gd name="connsiteY7" fmla="*/ 3837041 h 4371298"/>
                  <a:gd name="connsiteX8" fmla="*/ 197318 w 213750"/>
                  <a:gd name="connsiteY8" fmla="*/ 3934101 h 4371298"/>
                  <a:gd name="connsiteX9" fmla="*/ 162103 w 213750"/>
                  <a:gd name="connsiteY9" fmla="*/ 3979669 h 4371298"/>
                  <a:gd name="connsiteX10" fmla="*/ 118500 w 213750"/>
                  <a:gd name="connsiteY10" fmla="*/ 4010062 h 4371298"/>
                  <a:gd name="connsiteX11" fmla="*/ 85636 w 213750"/>
                  <a:gd name="connsiteY11" fmla="*/ 4065641 h 4371298"/>
                  <a:gd name="connsiteX12" fmla="*/ 81930 w 213750"/>
                  <a:gd name="connsiteY12" fmla="*/ 4349438 h 4371298"/>
                  <a:gd name="connsiteX13" fmla="*/ 5254 w 213750"/>
                  <a:gd name="connsiteY13" fmla="*/ 4353211 h 4371298"/>
                  <a:gd name="connsiteX14" fmla="*/ 0 w 213750"/>
                  <a:gd name="connsiteY14" fmla="*/ 6131 h 4371298"/>
                  <a:gd name="connsiteX15" fmla="*/ 70875 w 213750"/>
                  <a:gd name="connsiteY15" fmla="*/ 0 h 4371298"/>
                  <a:gd name="connsiteX0" fmla="*/ 70875 w 213750"/>
                  <a:gd name="connsiteY0" fmla="*/ 6131 h 4365167"/>
                  <a:gd name="connsiteX1" fmla="*/ 70875 w 213750"/>
                  <a:gd name="connsiteY1" fmla="*/ 125685 h 4365167"/>
                  <a:gd name="connsiteX2" fmla="*/ 89925 w 213750"/>
                  <a:gd name="connsiteY2" fmla="*/ 163785 h 4365167"/>
                  <a:gd name="connsiteX3" fmla="*/ 128025 w 213750"/>
                  <a:gd name="connsiteY3" fmla="*/ 211410 h 4365167"/>
                  <a:gd name="connsiteX4" fmla="*/ 166125 w 213750"/>
                  <a:gd name="connsiteY4" fmla="*/ 230460 h 4365167"/>
                  <a:gd name="connsiteX5" fmla="*/ 194700 w 213750"/>
                  <a:gd name="connsiteY5" fmla="*/ 268560 h 4365167"/>
                  <a:gd name="connsiteX6" fmla="*/ 213750 w 213750"/>
                  <a:gd name="connsiteY6" fmla="*/ 344760 h 4365167"/>
                  <a:gd name="connsiteX7" fmla="*/ 213750 w 213750"/>
                  <a:gd name="connsiteY7" fmla="*/ 3830910 h 4365167"/>
                  <a:gd name="connsiteX8" fmla="*/ 197318 w 213750"/>
                  <a:gd name="connsiteY8" fmla="*/ 3927970 h 4365167"/>
                  <a:gd name="connsiteX9" fmla="*/ 162103 w 213750"/>
                  <a:gd name="connsiteY9" fmla="*/ 3973538 h 4365167"/>
                  <a:gd name="connsiteX10" fmla="*/ 118500 w 213750"/>
                  <a:gd name="connsiteY10" fmla="*/ 4003931 h 4365167"/>
                  <a:gd name="connsiteX11" fmla="*/ 85636 w 213750"/>
                  <a:gd name="connsiteY11" fmla="*/ 4059510 h 4365167"/>
                  <a:gd name="connsiteX12" fmla="*/ 81930 w 213750"/>
                  <a:gd name="connsiteY12" fmla="*/ 4343307 h 4365167"/>
                  <a:gd name="connsiteX13" fmla="*/ 5254 w 213750"/>
                  <a:gd name="connsiteY13" fmla="*/ 4347080 h 4365167"/>
                  <a:gd name="connsiteX14" fmla="*/ 0 w 213750"/>
                  <a:gd name="connsiteY14" fmla="*/ 0 h 4365167"/>
                  <a:gd name="connsiteX15" fmla="*/ 70875 w 213750"/>
                  <a:gd name="connsiteY15" fmla="*/ 6131 h 4365167"/>
                  <a:gd name="connsiteX0" fmla="*/ 70875 w 213750"/>
                  <a:gd name="connsiteY0" fmla="*/ 6131 h 4347080"/>
                  <a:gd name="connsiteX1" fmla="*/ 70875 w 213750"/>
                  <a:gd name="connsiteY1" fmla="*/ 125685 h 4347080"/>
                  <a:gd name="connsiteX2" fmla="*/ 89925 w 213750"/>
                  <a:gd name="connsiteY2" fmla="*/ 163785 h 4347080"/>
                  <a:gd name="connsiteX3" fmla="*/ 128025 w 213750"/>
                  <a:gd name="connsiteY3" fmla="*/ 211410 h 4347080"/>
                  <a:gd name="connsiteX4" fmla="*/ 166125 w 213750"/>
                  <a:gd name="connsiteY4" fmla="*/ 230460 h 4347080"/>
                  <a:gd name="connsiteX5" fmla="*/ 194700 w 213750"/>
                  <a:gd name="connsiteY5" fmla="*/ 268560 h 4347080"/>
                  <a:gd name="connsiteX6" fmla="*/ 213750 w 213750"/>
                  <a:gd name="connsiteY6" fmla="*/ 344760 h 4347080"/>
                  <a:gd name="connsiteX7" fmla="*/ 213750 w 213750"/>
                  <a:gd name="connsiteY7" fmla="*/ 3830910 h 4347080"/>
                  <a:gd name="connsiteX8" fmla="*/ 197318 w 213750"/>
                  <a:gd name="connsiteY8" fmla="*/ 3927970 h 4347080"/>
                  <a:gd name="connsiteX9" fmla="*/ 162103 w 213750"/>
                  <a:gd name="connsiteY9" fmla="*/ 3973538 h 4347080"/>
                  <a:gd name="connsiteX10" fmla="*/ 118500 w 213750"/>
                  <a:gd name="connsiteY10" fmla="*/ 4003931 h 4347080"/>
                  <a:gd name="connsiteX11" fmla="*/ 85636 w 213750"/>
                  <a:gd name="connsiteY11" fmla="*/ 4059510 h 4347080"/>
                  <a:gd name="connsiteX12" fmla="*/ 75066 w 213750"/>
                  <a:gd name="connsiteY12" fmla="*/ 4177767 h 4347080"/>
                  <a:gd name="connsiteX13" fmla="*/ 5254 w 213750"/>
                  <a:gd name="connsiteY13" fmla="*/ 4347080 h 4347080"/>
                  <a:gd name="connsiteX14" fmla="*/ 0 w 213750"/>
                  <a:gd name="connsiteY14" fmla="*/ 0 h 4347080"/>
                  <a:gd name="connsiteX15" fmla="*/ 70875 w 213750"/>
                  <a:gd name="connsiteY15" fmla="*/ 6131 h 4347080"/>
                  <a:gd name="connsiteX0" fmla="*/ 70875 w 213750"/>
                  <a:gd name="connsiteY0" fmla="*/ 6131 h 4187390"/>
                  <a:gd name="connsiteX1" fmla="*/ 70875 w 213750"/>
                  <a:gd name="connsiteY1" fmla="*/ 125685 h 4187390"/>
                  <a:gd name="connsiteX2" fmla="*/ 89925 w 213750"/>
                  <a:gd name="connsiteY2" fmla="*/ 163785 h 4187390"/>
                  <a:gd name="connsiteX3" fmla="*/ 128025 w 213750"/>
                  <a:gd name="connsiteY3" fmla="*/ 211410 h 4187390"/>
                  <a:gd name="connsiteX4" fmla="*/ 166125 w 213750"/>
                  <a:gd name="connsiteY4" fmla="*/ 230460 h 4187390"/>
                  <a:gd name="connsiteX5" fmla="*/ 194700 w 213750"/>
                  <a:gd name="connsiteY5" fmla="*/ 268560 h 4187390"/>
                  <a:gd name="connsiteX6" fmla="*/ 213750 w 213750"/>
                  <a:gd name="connsiteY6" fmla="*/ 344760 h 4187390"/>
                  <a:gd name="connsiteX7" fmla="*/ 213750 w 213750"/>
                  <a:gd name="connsiteY7" fmla="*/ 3830910 h 4187390"/>
                  <a:gd name="connsiteX8" fmla="*/ 197318 w 213750"/>
                  <a:gd name="connsiteY8" fmla="*/ 3927970 h 4187390"/>
                  <a:gd name="connsiteX9" fmla="*/ 162103 w 213750"/>
                  <a:gd name="connsiteY9" fmla="*/ 3973538 h 4187390"/>
                  <a:gd name="connsiteX10" fmla="*/ 118500 w 213750"/>
                  <a:gd name="connsiteY10" fmla="*/ 4003931 h 4187390"/>
                  <a:gd name="connsiteX11" fmla="*/ 85636 w 213750"/>
                  <a:gd name="connsiteY11" fmla="*/ 4059510 h 4187390"/>
                  <a:gd name="connsiteX12" fmla="*/ 75066 w 213750"/>
                  <a:gd name="connsiteY12" fmla="*/ 4177767 h 4187390"/>
                  <a:gd name="connsiteX13" fmla="*/ 5254 w 213750"/>
                  <a:gd name="connsiteY13" fmla="*/ 4181540 h 4187390"/>
                  <a:gd name="connsiteX14" fmla="*/ 0 w 213750"/>
                  <a:gd name="connsiteY14" fmla="*/ 0 h 4187390"/>
                  <a:gd name="connsiteX15" fmla="*/ 70875 w 213750"/>
                  <a:gd name="connsiteY15" fmla="*/ 6131 h 4187390"/>
                  <a:gd name="connsiteX0" fmla="*/ 70875 w 213750"/>
                  <a:gd name="connsiteY0" fmla="*/ 6131 h 4227397"/>
                  <a:gd name="connsiteX1" fmla="*/ 70875 w 213750"/>
                  <a:gd name="connsiteY1" fmla="*/ 125685 h 4227397"/>
                  <a:gd name="connsiteX2" fmla="*/ 89925 w 213750"/>
                  <a:gd name="connsiteY2" fmla="*/ 163785 h 4227397"/>
                  <a:gd name="connsiteX3" fmla="*/ 128025 w 213750"/>
                  <a:gd name="connsiteY3" fmla="*/ 211410 h 4227397"/>
                  <a:gd name="connsiteX4" fmla="*/ 166125 w 213750"/>
                  <a:gd name="connsiteY4" fmla="*/ 230460 h 4227397"/>
                  <a:gd name="connsiteX5" fmla="*/ 194700 w 213750"/>
                  <a:gd name="connsiteY5" fmla="*/ 268560 h 4227397"/>
                  <a:gd name="connsiteX6" fmla="*/ 213750 w 213750"/>
                  <a:gd name="connsiteY6" fmla="*/ 344760 h 4227397"/>
                  <a:gd name="connsiteX7" fmla="*/ 213750 w 213750"/>
                  <a:gd name="connsiteY7" fmla="*/ 3830910 h 4227397"/>
                  <a:gd name="connsiteX8" fmla="*/ 197318 w 213750"/>
                  <a:gd name="connsiteY8" fmla="*/ 3927970 h 4227397"/>
                  <a:gd name="connsiteX9" fmla="*/ 162103 w 213750"/>
                  <a:gd name="connsiteY9" fmla="*/ 3973538 h 4227397"/>
                  <a:gd name="connsiteX10" fmla="*/ 118500 w 213750"/>
                  <a:gd name="connsiteY10" fmla="*/ 4003931 h 4227397"/>
                  <a:gd name="connsiteX11" fmla="*/ 85636 w 213750"/>
                  <a:gd name="connsiteY11" fmla="*/ 4059510 h 4227397"/>
                  <a:gd name="connsiteX12" fmla="*/ 72698 w 213750"/>
                  <a:gd name="connsiteY12" fmla="*/ 4223410 h 4227397"/>
                  <a:gd name="connsiteX13" fmla="*/ 5254 w 213750"/>
                  <a:gd name="connsiteY13" fmla="*/ 4181540 h 4227397"/>
                  <a:gd name="connsiteX14" fmla="*/ 0 w 213750"/>
                  <a:gd name="connsiteY14" fmla="*/ 0 h 4227397"/>
                  <a:gd name="connsiteX15" fmla="*/ 70875 w 213750"/>
                  <a:gd name="connsiteY15" fmla="*/ 6131 h 4227397"/>
                  <a:gd name="connsiteX0" fmla="*/ 70875 w 213750"/>
                  <a:gd name="connsiteY0" fmla="*/ 6131 h 4235680"/>
                  <a:gd name="connsiteX1" fmla="*/ 70875 w 213750"/>
                  <a:gd name="connsiteY1" fmla="*/ 125685 h 4235680"/>
                  <a:gd name="connsiteX2" fmla="*/ 89925 w 213750"/>
                  <a:gd name="connsiteY2" fmla="*/ 163785 h 4235680"/>
                  <a:gd name="connsiteX3" fmla="*/ 128025 w 213750"/>
                  <a:gd name="connsiteY3" fmla="*/ 211410 h 4235680"/>
                  <a:gd name="connsiteX4" fmla="*/ 166125 w 213750"/>
                  <a:gd name="connsiteY4" fmla="*/ 230460 h 4235680"/>
                  <a:gd name="connsiteX5" fmla="*/ 194700 w 213750"/>
                  <a:gd name="connsiteY5" fmla="*/ 268560 h 4235680"/>
                  <a:gd name="connsiteX6" fmla="*/ 213750 w 213750"/>
                  <a:gd name="connsiteY6" fmla="*/ 344760 h 4235680"/>
                  <a:gd name="connsiteX7" fmla="*/ 213750 w 213750"/>
                  <a:gd name="connsiteY7" fmla="*/ 3830910 h 4235680"/>
                  <a:gd name="connsiteX8" fmla="*/ 197318 w 213750"/>
                  <a:gd name="connsiteY8" fmla="*/ 3927970 h 4235680"/>
                  <a:gd name="connsiteX9" fmla="*/ 162103 w 213750"/>
                  <a:gd name="connsiteY9" fmla="*/ 3973538 h 4235680"/>
                  <a:gd name="connsiteX10" fmla="*/ 118500 w 213750"/>
                  <a:gd name="connsiteY10" fmla="*/ 4003931 h 4235680"/>
                  <a:gd name="connsiteX11" fmla="*/ 85636 w 213750"/>
                  <a:gd name="connsiteY11" fmla="*/ 4059510 h 4235680"/>
                  <a:gd name="connsiteX12" fmla="*/ 72698 w 213750"/>
                  <a:gd name="connsiteY12" fmla="*/ 4223410 h 4235680"/>
                  <a:gd name="connsiteX13" fmla="*/ 5254 w 213750"/>
                  <a:gd name="connsiteY13" fmla="*/ 4225109 h 4235680"/>
                  <a:gd name="connsiteX14" fmla="*/ 0 w 213750"/>
                  <a:gd name="connsiteY14" fmla="*/ 0 h 4235680"/>
                  <a:gd name="connsiteX15" fmla="*/ 70875 w 213750"/>
                  <a:gd name="connsiteY15" fmla="*/ 6131 h 4235680"/>
                  <a:gd name="connsiteX0" fmla="*/ 70875 w 213750"/>
                  <a:gd name="connsiteY0" fmla="*/ 6131 h 4227615"/>
                  <a:gd name="connsiteX1" fmla="*/ 70875 w 213750"/>
                  <a:gd name="connsiteY1" fmla="*/ 125685 h 4227615"/>
                  <a:gd name="connsiteX2" fmla="*/ 89925 w 213750"/>
                  <a:gd name="connsiteY2" fmla="*/ 163785 h 4227615"/>
                  <a:gd name="connsiteX3" fmla="*/ 128025 w 213750"/>
                  <a:gd name="connsiteY3" fmla="*/ 211410 h 4227615"/>
                  <a:gd name="connsiteX4" fmla="*/ 166125 w 213750"/>
                  <a:gd name="connsiteY4" fmla="*/ 230460 h 4227615"/>
                  <a:gd name="connsiteX5" fmla="*/ 194700 w 213750"/>
                  <a:gd name="connsiteY5" fmla="*/ 268560 h 4227615"/>
                  <a:gd name="connsiteX6" fmla="*/ 213750 w 213750"/>
                  <a:gd name="connsiteY6" fmla="*/ 344760 h 4227615"/>
                  <a:gd name="connsiteX7" fmla="*/ 213750 w 213750"/>
                  <a:gd name="connsiteY7" fmla="*/ 3830910 h 4227615"/>
                  <a:gd name="connsiteX8" fmla="*/ 197318 w 213750"/>
                  <a:gd name="connsiteY8" fmla="*/ 3927970 h 4227615"/>
                  <a:gd name="connsiteX9" fmla="*/ 162103 w 213750"/>
                  <a:gd name="connsiteY9" fmla="*/ 3973538 h 4227615"/>
                  <a:gd name="connsiteX10" fmla="*/ 118500 w 213750"/>
                  <a:gd name="connsiteY10" fmla="*/ 4003931 h 4227615"/>
                  <a:gd name="connsiteX11" fmla="*/ 85636 w 213750"/>
                  <a:gd name="connsiteY11" fmla="*/ 4059510 h 4227615"/>
                  <a:gd name="connsiteX12" fmla="*/ 72698 w 213750"/>
                  <a:gd name="connsiteY12" fmla="*/ 4223410 h 4227615"/>
                  <a:gd name="connsiteX13" fmla="*/ 5254 w 213750"/>
                  <a:gd name="connsiteY13" fmla="*/ 4183615 h 4227615"/>
                  <a:gd name="connsiteX14" fmla="*/ 0 w 213750"/>
                  <a:gd name="connsiteY14" fmla="*/ 0 h 4227615"/>
                  <a:gd name="connsiteX15" fmla="*/ 70875 w 213750"/>
                  <a:gd name="connsiteY15" fmla="*/ 6131 h 4227615"/>
                  <a:gd name="connsiteX0" fmla="*/ 70875 w 213750"/>
                  <a:gd name="connsiteY0" fmla="*/ 6131 h 4197649"/>
                  <a:gd name="connsiteX1" fmla="*/ 70875 w 213750"/>
                  <a:gd name="connsiteY1" fmla="*/ 125685 h 4197649"/>
                  <a:gd name="connsiteX2" fmla="*/ 89925 w 213750"/>
                  <a:gd name="connsiteY2" fmla="*/ 163785 h 4197649"/>
                  <a:gd name="connsiteX3" fmla="*/ 128025 w 213750"/>
                  <a:gd name="connsiteY3" fmla="*/ 211410 h 4197649"/>
                  <a:gd name="connsiteX4" fmla="*/ 166125 w 213750"/>
                  <a:gd name="connsiteY4" fmla="*/ 230460 h 4197649"/>
                  <a:gd name="connsiteX5" fmla="*/ 194700 w 213750"/>
                  <a:gd name="connsiteY5" fmla="*/ 268560 h 4197649"/>
                  <a:gd name="connsiteX6" fmla="*/ 213750 w 213750"/>
                  <a:gd name="connsiteY6" fmla="*/ 344760 h 4197649"/>
                  <a:gd name="connsiteX7" fmla="*/ 213750 w 213750"/>
                  <a:gd name="connsiteY7" fmla="*/ 3830910 h 4197649"/>
                  <a:gd name="connsiteX8" fmla="*/ 197318 w 213750"/>
                  <a:gd name="connsiteY8" fmla="*/ 3927970 h 4197649"/>
                  <a:gd name="connsiteX9" fmla="*/ 162103 w 213750"/>
                  <a:gd name="connsiteY9" fmla="*/ 3973538 h 4197649"/>
                  <a:gd name="connsiteX10" fmla="*/ 118500 w 213750"/>
                  <a:gd name="connsiteY10" fmla="*/ 4003931 h 4197649"/>
                  <a:gd name="connsiteX11" fmla="*/ 85636 w 213750"/>
                  <a:gd name="connsiteY11" fmla="*/ 4059510 h 4197649"/>
                  <a:gd name="connsiteX12" fmla="*/ 63228 w 213750"/>
                  <a:gd name="connsiteY12" fmla="*/ 4190215 h 4197649"/>
                  <a:gd name="connsiteX13" fmla="*/ 5254 w 213750"/>
                  <a:gd name="connsiteY13" fmla="*/ 4183615 h 4197649"/>
                  <a:gd name="connsiteX14" fmla="*/ 0 w 213750"/>
                  <a:gd name="connsiteY14" fmla="*/ 0 h 4197649"/>
                  <a:gd name="connsiteX15" fmla="*/ 70875 w 213750"/>
                  <a:gd name="connsiteY15" fmla="*/ 6131 h 4197649"/>
                  <a:gd name="connsiteX0" fmla="*/ 70875 w 213750"/>
                  <a:gd name="connsiteY0" fmla="*/ 6131 h 4191114"/>
                  <a:gd name="connsiteX1" fmla="*/ 70875 w 213750"/>
                  <a:gd name="connsiteY1" fmla="*/ 125685 h 4191114"/>
                  <a:gd name="connsiteX2" fmla="*/ 89925 w 213750"/>
                  <a:gd name="connsiteY2" fmla="*/ 163785 h 4191114"/>
                  <a:gd name="connsiteX3" fmla="*/ 128025 w 213750"/>
                  <a:gd name="connsiteY3" fmla="*/ 211410 h 4191114"/>
                  <a:gd name="connsiteX4" fmla="*/ 166125 w 213750"/>
                  <a:gd name="connsiteY4" fmla="*/ 230460 h 4191114"/>
                  <a:gd name="connsiteX5" fmla="*/ 194700 w 213750"/>
                  <a:gd name="connsiteY5" fmla="*/ 268560 h 4191114"/>
                  <a:gd name="connsiteX6" fmla="*/ 213750 w 213750"/>
                  <a:gd name="connsiteY6" fmla="*/ 344760 h 4191114"/>
                  <a:gd name="connsiteX7" fmla="*/ 213750 w 213750"/>
                  <a:gd name="connsiteY7" fmla="*/ 3830910 h 4191114"/>
                  <a:gd name="connsiteX8" fmla="*/ 197318 w 213750"/>
                  <a:gd name="connsiteY8" fmla="*/ 3927970 h 4191114"/>
                  <a:gd name="connsiteX9" fmla="*/ 162103 w 213750"/>
                  <a:gd name="connsiteY9" fmla="*/ 3973538 h 4191114"/>
                  <a:gd name="connsiteX10" fmla="*/ 118500 w 213750"/>
                  <a:gd name="connsiteY10" fmla="*/ 4003931 h 4191114"/>
                  <a:gd name="connsiteX11" fmla="*/ 85636 w 213750"/>
                  <a:gd name="connsiteY11" fmla="*/ 4059510 h 4191114"/>
                  <a:gd name="connsiteX12" fmla="*/ 101111 w 213750"/>
                  <a:gd name="connsiteY12" fmla="*/ 4181917 h 4191114"/>
                  <a:gd name="connsiteX13" fmla="*/ 5254 w 213750"/>
                  <a:gd name="connsiteY13" fmla="*/ 4183615 h 4191114"/>
                  <a:gd name="connsiteX14" fmla="*/ 0 w 213750"/>
                  <a:gd name="connsiteY14" fmla="*/ 0 h 4191114"/>
                  <a:gd name="connsiteX15" fmla="*/ 70875 w 213750"/>
                  <a:gd name="connsiteY15" fmla="*/ 6131 h 4191114"/>
                  <a:gd name="connsiteX0" fmla="*/ 70875 w 213750"/>
                  <a:gd name="connsiteY0" fmla="*/ 6131 h 4199792"/>
                  <a:gd name="connsiteX1" fmla="*/ 70875 w 213750"/>
                  <a:gd name="connsiteY1" fmla="*/ 125685 h 4199792"/>
                  <a:gd name="connsiteX2" fmla="*/ 89925 w 213750"/>
                  <a:gd name="connsiteY2" fmla="*/ 163785 h 4199792"/>
                  <a:gd name="connsiteX3" fmla="*/ 128025 w 213750"/>
                  <a:gd name="connsiteY3" fmla="*/ 211410 h 4199792"/>
                  <a:gd name="connsiteX4" fmla="*/ 166125 w 213750"/>
                  <a:gd name="connsiteY4" fmla="*/ 230460 h 4199792"/>
                  <a:gd name="connsiteX5" fmla="*/ 194700 w 213750"/>
                  <a:gd name="connsiteY5" fmla="*/ 268560 h 4199792"/>
                  <a:gd name="connsiteX6" fmla="*/ 213750 w 213750"/>
                  <a:gd name="connsiteY6" fmla="*/ 344760 h 4199792"/>
                  <a:gd name="connsiteX7" fmla="*/ 213750 w 213750"/>
                  <a:gd name="connsiteY7" fmla="*/ 3830910 h 4199792"/>
                  <a:gd name="connsiteX8" fmla="*/ 197318 w 213750"/>
                  <a:gd name="connsiteY8" fmla="*/ 3927970 h 4199792"/>
                  <a:gd name="connsiteX9" fmla="*/ 162103 w 213750"/>
                  <a:gd name="connsiteY9" fmla="*/ 3973538 h 4199792"/>
                  <a:gd name="connsiteX10" fmla="*/ 118500 w 213750"/>
                  <a:gd name="connsiteY10" fmla="*/ 4003931 h 4199792"/>
                  <a:gd name="connsiteX11" fmla="*/ 85636 w 213750"/>
                  <a:gd name="connsiteY11" fmla="*/ 4059510 h 4199792"/>
                  <a:gd name="connsiteX12" fmla="*/ 82295 w 213750"/>
                  <a:gd name="connsiteY12" fmla="*/ 4192773 h 4199792"/>
                  <a:gd name="connsiteX13" fmla="*/ 5254 w 213750"/>
                  <a:gd name="connsiteY13" fmla="*/ 4183615 h 4199792"/>
                  <a:gd name="connsiteX14" fmla="*/ 0 w 213750"/>
                  <a:gd name="connsiteY14" fmla="*/ 0 h 4199792"/>
                  <a:gd name="connsiteX15" fmla="*/ 70875 w 213750"/>
                  <a:gd name="connsiteY15" fmla="*/ 6131 h 41997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Lst>
                <a:rect l="l" t="t" r="r" b="b"/>
                <a:pathLst>
                  <a:path w="213750" h="4199792">
                    <a:moveTo>
                      <a:pt x="70875" y="6131"/>
                    </a:moveTo>
                    <a:lnTo>
                      <a:pt x="70875" y="125685"/>
                    </a:lnTo>
                    <a:lnTo>
                      <a:pt x="89925" y="163785"/>
                    </a:lnTo>
                    <a:lnTo>
                      <a:pt x="128025" y="211410"/>
                    </a:lnTo>
                    <a:lnTo>
                      <a:pt x="166125" y="230460"/>
                    </a:lnTo>
                    <a:lnTo>
                      <a:pt x="194700" y="268560"/>
                    </a:lnTo>
                    <a:lnTo>
                      <a:pt x="213750" y="344760"/>
                    </a:lnTo>
                    <a:lnTo>
                      <a:pt x="213750" y="3830910"/>
                    </a:lnTo>
                    <a:lnTo>
                      <a:pt x="197318" y="3927970"/>
                    </a:lnTo>
                    <a:cubicBezTo>
                      <a:pt x="187604" y="3937493"/>
                      <a:pt x="171817" y="3964015"/>
                      <a:pt x="162103" y="3973538"/>
                    </a:cubicBezTo>
                    <a:lnTo>
                      <a:pt x="118500" y="4003931"/>
                    </a:lnTo>
                    <a:lnTo>
                      <a:pt x="85636" y="4059510"/>
                    </a:lnTo>
                    <a:cubicBezTo>
                      <a:pt x="85636" y="4084910"/>
                      <a:pt x="95692" y="4172089"/>
                      <a:pt x="82295" y="4192773"/>
                    </a:cubicBezTo>
                    <a:cubicBezTo>
                      <a:pt x="68898" y="4213457"/>
                      <a:pt x="60086" y="4181651"/>
                      <a:pt x="5254" y="4183615"/>
                    </a:cubicBezTo>
                    <a:cubicBezTo>
                      <a:pt x="1591" y="2688544"/>
                      <a:pt x="3663" y="1495071"/>
                      <a:pt x="0" y="0"/>
                    </a:cubicBezTo>
                    <a:lnTo>
                      <a:pt x="70875" y="6131"/>
                    </a:lnTo>
                    <a:close/>
                  </a:path>
                </a:pathLst>
              </a:custGeom>
              <a:solidFill>
                <a:schemeClr val="bg2">
                  <a:lumMod val="75000"/>
                </a:schemeClr>
              </a:solidFill>
              <a:ln w="12700">
                <a:solidFill>
                  <a:schemeClr val="bg2">
                    <a:lumMod val="25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16" name="Straight Connector 115"/>
              <xdr:cNvCxnSpPr>
                <a:endCxn id="104" idx="0"/>
              </xdr:cNvCxnSpPr>
            </xdr:nvCxnSpPr>
            <xdr:spPr>
              <a:xfrm>
                <a:off x="8216656" y="7346237"/>
                <a:ext cx="298694" cy="0"/>
              </a:xfrm>
              <a:prstGeom prst="line">
                <a:avLst/>
              </a:prstGeom>
              <a:ln w="19050"/>
            </xdr:spPr>
            <xdr:style>
              <a:lnRef idx="1">
                <a:schemeClr val="accent1"/>
              </a:lnRef>
              <a:fillRef idx="0">
                <a:schemeClr val="accent1"/>
              </a:fillRef>
              <a:effectRef idx="0">
                <a:schemeClr val="accent1"/>
              </a:effectRef>
              <a:fontRef idx="minor">
                <a:schemeClr val="tx1"/>
              </a:fontRef>
            </xdr:style>
          </xdr:cxnSp>
          <xdr:cxnSp macro="">
            <xdr:nvCxnSpPr>
              <xdr:cNvPr id="117" name="Straight Connector 116"/>
              <xdr:cNvCxnSpPr>
                <a:endCxn id="113" idx="2"/>
              </xdr:cNvCxnSpPr>
            </xdr:nvCxnSpPr>
            <xdr:spPr>
              <a:xfrm>
                <a:off x="8201758" y="11714599"/>
                <a:ext cx="313592" cy="4951"/>
              </a:xfrm>
              <a:prstGeom prst="line">
                <a:avLst/>
              </a:prstGeom>
              <a:ln w="19050"/>
            </xdr:spPr>
            <xdr:style>
              <a:lnRef idx="1">
                <a:schemeClr val="accent1"/>
              </a:lnRef>
              <a:fillRef idx="0">
                <a:schemeClr val="accent1"/>
              </a:fillRef>
              <a:effectRef idx="0">
                <a:schemeClr val="accent1"/>
              </a:effectRef>
              <a:fontRef idx="minor">
                <a:schemeClr val="tx1"/>
              </a:fontRef>
            </xdr:style>
          </xdr:cxnSp>
        </xdr:grpSp>
        <xdr:grpSp>
          <xdr:nvGrpSpPr>
            <xdr:cNvPr id="67" name="Group 66"/>
            <xdr:cNvGrpSpPr/>
          </xdr:nvGrpSpPr>
          <xdr:grpSpPr>
            <a:xfrm flipV="1">
              <a:off x="8319239" y="6899455"/>
              <a:ext cx="529486" cy="5248253"/>
              <a:chOff x="7995389" y="6918505"/>
              <a:chExt cx="529486" cy="5248253"/>
            </a:xfrm>
          </xdr:grpSpPr>
          <xdr:sp macro="" textlink="">
            <xdr:nvSpPr>
              <xdr:cNvPr id="68" name="Rectangle 67"/>
              <xdr:cNvSpPr/>
            </xdr:nvSpPr>
            <xdr:spPr>
              <a:xfrm>
                <a:off x="8458689" y="7553687"/>
                <a:ext cx="66186" cy="355778"/>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9" name="Rectangle 68"/>
              <xdr:cNvSpPr/>
            </xdr:nvSpPr>
            <xdr:spPr>
              <a:xfrm>
                <a:off x="8458689" y="8013496"/>
                <a:ext cx="66186" cy="353428"/>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0" name="Rectangle 69"/>
              <xdr:cNvSpPr/>
            </xdr:nvSpPr>
            <xdr:spPr>
              <a:xfrm>
                <a:off x="8458689" y="8460391"/>
                <a:ext cx="66186" cy="356938"/>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1" name="Rectangle 70"/>
              <xdr:cNvSpPr/>
            </xdr:nvSpPr>
            <xdr:spPr>
              <a:xfrm>
                <a:off x="8456308" y="8920199"/>
                <a:ext cx="66186" cy="353428"/>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2" name="Rectangle 71"/>
              <xdr:cNvSpPr/>
            </xdr:nvSpPr>
            <xdr:spPr>
              <a:xfrm>
                <a:off x="8458689" y="9362658"/>
                <a:ext cx="66186" cy="356675"/>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3" name="Rectangle 72"/>
              <xdr:cNvSpPr/>
            </xdr:nvSpPr>
            <xdr:spPr>
              <a:xfrm>
                <a:off x="8458689" y="9824817"/>
                <a:ext cx="66186" cy="353429"/>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4" name="Rectangle 73"/>
              <xdr:cNvSpPr/>
            </xdr:nvSpPr>
            <xdr:spPr>
              <a:xfrm>
                <a:off x="8458689" y="10272871"/>
                <a:ext cx="66186" cy="355778"/>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5" name="Rectangle 74"/>
              <xdr:cNvSpPr/>
            </xdr:nvSpPr>
            <xdr:spPr>
              <a:xfrm>
                <a:off x="8458689" y="10724469"/>
                <a:ext cx="66186" cy="354588"/>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6" name="Rectangle 75"/>
              <xdr:cNvSpPr/>
            </xdr:nvSpPr>
            <xdr:spPr>
              <a:xfrm>
                <a:off x="8453438" y="11174875"/>
                <a:ext cx="71437" cy="353429"/>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7" name="Freeform 76"/>
              <xdr:cNvSpPr/>
            </xdr:nvSpPr>
            <xdr:spPr>
              <a:xfrm flipH="1" flipV="1">
                <a:off x="8262328" y="11872348"/>
                <a:ext cx="257850" cy="294410"/>
              </a:xfrm>
              <a:custGeom>
                <a:avLst/>
                <a:gdLst>
                  <a:gd name="connsiteX0" fmla="*/ 0 w 266700"/>
                  <a:gd name="connsiteY0" fmla="*/ 0 h 295275"/>
                  <a:gd name="connsiteX1" fmla="*/ 266700 w 266700"/>
                  <a:gd name="connsiteY1" fmla="*/ 0 h 295275"/>
                  <a:gd name="connsiteX2" fmla="*/ 266700 w 266700"/>
                  <a:gd name="connsiteY2" fmla="*/ 295275 h 295275"/>
                  <a:gd name="connsiteX0" fmla="*/ 0 w 461372"/>
                  <a:gd name="connsiteY0" fmla="*/ 6046 h 295275"/>
                  <a:gd name="connsiteX1" fmla="*/ 461372 w 461372"/>
                  <a:gd name="connsiteY1" fmla="*/ 0 h 295275"/>
                  <a:gd name="connsiteX2" fmla="*/ 461372 w 461372"/>
                  <a:gd name="connsiteY2" fmla="*/ 295275 h 295275"/>
                </a:gdLst>
                <a:ahLst/>
                <a:cxnLst>
                  <a:cxn ang="0">
                    <a:pos x="connsiteX0" y="connsiteY0"/>
                  </a:cxn>
                  <a:cxn ang="0">
                    <a:pos x="connsiteX1" y="connsiteY1"/>
                  </a:cxn>
                  <a:cxn ang="0">
                    <a:pos x="connsiteX2" y="connsiteY2"/>
                  </a:cxn>
                </a:cxnLst>
                <a:rect l="l" t="t" r="r" b="b"/>
                <a:pathLst>
                  <a:path w="461372" h="295275">
                    <a:moveTo>
                      <a:pt x="0" y="6046"/>
                    </a:moveTo>
                    <a:lnTo>
                      <a:pt x="461372" y="0"/>
                    </a:lnTo>
                    <a:lnTo>
                      <a:pt x="461372" y="295275"/>
                    </a:lnTo>
                  </a:path>
                </a:pathLst>
              </a:custGeom>
              <a:noFill/>
              <a:ln>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78" name="Straight Connector 77"/>
              <xdr:cNvCxnSpPr/>
            </xdr:nvCxnSpPr>
            <xdr:spPr>
              <a:xfrm flipH="1">
                <a:off x="8210550" y="7346237"/>
                <a:ext cx="0" cy="4370968"/>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sp macro="" textlink="">
            <xdr:nvSpPr>
              <xdr:cNvPr id="79" name="Freeform 78"/>
              <xdr:cNvSpPr/>
            </xdr:nvSpPr>
            <xdr:spPr>
              <a:xfrm flipH="1">
                <a:off x="8448675" y="7346237"/>
                <a:ext cx="66675" cy="579683"/>
              </a:xfrm>
              <a:custGeom>
                <a:avLst/>
                <a:gdLst>
                  <a:gd name="connsiteX0" fmla="*/ 0 w 66675"/>
                  <a:gd name="connsiteY0" fmla="*/ 0 h 581025"/>
                  <a:gd name="connsiteX1" fmla="*/ 0 w 66675"/>
                  <a:gd name="connsiteY1" fmla="*/ 200025 h 581025"/>
                  <a:gd name="connsiteX2" fmla="*/ 66675 w 66675"/>
                  <a:gd name="connsiteY2" fmla="*/ 200025 h 581025"/>
                  <a:gd name="connsiteX3" fmla="*/ 66675 w 66675"/>
                  <a:gd name="connsiteY3" fmla="*/ 581025 h 581025"/>
                  <a:gd name="connsiteX4" fmla="*/ 66675 w 66675"/>
                  <a:gd name="connsiteY4" fmla="*/ 581025 h 581025"/>
                  <a:gd name="connsiteX5" fmla="*/ 66675 w 66675"/>
                  <a:gd name="connsiteY5" fmla="*/ 581025 h 581025"/>
                  <a:gd name="connsiteX6" fmla="*/ 66675 w 66675"/>
                  <a:gd name="connsiteY6" fmla="*/ 581025 h 581025"/>
                  <a:gd name="connsiteX7" fmla="*/ 66675 w 66675"/>
                  <a:gd name="connsiteY7" fmla="*/ 581025 h 5810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66675" h="581025">
                    <a:moveTo>
                      <a:pt x="0" y="0"/>
                    </a:moveTo>
                    <a:lnTo>
                      <a:pt x="0" y="200025"/>
                    </a:lnTo>
                    <a:lnTo>
                      <a:pt x="66675" y="200025"/>
                    </a:lnTo>
                    <a:lnTo>
                      <a:pt x="66675" y="581025"/>
                    </a:lnTo>
                    <a:lnTo>
                      <a:pt x="66675" y="581025"/>
                    </a:lnTo>
                    <a:lnTo>
                      <a:pt x="66675" y="581025"/>
                    </a:lnTo>
                    <a:lnTo>
                      <a:pt x="66675" y="581025"/>
                    </a:lnTo>
                    <a:lnTo>
                      <a:pt x="66675" y="581025"/>
                    </a:lnTo>
                  </a:path>
                </a:pathLst>
              </a:custGeom>
              <a:noFill/>
              <a:ln w="190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0" name="Freeform 79"/>
              <xdr:cNvSpPr/>
            </xdr:nvSpPr>
            <xdr:spPr>
              <a:xfrm flipH="1">
                <a:off x="8448675" y="7916517"/>
                <a:ext cx="66675" cy="459808"/>
              </a:xfrm>
              <a:custGeom>
                <a:avLst/>
                <a:gdLst>
                  <a:gd name="connsiteX0" fmla="*/ 66675 w 66675"/>
                  <a:gd name="connsiteY0" fmla="*/ 0 h 459581"/>
                  <a:gd name="connsiteX1" fmla="*/ 0 w 66675"/>
                  <a:gd name="connsiteY1" fmla="*/ 0 h 459581"/>
                  <a:gd name="connsiteX2" fmla="*/ 0 w 66675"/>
                  <a:gd name="connsiteY2" fmla="*/ 92868 h 459581"/>
                  <a:gd name="connsiteX3" fmla="*/ 66675 w 66675"/>
                  <a:gd name="connsiteY3" fmla="*/ 92868 h 459581"/>
                  <a:gd name="connsiteX4" fmla="*/ 66675 w 66675"/>
                  <a:gd name="connsiteY4" fmla="*/ 459581 h 459581"/>
                  <a:gd name="connsiteX5" fmla="*/ 66675 w 66675"/>
                  <a:gd name="connsiteY5" fmla="*/ 459581 h 45958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66675" h="459581">
                    <a:moveTo>
                      <a:pt x="66675" y="0"/>
                    </a:moveTo>
                    <a:lnTo>
                      <a:pt x="0" y="0"/>
                    </a:lnTo>
                    <a:lnTo>
                      <a:pt x="0" y="92868"/>
                    </a:lnTo>
                    <a:lnTo>
                      <a:pt x="66675" y="92868"/>
                    </a:lnTo>
                    <a:lnTo>
                      <a:pt x="66675" y="459581"/>
                    </a:lnTo>
                    <a:lnTo>
                      <a:pt x="66675" y="459581"/>
                    </a:lnTo>
                  </a:path>
                </a:pathLst>
              </a:custGeom>
              <a:noFill/>
              <a:ln w="190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1" name="Freeform 80"/>
              <xdr:cNvSpPr/>
            </xdr:nvSpPr>
            <xdr:spPr>
              <a:xfrm flipH="1">
                <a:off x="8448675" y="8369273"/>
                <a:ext cx="66675" cy="459808"/>
              </a:xfrm>
              <a:custGeom>
                <a:avLst/>
                <a:gdLst>
                  <a:gd name="connsiteX0" fmla="*/ 66675 w 66675"/>
                  <a:gd name="connsiteY0" fmla="*/ 0 h 459581"/>
                  <a:gd name="connsiteX1" fmla="*/ 0 w 66675"/>
                  <a:gd name="connsiteY1" fmla="*/ 0 h 459581"/>
                  <a:gd name="connsiteX2" fmla="*/ 0 w 66675"/>
                  <a:gd name="connsiteY2" fmla="*/ 92868 h 459581"/>
                  <a:gd name="connsiteX3" fmla="*/ 66675 w 66675"/>
                  <a:gd name="connsiteY3" fmla="*/ 92868 h 459581"/>
                  <a:gd name="connsiteX4" fmla="*/ 66675 w 66675"/>
                  <a:gd name="connsiteY4" fmla="*/ 459581 h 459581"/>
                  <a:gd name="connsiteX5" fmla="*/ 66675 w 66675"/>
                  <a:gd name="connsiteY5" fmla="*/ 459581 h 45958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66675" h="459581">
                    <a:moveTo>
                      <a:pt x="66675" y="0"/>
                    </a:moveTo>
                    <a:lnTo>
                      <a:pt x="0" y="0"/>
                    </a:lnTo>
                    <a:lnTo>
                      <a:pt x="0" y="92868"/>
                    </a:lnTo>
                    <a:lnTo>
                      <a:pt x="66675" y="92868"/>
                    </a:lnTo>
                    <a:lnTo>
                      <a:pt x="66675" y="459581"/>
                    </a:lnTo>
                    <a:lnTo>
                      <a:pt x="66675" y="459581"/>
                    </a:lnTo>
                  </a:path>
                </a:pathLst>
              </a:custGeom>
              <a:noFill/>
              <a:ln w="190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2" name="Freeform 81"/>
              <xdr:cNvSpPr/>
            </xdr:nvSpPr>
            <xdr:spPr>
              <a:xfrm flipH="1">
                <a:off x="8448675" y="8819679"/>
                <a:ext cx="66675" cy="458648"/>
              </a:xfrm>
              <a:custGeom>
                <a:avLst/>
                <a:gdLst>
                  <a:gd name="connsiteX0" fmla="*/ 66675 w 66675"/>
                  <a:gd name="connsiteY0" fmla="*/ 0 h 459581"/>
                  <a:gd name="connsiteX1" fmla="*/ 0 w 66675"/>
                  <a:gd name="connsiteY1" fmla="*/ 0 h 459581"/>
                  <a:gd name="connsiteX2" fmla="*/ 0 w 66675"/>
                  <a:gd name="connsiteY2" fmla="*/ 92868 h 459581"/>
                  <a:gd name="connsiteX3" fmla="*/ 66675 w 66675"/>
                  <a:gd name="connsiteY3" fmla="*/ 92868 h 459581"/>
                  <a:gd name="connsiteX4" fmla="*/ 66675 w 66675"/>
                  <a:gd name="connsiteY4" fmla="*/ 459581 h 459581"/>
                  <a:gd name="connsiteX5" fmla="*/ 66675 w 66675"/>
                  <a:gd name="connsiteY5" fmla="*/ 459581 h 45958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66675" h="459581">
                    <a:moveTo>
                      <a:pt x="66675" y="0"/>
                    </a:moveTo>
                    <a:lnTo>
                      <a:pt x="0" y="0"/>
                    </a:lnTo>
                    <a:lnTo>
                      <a:pt x="0" y="92868"/>
                    </a:lnTo>
                    <a:lnTo>
                      <a:pt x="66675" y="92868"/>
                    </a:lnTo>
                    <a:lnTo>
                      <a:pt x="66675" y="459581"/>
                    </a:lnTo>
                    <a:lnTo>
                      <a:pt x="66675" y="459581"/>
                    </a:lnTo>
                  </a:path>
                </a:pathLst>
              </a:custGeom>
              <a:noFill/>
              <a:ln w="190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3" name="Freeform 82"/>
              <xdr:cNvSpPr/>
            </xdr:nvSpPr>
            <xdr:spPr>
              <a:xfrm flipH="1">
                <a:off x="8448675" y="9271275"/>
                <a:ext cx="66675" cy="459808"/>
              </a:xfrm>
              <a:custGeom>
                <a:avLst/>
                <a:gdLst>
                  <a:gd name="connsiteX0" fmla="*/ 66675 w 66675"/>
                  <a:gd name="connsiteY0" fmla="*/ 0 h 459581"/>
                  <a:gd name="connsiteX1" fmla="*/ 0 w 66675"/>
                  <a:gd name="connsiteY1" fmla="*/ 0 h 459581"/>
                  <a:gd name="connsiteX2" fmla="*/ 0 w 66675"/>
                  <a:gd name="connsiteY2" fmla="*/ 92868 h 459581"/>
                  <a:gd name="connsiteX3" fmla="*/ 66675 w 66675"/>
                  <a:gd name="connsiteY3" fmla="*/ 92868 h 459581"/>
                  <a:gd name="connsiteX4" fmla="*/ 66675 w 66675"/>
                  <a:gd name="connsiteY4" fmla="*/ 459581 h 459581"/>
                  <a:gd name="connsiteX5" fmla="*/ 66675 w 66675"/>
                  <a:gd name="connsiteY5" fmla="*/ 459581 h 45958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66675" h="459581">
                    <a:moveTo>
                      <a:pt x="66675" y="0"/>
                    </a:moveTo>
                    <a:lnTo>
                      <a:pt x="0" y="0"/>
                    </a:lnTo>
                    <a:lnTo>
                      <a:pt x="0" y="92868"/>
                    </a:lnTo>
                    <a:lnTo>
                      <a:pt x="66675" y="92868"/>
                    </a:lnTo>
                    <a:lnTo>
                      <a:pt x="66675" y="459581"/>
                    </a:lnTo>
                    <a:lnTo>
                      <a:pt x="66675" y="459581"/>
                    </a:lnTo>
                  </a:path>
                </a:pathLst>
              </a:custGeom>
              <a:noFill/>
              <a:ln w="190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4" name="Freeform 83"/>
              <xdr:cNvSpPr/>
            </xdr:nvSpPr>
            <xdr:spPr>
              <a:xfrm flipH="1">
                <a:off x="8448675" y="9724097"/>
                <a:ext cx="66675" cy="458912"/>
              </a:xfrm>
              <a:custGeom>
                <a:avLst/>
                <a:gdLst>
                  <a:gd name="connsiteX0" fmla="*/ 66675 w 66675"/>
                  <a:gd name="connsiteY0" fmla="*/ 0 h 459581"/>
                  <a:gd name="connsiteX1" fmla="*/ 0 w 66675"/>
                  <a:gd name="connsiteY1" fmla="*/ 0 h 459581"/>
                  <a:gd name="connsiteX2" fmla="*/ 0 w 66675"/>
                  <a:gd name="connsiteY2" fmla="*/ 92868 h 459581"/>
                  <a:gd name="connsiteX3" fmla="*/ 66675 w 66675"/>
                  <a:gd name="connsiteY3" fmla="*/ 92868 h 459581"/>
                  <a:gd name="connsiteX4" fmla="*/ 66675 w 66675"/>
                  <a:gd name="connsiteY4" fmla="*/ 459581 h 459581"/>
                  <a:gd name="connsiteX5" fmla="*/ 66675 w 66675"/>
                  <a:gd name="connsiteY5" fmla="*/ 459581 h 45958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66675" h="459581">
                    <a:moveTo>
                      <a:pt x="66675" y="0"/>
                    </a:moveTo>
                    <a:lnTo>
                      <a:pt x="0" y="0"/>
                    </a:lnTo>
                    <a:lnTo>
                      <a:pt x="0" y="92868"/>
                    </a:lnTo>
                    <a:lnTo>
                      <a:pt x="66675" y="92868"/>
                    </a:lnTo>
                    <a:lnTo>
                      <a:pt x="66675" y="459581"/>
                    </a:lnTo>
                    <a:lnTo>
                      <a:pt x="66675" y="459581"/>
                    </a:lnTo>
                  </a:path>
                </a:pathLst>
              </a:custGeom>
              <a:noFill/>
              <a:ln w="190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5" name="Freeform 84"/>
              <xdr:cNvSpPr/>
            </xdr:nvSpPr>
            <xdr:spPr>
              <a:xfrm flipH="1">
                <a:off x="8448675" y="10175958"/>
                <a:ext cx="66675" cy="459807"/>
              </a:xfrm>
              <a:custGeom>
                <a:avLst/>
                <a:gdLst>
                  <a:gd name="connsiteX0" fmla="*/ 66675 w 66675"/>
                  <a:gd name="connsiteY0" fmla="*/ 0 h 459581"/>
                  <a:gd name="connsiteX1" fmla="*/ 0 w 66675"/>
                  <a:gd name="connsiteY1" fmla="*/ 0 h 459581"/>
                  <a:gd name="connsiteX2" fmla="*/ 0 w 66675"/>
                  <a:gd name="connsiteY2" fmla="*/ 92868 h 459581"/>
                  <a:gd name="connsiteX3" fmla="*/ 66675 w 66675"/>
                  <a:gd name="connsiteY3" fmla="*/ 92868 h 459581"/>
                  <a:gd name="connsiteX4" fmla="*/ 66675 w 66675"/>
                  <a:gd name="connsiteY4" fmla="*/ 459581 h 459581"/>
                  <a:gd name="connsiteX5" fmla="*/ 66675 w 66675"/>
                  <a:gd name="connsiteY5" fmla="*/ 459581 h 45958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66675" h="459581">
                    <a:moveTo>
                      <a:pt x="66675" y="0"/>
                    </a:moveTo>
                    <a:lnTo>
                      <a:pt x="0" y="0"/>
                    </a:lnTo>
                    <a:lnTo>
                      <a:pt x="0" y="92868"/>
                    </a:lnTo>
                    <a:lnTo>
                      <a:pt x="66675" y="92868"/>
                    </a:lnTo>
                    <a:lnTo>
                      <a:pt x="66675" y="459581"/>
                    </a:lnTo>
                    <a:lnTo>
                      <a:pt x="66675" y="459581"/>
                    </a:lnTo>
                  </a:path>
                </a:pathLst>
              </a:custGeom>
              <a:noFill/>
              <a:ln w="190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6" name="Freeform 85"/>
              <xdr:cNvSpPr/>
            </xdr:nvSpPr>
            <xdr:spPr>
              <a:xfrm flipH="1">
                <a:off x="8448675" y="10626362"/>
                <a:ext cx="66675" cy="459808"/>
              </a:xfrm>
              <a:custGeom>
                <a:avLst/>
                <a:gdLst>
                  <a:gd name="connsiteX0" fmla="*/ 66675 w 66675"/>
                  <a:gd name="connsiteY0" fmla="*/ 0 h 459581"/>
                  <a:gd name="connsiteX1" fmla="*/ 0 w 66675"/>
                  <a:gd name="connsiteY1" fmla="*/ 0 h 459581"/>
                  <a:gd name="connsiteX2" fmla="*/ 0 w 66675"/>
                  <a:gd name="connsiteY2" fmla="*/ 92868 h 459581"/>
                  <a:gd name="connsiteX3" fmla="*/ 66675 w 66675"/>
                  <a:gd name="connsiteY3" fmla="*/ 92868 h 459581"/>
                  <a:gd name="connsiteX4" fmla="*/ 66675 w 66675"/>
                  <a:gd name="connsiteY4" fmla="*/ 459581 h 459581"/>
                  <a:gd name="connsiteX5" fmla="*/ 66675 w 66675"/>
                  <a:gd name="connsiteY5" fmla="*/ 459581 h 45958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66675" h="459581">
                    <a:moveTo>
                      <a:pt x="66675" y="0"/>
                    </a:moveTo>
                    <a:lnTo>
                      <a:pt x="0" y="0"/>
                    </a:lnTo>
                    <a:lnTo>
                      <a:pt x="0" y="92868"/>
                    </a:lnTo>
                    <a:lnTo>
                      <a:pt x="66675" y="92868"/>
                    </a:lnTo>
                    <a:lnTo>
                      <a:pt x="66675" y="459581"/>
                    </a:lnTo>
                    <a:lnTo>
                      <a:pt x="66675" y="459581"/>
                    </a:lnTo>
                  </a:path>
                </a:pathLst>
              </a:custGeom>
              <a:noFill/>
              <a:ln w="190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7" name="Freeform 86"/>
              <xdr:cNvSpPr/>
            </xdr:nvSpPr>
            <xdr:spPr>
              <a:xfrm flipH="1">
                <a:off x="8448675" y="11079118"/>
                <a:ext cx="66675" cy="458649"/>
              </a:xfrm>
              <a:custGeom>
                <a:avLst/>
                <a:gdLst>
                  <a:gd name="connsiteX0" fmla="*/ 66675 w 66675"/>
                  <a:gd name="connsiteY0" fmla="*/ 0 h 459581"/>
                  <a:gd name="connsiteX1" fmla="*/ 0 w 66675"/>
                  <a:gd name="connsiteY1" fmla="*/ 0 h 459581"/>
                  <a:gd name="connsiteX2" fmla="*/ 0 w 66675"/>
                  <a:gd name="connsiteY2" fmla="*/ 92868 h 459581"/>
                  <a:gd name="connsiteX3" fmla="*/ 66675 w 66675"/>
                  <a:gd name="connsiteY3" fmla="*/ 92868 h 459581"/>
                  <a:gd name="connsiteX4" fmla="*/ 66675 w 66675"/>
                  <a:gd name="connsiteY4" fmla="*/ 459581 h 459581"/>
                  <a:gd name="connsiteX5" fmla="*/ 66675 w 66675"/>
                  <a:gd name="connsiteY5" fmla="*/ 459581 h 45958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66675" h="459581">
                    <a:moveTo>
                      <a:pt x="66675" y="0"/>
                    </a:moveTo>
                    <a:lnTo>
                      <a:pt x="0" y="0"/>
                    </a:lnTo>
                    <a:lnTo>
                      <a:pt x="0" y="92868"/>
                    </a:lnTo>
                    <a:lnTo>
                      <a:pt x="66675" y="92868"/>
                    </a:lnTo>
                    <a:lnTo>
                      <a:pt x="66675" y="459581"/>
                    </a:lnTo>
                    <a:lnTo>
                      <a:pt x="66675" y="459581"/>
                    </a:lnTo>
                  </a:path>
                </a:pathLst>
              </a:custGeom>
              <a:noFill/>
              <a:ln w="190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8" name="Freeform 87"/>
              <xdr:cNvSpPr/>
            </xdr:nvSpPr>
            <xdr:spPr>
              <a:xfrm flipH="1">
                <a:off x="8448675" y="11528297"/>
                <a:ext cx="66675" cy="191253"/>
              </a:xfrm>
              <a:custGeom>
                <a:avLst/>
                <a:gdLst>
                  <a:gd name="connsiteX0" fmla="*/ 66675 w 66675"/>
                  <a:gd name="connsiteY0" fmla="*/ 0 h 190500"/>
                  <a:gd name="connsiteX1" fmla="*/ 0 w 66675"/>
                  <a:gd name="connsiteY1" fmla="*/ 2381 h 190500"/>
                  <a:gd name="connsiteX2" fmla="*/ 0 w 66675"/>
                  <a:gd name="connsiteY2" fmla="*/ 190500 h 190500"/>
                  <a:gd name="connsiteX3" fmla="*/ 0 w 66675"/>
                  <a:gd name="connsiteY3" fmla="*/ 190500 h 190500"/>
                </a:gdLst>
                <a:ahLst/>
                <a:cxnLst>
                  <a:cxn ang="0">
                    <a:pos x="connsiteX0" y="connsiteY0"/>
                  </a:cxn>
                  <a:cxn ang="0">
                    <a:pos x="connsiteX1" y="connsiteY1"/>
                  </a:cxn>
                  <a:cxn ang="0">
                    <a:pos x="connsiteX2" y="connsiteY2"/>
                  </a:cxn>
                  <a:cxn ang="0">
                    <a:pos x="connsiteX3" y="connsiteY3"/>
                  </a:cxn>
                </a:cxnLst>
                <a:rect l="l" t="t" r="r" b="b"/>
                <a:pathLst>
                  <a:path w="66675" h="190500">
                    <a:moveTo>
                      <a:pt x="66675" y="0"/>
                    </a:moveTo>
                    <a:lnTo>
                      <a:pt x="0" y="2381"/>
                    </a:lnTo>
                    <a:lnTo>
                      <a:pt x="0" y="190500"/>
                    </a:lnTo>
                    <a:lnTo>
                      <a:pt x="0" y="190500"/>
                    </a:lnTo>
                  </a:path>
                </a:pathLst>
              </a:custGeom>
              <a:noFill/>
              <a:ln w="190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9" name="Freeform 88"/>
              <xdr:cNvSpPr/>
            </xdr:nvSpPr>
            <xdr:spPr>
              <a:xfrm>
                <a:off x="7995389" y="6918505"/>
                <a:ext cx="266205" cy="292676"/>
              </a:xfrm>
              <a:custGeom>
                <a:avLst/>
                <a:gdLst>
                  <a:gd name="connsiteX0" fmla="*/ 0 w 266700"/>
                  <a:gd name="connsiteY0" fmla="*/ 0 h 295275"/>
                  <a:gd name="connsiteX1" fmla="*/ 266700 w 266700"/>
                  <a:gd name="connsiteY1" fmla="*/ 0 h 295275"/>
                  <a:gd name="connsiteX2" fmla="*/ 266700 w 266700"/>
                  <a:gd name="connsiteY2" fmla="*/ 295275 h 295275"/>
                  <a:gd name="connsiteX0" fmla="*/ 0 w 382286"/>
                  <a:gd name="connsiteY0" fmla="*/ 0 h 295275"/>
                  <a:gd name="connsiteX1" fmla="*/ 382286 w 382286"/>
                  <a:gd name="connsiteY1" fmla="*/ 0 h 295275"/>
                  <a:gd name="connsiteX2" fmla="*/ 382286 w 382286"/>
                  <a:gd name="connsiteY2" fmla="*/ 295275 h 295275"/>
                </a:gdLst>
                <a:ahLst/>
                <a:cxnLst>
                  <a:cxn ang="0">
                    <a:pos x="connsiteX0" y="connsiteY0"/>
                  </a:cxn>
                  <a:cxn ang="0">
                    <a:pos x="connsiteX1" y="connsiteY1"/>
                  </a:cxn>
                  <a:cxn ang="0">
                    <a:pos x="connsiteX2" y="connsiteY2"/>
                  </a:cxn>
                </a:cxnLst>
                <a:rect l="l" t="t" r="r" b="b"/>
                <a:pathLst>
                  <a:path w="382286" h="295275">
                    <a:moveTo>
                      <a:pt x="0" y="0"/>
                    </a:moveTo>
                    <a:lnTo>
                      <a:pt x="382286" y="0"/>
                    </a:lnTo>
                    <a:lnTo>
                      <a:pt x="382286" y="295275"/>
                    </a:lnTo>
                  </a:path>
                </a:pathLst>
              </a:custGeom>
              <a:noFill/>
              <a:ln>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0" name="Freeform 89"/>
              <xdr:cNvSpPr/>
            </xdr:nvSpPr>
            <xdr:spPr>
              <a:xfrm>
                <a:off x="8222697" y="7154468"/>
                <a:ext cx="214972" cy="4817758"/>
              </a:xfrm>
              <a:custGeom>
                <a:avLst/>
                <a:gdLst>
                  <a:gd name="connsiteX0" fmla="*/ 57150 w 200025"/>
                  <a:gd name="connsiteY0" fmla="*/ 0 h 4467225"/>
                  <a:gd name="connsiteX1" fmla="*/ 57150 w 200025"/>
                  <a:gd name="connsiteY1" fmla="*/ 266700 h 4467225"/>
                  <a:gd name="connsiteX2" fmla="*/ 76200 w 200025"/>
                  <a:gd name="connsiteY2" fmla="*/ 304800 h 4467225"/>
                  <a:gd name="connsiteX3" fmla="*/ 114300 w 200025"/>
                  <a:gd name="connsiteY3" fmla="*/ 352425 h 4467225"/>
                  <a:gd name="connsiteX4" fmla="*/ 152400 w 200025"/>
                  <a:gd name="connsiteY4" fmla="*/ 371475 h 4467225"/>
                  <a:gd name="connsiteX5" fmla="*/ 180975 w 200025"/>
                  <a:gd name="connsiteY5" fmla="*/ 409575 h 4467225"/>
                  <a:gd name="connsiteX6" fmla="*/ 200025 w 200025"/>
                  <a:gd name="connsiteY6" fmla="*/ 485775 h 4467225"/>
                  <a:gd name="connsiteX7" fmla="*/ 200025 w 200025"/>
                  <a:gd name="connsiteY7" fmla="*/ 3971925 h 4467225"/>
                  <a:gd name="connsiteX8" fmla="*/ 171450 w 200025"/>
                  <a:gd name="connsiteY8" fmla="*/ 4057650 h 4467225"/>
                  <a:gd name="connsiteX9" fmla="*/ 104775 w 200025"/>
                  <a:gd name="connsiteY9" fmla="*/ 4105275 h 4467225"/>
                  <a:gd name="connsiteX10" fmla="*/ 47625 w 200025"/>
                  <a:gd name="connsiteY10" fmla="*/ 4200525 h 4467225"/>
                  <a:gd name="connsiteX11" fmla="*/ 47625 w 200025"/>
                  <a:gd name="connsiteY11" fmla="*/ 4276725 h 4467225"/>
                  <a:gd name="connsiteX12" fmla="*/ 47625 w 200025"/>
                  <a:gd name="connsiteY12" fmla="*/ 4467225 h 4467225"/>
                  <a:gd name="connsiteX13" fmla="*/ 0 w 200025"/>
                  <a:gd name="connsiteY13" fmla="*/ 0 h 4467225"/>
                  <a:gd name="connsiteX14" fmla="*/ 57150 w 200025"/>
                  <a:gd name="connsiteY14" fmla="*/ 0 h 4467225"/>
                  <a:gd name="connsiteX0" fmla="*/ 57150 w 200025"/>
                  <a:gd name="connsiteY0" fmla="*/ 0 h 4485212"/>
                  <a:gd name="connsiteX1" fmla="*/ 57150 w 200025"/>
                  <a:gd name="connsiteY1" fmla="*/ 266700 h 4485212"/>
                  <a:gd name="connsiteX2" fmla="*/ 76200 w 200025"/>
                  <a:gd name="connsiteY2" fmla="*/ 304800 h 4485212"/>
                  <a:gd name="connsiteX3" fmla="*/ 114300 w 200025"/>
                  <a:gd name="connsiteY3" fmla="*/ 352425 h 4485212"/>
                  <a:gd name="connsiteX4" fmla="*/ 152400 w 200025"/>
                  <a:gd name="connsiteY4" fmla="*/ 371475 h 4485212"/>
                  <a:gd name="connsiteX5" fmla="*/ 180975 w 200025"/>
                  <a:gd name="connsiteY5" fmla="*/ 409575 h 4485212"/>
                  <a:gd name="connsiteX6" fmla="*/ 200025 w 200025"/>
                  <a:gd name="connsiteY6" fmla="*/ 485775 h 4485212"/>
                  <a:gd name="connsiteX7" fmla="*/ 200025 w 200025"/>
                  <a:gd name="connsiteY7" fmla="*/ 3971925 h 4485212"/>
                  <a:gd name="connsiteX8" fmla="*/ 171450 w 200025"/>
                  <a:gd name="connsiteY8" fmla="*/ 4057650 h 4485212"/>
                  <a:gd name="connsiteX9" fmla="*/ 104775 w 200025"/>
                  <a:gd name="connsiteY9" fmla="*/ 4105275 h 4485212"/>
                  <a:gd name="connsiteX10" fmla="*/ 47625 w 200025"/>
                  <a:gd name="connsiteY10" fmla="*/ 4200525 h 4485212"/>
                  <a:gd name="connsiteX11" fmla="*/ 47625 w 200025"/>
                  <a:gd name="connsiteY11" fmla="*/ 4276725 h 4485212"/>
                  <a:gd name="connsiteX12" fmla="*/ 10990 w 200025"/>
                  <a:gd name="connsiteY12" fmla="*/ 4485212 h 4485212"/>
                  <a:gd name="connsiteX13" fmla="*/ 0 w 200025"/>
                  <a:gd name="connsiteY13" fmla="*/ 0 h 4485212"/>
                  <a:gd name="connsiteX14" fmla="*/ 57150 w 200025"/>
                  <a:gd name="connsiteY14" fmla="*/ 0 h 4485212"/>
                  <a:gd name="connsiteX0" fmla="*/ 57150 w 200025"/>
                  <a:gd name="connsiteY0" fmla="*/ 0 h 4498149"/>
                  <a:gd name="connsiteX1" fmla="*/ 57150 w 200025"/>
                  <a:gd name="connsiteY1" fmla="*/ 266700 h 4498149"/>
                  <a:gd name="connsiteX2" fmla="*/ 76200 w 200025"/>
                  <a:gd name="connsiteY2" fmla="*/ 304800 h 4498149"/>
                  <a:gd name="connsiteX3" fmla="*/ 114300 w 200025"/>
                  <a:gd name="connsiteY3" fmla="*/ 352425 h 4498149"/>
                  <a:gd name="connsiteX4" fmla="*/ 152400 w 200025"/>
                  <a:gd name="connsiteY4" fmla="*/ 371475 h 4498149"/>
                  <a:gd name="connsiteX5" fmla="*/ 180975 w 200025"/>
                  <a:gd name="connsiteY5" fmla="*/ 409575 h 4498149"/>
                  <a:gd name="connsiteX6" fmla="*/ 200025 w 200025"/>
                  <a:gd name="connsiteY6" fmla="*/ 485775 h 4498149"/>
                  <a:gd name="connsiteX7" fmla="*/ 200025 w 200025"/>
                  <a:gd name="connsiteY7" fmla="*/ 3971925 h 4498149"/>
                  <a:gd name="connsiteX8" fmla="*/ 171450 w 200025"/>
                  <a:gd name="connsiteY8" fmla="*/ 4057650 h 4498149"/>
                  <a:gd name="connsiteX9" fmla="*/ 104775 w 200025"/>
                  <a:gd name="connsiteY9" fmla="*/ 4105275 h 4498149"/>
                  <a:gd name="connsiteX10" fmla="*/ 47625 w 200025"/>
                  <a:gd name="connsiteY10" fmla="*/ 4200525 h 4498149"/>
                  <a:gd name="connsiteX11" fmla="*/ 47625 w 200025"/>
                  <a:gd name="connsiteY11" fmla="*/ 4486572 h 4498149"/>
                  <a:gd name="connsiteX12" fmla="*/ 10990 w 200025"/>
                  <a:gd name="connsiteY12" fmla="*/ 4485212 h 4498149"/>
                  <a:gd name="connsiteX13" fmla="*/ 0 w 200025"/>
                  <a:gd name="connsiteY13" fmla="*/ 0 h 4498149"/>
                  <a:gd name="connsiteX14" fmla="*/ 57150 w 200025"/>
                  <a:gd name="connsiteY14" fmla="*/ 0 h 4498149"/>
                  <a:gd name="connsiteX0" fmla="*/ 57150 w 200025"/>
                  <a:gd name="connsiteY0" fmla="*/ 0 h 4498149"/>
                  <a:gd name="connsiteX1" fmla="*/ 57150 w 200025"/>
                  <a:gd name="connsiteY1" fmla="*/ 266700 h 4498149"/>
                  <a:gd name="connsiteX2" fmla="*/ 76200 w 200025"/>
                  <a:gd name="connsiteY2" fmla="*/ 304800 h 4498149"/>
                  <a:gd name="connsiteX3" fmla="*/ 114300 w 200025"/>
                  <a:gd name="connsiteY3" fmla="*/ 352425 h 4498149"/>
                  <a:gd name="connsiteX4" fmla="*/ 152400 w 200025"/>
                  <a:gd name="connsiteY4" fmla="*/ 371475 h 4498149"/>
                  <a:gd name="connsiteX5" fmla="*/ 180975 w 200025"/>
                  <a:gd name="connsiteY5" fmla="*/ 409575 h 4498149"/>
                  <a:gd name="connsiteX6" fmla="*/ 200025 w 200025"/>
                  <a:gd name="connsiteY6" fmla="*/ 485775 h 4498149"/>
                  <a:gd name="connsiteX7" fmla="*/ 200025 w 200025"/>
                  <a:gd name="connsiteY7" fmla="*/ 3971925 h 4498149"/>
                  <a:gd name="connsiteX8" fmla="*/ 171450 w 200025"/>
                  <a:gd name="connsiteY8" fmla="*/ 4057650 h 4498149"/>
                  <a:gd name="connsiteX9" fmla="*/ 104775 w 200025"/>
                  <a:gd name="connsiteY9" fmla="*/ 4105275 h 4498149"/>
                  <a:gd name="connsiteX10" fmla="*/ 47625 w 200025"/>
                  <a:gd name="connsiteY10" fmla="*/ 4200525 h 4498149"/>
                  <a:gd name="connsiteX11" fmla="*/ 65838 w 200025"/>
                  <a:gd name="connsiteY11" fmla="*/ 4486572 h 4498149"/>
                  <a:gd name="connsiteX12" fmla="*/ 10990 w 200025"/>
                  <a:gd name="connsiteY12" fmla="*/ 4485212 h 4498149"/>
                  <a:gd name="connsiteX13" fmla="*/ 0 w 200025"/>
                  <a:gd name="connsiteY13" fmla="*/ 0 h 4498149"/>
                  <a:gd name="connsiteX14" fmla="*/ 57150 w 200025"/>
                  <a:gd name="connsiteY14" fmla="*/ 0 h 4498149"/>
                  <a:gd name="connsiteX0" fmla="*/ 57150 w 200025"/>
                  <a:gd name="connsiteY0" fmla="*/ 0 h 4498149"/>
                  <a:gd name="connsiteX1" fmla="*/ 57150 w 200025"/>
                  <a:gd name="connsiteY1" fmla="*/ 266700 h 4498149"/>
                  <a:gd name="connsiteX2" fmla="*/ 76200 w 200025"/>
                  <a:gd name="connsiteY2" fmla="*/ 304800 h 4498149"/>
                  <a:gd name="connsiteX3" fmla="*/ 114300 w 200025"/>
                  <a:gd name="connsiteY3" fmla="*/ 352425 h 4498149"/>
                  <a:gd name="connsiteX4" fmla="*/ 152400 w 200025"/>
                  <a:gd name="connsiteY4" fmla="*/ 371475 h 4498149"/>
                  <a:gd name="connsiteX5" fmla="*/ 180975 w 200025"/>
                  <a:gd name="connsiteY5" fmla="*/ 409575 h 4498149"/>
                  <a:gd name="connsiteX6" fmla="*/ 200025 w 200025"/>
                  <a:gd name="connsiteY6" fmla="*/ 485775 h 4498149"/>
                  <a:gd name="connsiteX7" fmla="*/ 200025 w 200025"/>
                  <a:gd name="connsiteY7" fmla="*/ 3971925 h 4498149"/>
                  <a:gd name="connsiteX8" fmla="*/ 171450 w 200025"/>
                  <a:gd name="connsiteY8" fmla="*/ 4057650 h 4498149"/>
                  <a:gd name="connsiteX9" fmla="*/ 104775 w 200025"/>
                  <a:gd name="connsiteY9" fmla="*/ 4105275 h 4498149"/>
                  <a:gd name="connsiteX10" fmla="*/ 77980 w 200025"/>
                  <a:gd name="connsiteY10" fmla="*/ 4200525 h 4498149"/>
                  <a:gd name="connsiteX11" fmla="*/ 65838 w 200025"/>
                  <a:gd name="connsiteY11" fmla="*/ 4486572 h 4498149"/>
                  <a:gd name="connsiteX12" fmla="*/ 10990 w 200025"/>
                  <a:gd name="connsiteY12" fmla="*/ 4485212 h 4498149"/>
                  <a:gd name="connsiteX13" fmla="*/ 0 w 200025"/>
                  <a:gd name="connsiteY13" fmla="*/ 0 h 4498149"/>
                  <a:gd name="connsiteX14" fmla="*/ 57150 w 200025"/>
                  <a:gd name="connsiteY14" fmla="*/ 0 h 4498149"/>
                  <a:gd name="connsiteX0" fmla="*/ 57150 w 200025"/>
                  <a:gd name="connsiteY0" fmla="*/ 0 h 4498149"/>
                  <a:gd name="connsiteX1" fmla="*/ 57150 w 200025"/>
                  <a:gd name="connsiteY1" fmla="*/ 266700 h 4498149"/>
                  <a:gd name="connsiteX2" fmla="*/ 76200 w 200025"/>
                  <a:gd name="connsiteY2" fmla="*/ 304800 h 4498149"/>
                  <a:gd name="connsiteX3" fmla="*/ 114300 w 200025"/>
                  <a:gd name="connsiteY3" fmla="*/ 352425 h 4498149"/>
                  <a:gd name="connsiteX4" fmla="*/ 152400 w 200025"/>
                  <a:gd name="connsiteY4" fmla="*/ 371475 h 4498149"/>
                  <a:gd name="connsiteX5" fmla="*/ 180975 w 200025"/>
                  <a:gd name="connsiteY5" fmla="*/ 409575 h 4498149"/>
                  <a:gd name="connsiteX6" fmla="*/ 200025 w 200025"/>
                  <a:gd name="connsiteY6" fmla="*/ 485775 h 4498149"/>
                  <a:gd name="connsiteX7" fmla="*/ 200025 w 200025"/>
                  <a:gd name="connsiteY7" fmla="*/ 3971925 h 4498149"/>
                  <a:gd name="connsiteX8" fmla="*/ 171450 w 200025"/>
                  <a:gd name="connsiteY8" fmla="*/ 4057650 h 4498149"/>
                  <a:gd name="connsiteX9" fmla="*/ 104775 w 200025"/>
                  <a:gd name="connsiteY9" fmla="*/ 4105275 h 4498149"/>
                  <a:gd name="connsiteX10" fmla="*/ 59767 w 200025"/>
                  <a:gd name="connsiteY10" fmla="*/ 4200525 h 4498149"/>
                  <a:gd name="connsiteX11" fmla="*/ 65838 w 200025"/>
                  <a:gd name="connsiteY11" fmla="*/ 4486572 h 4498149"/>
                  <a:gd name="connsiteX12" fmla="*/ 10990 w 200025"/>
                  <a:gd name="connsiteY12" fmla="*/ 4485212 h 4498149"/>
                  <a:gd name="connsiteX13" fmla="*/ 0 w 200025"/>
                  <a:gd name="connsiteY13" fmla="*/ 0 h 4498149"/>
                  <a:gd name="connsiteX14" fmla="*/ 57150 w 200025"/>
                  <a:gd name="connsiteY14" fmla="*/ 0 h 4498149"/>
                  <a:gd name="connsiteX0" fmla="*/ 57150 w 200025"/>
                  <a:gd name="connsiteY0" fmla="*/ 0 h 4498149"/>
                  <a:gd name="connsiteX1" fmla="*/ 57150 w 200025"/>
                  <a:gd name="connsiteY1" fmla="*/ 266700 h 4498149"/>
                  <a:gd name="connsiteX2" fmla="*/ 76200 w 200025"/>
                  <a:gd name="connsiteY2" fmla="*/ 304800 h 4498149"/>
                  <a:gd name="connsiteX3" fmla="*/ 114300 w 200025"/>
                  <a:gd name="connsiteY3" fmla="*/ 352425 h 4498149"/>
                  <a:gd name="connsiteX4" fmla="*/ 152400 w 200025"/>
                  <a:gd name="connsiteY4" fmla="*/ 371475 h 4498149"/>
                  <a:gd name="connsiteX5" fmla="*/ 180975 w 200025"/>
                  <a:gd name="connsiteY5" fmla="*/ 409575 h 4498149"/>
                  <a:gd name="connsiteX6" fmla="*/ 200025 w 200025"/>
                  <a:gd name="connsiteY6" fmla="*/ 485775 h 4498149"/>
                  <a:gd name="connsiteX7" fmla="*/ 200025 w 200025"/>
                  <a:gd name="connsiteY7" fmla="*/ 3971925 h 4498149"/>
                  <a:gd name="connsiteX8" fmla="*/ 171450 w 200025"/>
                  <a:gd name="connsiteY8" fmla="*/ 4057650 h 4498149"/>
                  <a:gd name="connsiteX9" fmla="*/ 104775 w 200025"/>
                  <a:gd name="connsiteY9" fmla="*/ 4144946 h 4498149"/>
                  <a:gd name="connsiteX10" fmla="*/ 59767 w 200025"/>
                  <a:gd name="connsiteY10" fmla="*/ 4200525 h 4498149"/>
                  <a:gd name="connsiteX11" fmla="*/ 65838 w 200025"/>
                  <a:gd name="connsiteY11" fmla="*/ 4486572 h 4498149"/>
                  <a:gd name="connsiteX12" fmla="*/ 10990 w 200025"/>
                  <a:gd name="connsiteY12" fmla="*/ 4485212 h 4498149"/>
                  <a:gd name="connsiteX13" fmla="*/ 0 w 200025"/>
                  <a:gd name="connsiteY13" fmla="*/ 0 h 4498149"/>
                  <a:gd name="connsiteX14" fmla="*/ 57150 w 200025"/>
                  <a:gd name="connsiteY14" fmla="*/ 0 h 4498149"/>
                  <a:gd name="connsiteX0" fmla="*/ 57150 w 200025"/>
                  <a:gd name="connsiteY0" fmla="*/ 0 h 4498149"/>
                  <a:gd name="connsiteX1" fmla="*/ 57150 w 200025"/>
                  <a:gd name="connsiteY1" fmla="*/ 266700 h 4498149"/>
                  <a:gd name="connsiteX2" fmla="*/ 76200 w 200025"/>
                  <a:gd name="connsiteY2" fmla="*/ 304800 h 4498149"/>
                  <a:gd name="connsiteX3" fmla="*/ 114300 w 200025"/>
                  <a:gd name="connsiteY3" fmla="*/ 352425 h 4498149"/>
                  <a:gd name="connsiteX4" fmla="*/ 152400 w 200025"/>
                  <a:gd name="connsiteY4" fmla="*/ 371475 h 4498149"/>
                  <a:gd name="connsiteX5" fmla="*/ 180975 w 200025"/>
                  <a:gd name="connsiteY5" fmla="*/ 409575 h 4498149"/>
                  <a:gd name="connsiteX6" fmla="*/ 200025 w 200025"/>
                  <a:gd name="connsiteY6" fmla="*/ 485775 h 4498149"/>
                  <a:gd name="connsiteX7" fmla="*/ 200025 w 200025"/>
                  <a:gd name="connsiteY7" fmla="*/ 3971925 h 4498149"/>
                  <a:gd name="connsiteX8" fmla="*/ 171450 w 200025"/>
                  <a:gd name="connsiteY8" fmla="*/ 4057650 h 4498149"/>
                  <a:gd name="connsiteX9" fmla="*/ 154449 w 200025"/>
                  <a:gd name="connsiteY9" fmla="*/ 4154223 h 4498149"/>
                  <a:gd name="connsiteX10" fmla="*/ 104775 w 200025"/>
                  <a:gd name="connsiteY10" fmla="*/ 4144946 h 4498149"/>
                  <a:gd name="connsiteX11" fmla="*/ 59767 w 200025"/>
                  <a:gd name="connsiteY11" fmla="*/ 4200525 h 4498149"/>
                  <a:gd name="connsiteX12" fmla="*/ 65838 w 200025"/>
                  <a:gd name="connsiteY12" fmla="*/ 4486572 h 4498149"/>
                  <a:gd name="connsiteX13" fmla="*/ 10990 w 200025"/>
                  <a:gd name="connsiteY13" fmla="*/ 4485212 h 4498149"/>
                  <a:gd name="connsiteX14" fmla="*/ 0 w 200025"/>
                  <a:gd name="connsiteY14" fmla="*/ 0 h 4498149"/>
                  <a:gd name="connsiteX15" fmla="*/ 57150 w 200025"/>
                  <a:gd name="connsiteY15" fmla="*/ 0 h 4498149"/>
                  <a:gd name="connsiteX0" fmla="*/ 57150 w 200025"/>
                  <a:gd name="connsiteY0" fmla="*/ 0 h 4498149"/>
                  <a:gd name="connsiteX1" fmla="*/ 57150 w 200025"/>
                  <a:gd name="connsiteY1" fmla="*/ 266700 h 4498149"/>
                  <a:gd name="connsiteX2" fmla="*/ 76200 w 200025"/>
                  <a:gd name="connsiteY2" fmla="*/ 304800 h 4498149"/>
                  <a:gd name="connsiteX3" fmla="*/ 114300 w 200025"/>
                  <a:gd name="connsiteY3" fmla="*/ 352425 h 4498149"/>
                  <a:gd name="connsiteX4" fmla="*/ 152400 w 200025"/>
                  <a:gd name="connsiteY4" fmla="*/ 371475 h 4498149"/>
                  <a:gd name="connsiteX5" fmla="*/ 180975 w 200025"/>
                  <a:gd name="connsiteY5" fmla="*/ 409575 h 4498149"/>
                  <a:gd name="connsiteX6" fmla="*/ 200025 w 200025"/>
                  <a:gd name="connsiteY6" fmla="*/ 485775 h 4498149"/>
                  <a:gd name="connsiteX7" fmla="*/ 200025 w 200025"/>
                  <a:gd name="connsiteY7" fmla="*/ 3971925 h 4498149"/>
                  <a:gd name="connsiteX8" fmla="*/ 171450 w 200025"/>
                  <a:gd name="connsiteY8" fmla="*/ 4057650 h 4498149"/>
                  <a:gd name="connsiteX9" fmla="*/ 148378 w 200025"/>
                  <a:gd name="connsiteY9" fmla="*/ 4114553 h 4498149"/>
                  <a:gd name="connsiteX10" fmla="*/ 104775 w 200025"/>
                  <a:gd name="connsiteY10" fmla="*/ 4144946 h 4498149"/>
                  <a:gd name="connsiteX11" fmla="*/ 59767 w 200025"/>
                  <a:gd name="connsiteY11" fmla="*/ 4200525 h 4498149"/>
                  <a:gd name="connsiteX12" fmla="*/ 65838 w 200025"/>
                  <a:gd name="connsiteY12" fmla="*/ 4486572 h 4498149"/>
                  <a:gd name="connsiteX13" fmla="*/ 10990 w 200025"/>
                  <a:gd name="connsiteY13" fmla="*/ 4485212 h 4498149"/>
                  <a:gd name="connsiteX14" fmla="*/ 0 w 200025"/>
                  <a:gd name="connsiteY14" fmla="*/ 0 h 4498149"/>
                  <a:gd name="connsiteX15" fmla="*/ 57150 w 200025"/>
                  <a:gd name="connsiteY15" fmla="*/ 0 h 4498149"/>
                  <a:gd name="connsiteX0" fmla="*/ 57150 w 200025"/>
                  <a:gd name="connsiteY0" fmla="*/ 0 h 4497810"/>
                  <a:gd name="connsiteX1" fmla="*/ 57150 w 200025"/>
                  <a:gd name="connsiteY1" fmla="*/ 266700 h 4497810"/>
                  <a:gd name="connsiteX2" fmla="*/ 76200 w 200025"/>
                  <a:gd name="connsiteY2" fmla="*/ 304800 h 4497810"/>
                  <a:gd name="connsiteX3" fmla="*/ 114300 w 200025"/>
                  <a:gd name="connsiteY3" fmla="*/ 352425 h 4497810"/>
                  <a:gd name="connsiteX4" fmla="*/ 152400 w 200025"/>
                  <a:gd name="connsiteY4" fmla="*/ 371475 h 4497810"/>
                  <a:gd name="connsiteX5" fmla="*/ 180975 w 200025"/>
                  <a:gd name="connsiteY5" fmla="*/ 409575 h 4497810"/>
                  <a:gd name="connsiteX6" fmla="*/ 200025 w 200025"/>
                  <a:gd name="connsiteY6" fmla="*/ 485775 h 4497810"/>
                  <a:gd name="connsiteX7" fmla="*/ 200025 w 200025"/>
                  <a:gd name="connsiteY7" fmla="*/ 3971925 h 4497810"/>
                  <a:gd name="connsiteX8" fmla="*/ 171450 w 200025"/>
                  <a:gd name="connsiteY8" fmla="*/ 4057650 h 4497810"/>
                  <a:gd name="connsiteX9" fmla="*/ 148378 w 200025"/>
                  <a:gd name="connsiteY9" fmla="*/ 4114553 h 4497810"/>
                  <a:gd name="connsiteX10" fmla="*/ 104775 w 200025"/>
                  <a:gd name="connsiteY10" fmla="*/ 4144946 h 4497810"/>
                  <a:gd name="connsiteX11" fmla="*/ 77981 w 200025"/>
                  <a:gd name="connsiteY11" fmla="*/ 4206192 h 4497810"/>
                  <a:gd name="connsiteX12" fmla="*/ 65838 w 200025"/>
                  <a:gd name="connsiteY12" fmla="*/ 4486572 h 4497810"/>
                  <a:gd name="connsiteX13" fmla="*/ 10990 w 200025"/>
                  <a:gd name="connsiteY13" fmla="*/ 4485212 h 4497810"/>
                  <a:gd name="connsiteX14" fmla="*/ 0 w 200025"/>
                  <a:gd name="connsiteY14" fmla="*/ 0 h 4497810"/>
                  <a:gd name="connsiteX15" fmla="*/ 57150 w 200025"/>
                  <a:gd name="connsiteY15" fmla="*/ 0 h 4497810"/>
                  <a:gd name="connsiteX0" fmla="*/ 57150 w 200025"/>
                  <a:gd name="connsiteY0" fmla="*/ 0 h 4497810"/>
                  <a:gd name="connsiteX1" fmla="*/ 57150 w 200025"/>
                  <a:gd name="connsiteY1" fmla="*/ 266700 h 4497810"/>
                  <a:gd name="connsiteX2" fmla="*/ 76200 w 200025"/>
                  <a:gd name="connsiteY2" fmla="*/ 304800 h 4497810"/>
                  <a:gd name="connsiteX3" fmla="*/ 114300 w 200025"/>
                  <a:gd name="connsiteY3" fmla="*/ 352425 h 4497810"/>
                  <a:gd name="connsiteX4" fmla="*/ 152400 w 200025"/>
                  <a:gd name="connsiteY4" fmla="*/ 371475 h 4497810"/>
                  <a:gd name="connsiteX5" fmla="*/ 180975 w 200025"/>
                  <a:gd name="connsiteY5" fmla="*/ 409575 h 4497810"/>
                  <a:gd name="connsiteX6" fmla="*/ 200025 w 200025"/>
                  <a:gd name="connsiteY6" fmla="*/ 485775 h 4497810"/>
                  <a:gd name="connsiteX7" fmla="*/ 200025 w 200025"/>
                  <a:gd name="connsiteY7" fmla="*/ 3971925 h 4497810"/>
                  <a:gd name="connsiteX8" fmla="*/ 171450 w 200025"/>
                  <a:gd name="connsiteY8" fmla="*/ 4057650 h 4497810"/>
                  <a:gd name="connsiteX9" fmla="*/ 148378 w 200025"/>
                  <a:gd name="connsiteY9" fmla="*/ 4114553 h 4497810"/>
                  <a:gd name="connsiteX10" fmla="*/ 104775 w 200025"/>
                  <a:gd name="connsiteY10" fmla="*/ 4144946 h 4497810"/>
                  <a:gd name="connsiteX11" fmla="*/ 65840 w 200025"/>
                  <a:gd name="connsiteY11" fmla="*/ 4206192 h 4497810"/>
                  <a:gd name="connsiteX12" fmla="*/ 65838 w 200025"/>
                  <a:gd name="connsiteY12" fmla="*/ 4486572 h 4497810"/>
                  <a:gd name="connsiteX13" fmla="*/ 10990 w 200025"/>
                  <a:gd name="connsiteY13" fmla="*/ 4485212 h 4497810"/>
                  <a:gd name="connsiteX14" fmla="*/ 0 w 200025"/>
                  <a:gd name="connsiteY14" fmla="*/ 0 h 4497810"/>
                  <a:gd name="connsiteX15" fmla="*/ 57150 w 200025"/>
                  <a:gd name="connsiteY15" fmla="*/ 0 h 4497810"/>
                  <a:gd name="connsiteX0" fmla="*/ 57150 w 200025"/>
                  <a:gd name="connsiteY0" fmla="*/ 0 h 4498149"/>
                  <a:gd name="connsiteX1" fmla="*/ 57150 w 200025"/>
                  <a:gd name="connsiteY1" fmla="*/ 266700 h 4498149"/>
                  <a:gd name="connsiteX2" fmla="*/ 76200 w 200025"/>
                  <a:gd name="connsiteY2" fmla="*/ 304800 h 4498149"/>
                  <a:gd name="connsiteX3" fmla="*/ 114300 w 200025"/>
                  <a:gd name="connsiteY3" fmla="*/ 352425 h 4498149"/>
                  <a:gd name="connsiteX4" fmla="*/ 152400 w 200025"/>
                  <a:gd name="connsiteY4" fmla="*/ 371475 h 4498149"/>
                  <a:gd name="connsiteX5" fmla="*/ 180975 w 200025"/>
                  <a:gd name="connsiteY5" fmla="*/ 409575 h 4498149"/>
                  <a:gd name="connsiteX6" fmla="*/ 200025 w 200025"/>
                  <a:gd name="connsiteY6" fmla="*/ 485775 h 4498149"/>
                  <a:gd name="connsiteX7" fmla="*/ 200025 w 200025"/>
                  <a:gd name="connsiteY7" fmla="*/ 3971925 h 4498149"/>
                  <a:gd name="connsiteX8" fmla="*/ 171450 w 200025"/>
                  <a:gd name="connsiteY8" fmla="*/ 4057650 h 4498149"/>
                  <a:gd name="connsiteX9" fmla="*/ 148378 w 200025"/>
                  <a:gd name="connsiteY9" fmla="*/ 4114553 h 4498149"/>
                  <a:gd name="connsiteX10" fmla="*/ 104775 w 200025"/>
                  <a:gd name="connsiteY10" fmla="*/ 4144946 h 4498149"/>
                  <a:gd name="connsiteX11" fmla="*/ 71911 w 200025"/>
                  <a:gd name="connsiteY11" fmla="*/ 4200525 h 4498149"/>
                  <a:gd name="connsiteX12" fmla="*/ 65838 w 200025"/>
                  <a:gd name="connsiteY12" fmla="*/ 4486572 h 4498149"/>
                  <a:gd name="connsiteX13" fmla="*/ 10990 w 200025"/>
                  <a:gd name="connsiteY13" fmla="*/ 4485212 h 4498149"/>
                  <a:gd name="connsiteX14" fmla="*/ 0 w 200025"/>
                  <a:gd name="connsiteY14" fmla="*/ 0 h 4498149"/>
                  <a:gd name="connsiteX15" fmla="*/ 57150 w 200025"/>
                  <a:gd name="connsiteY15" fmla="*/ 0 h 4498149"/>
                  <a:gd name="connsiteX0" fmla="*/ 57150 w 200025"/>
                  <a:gd name="connsiteY0" fmla="*/ 0 h 4498149"/>
                  <a:gd name="connsiteX1" fmla="*/ 57150 w 200025"/>
                  <a:gd name="connsiteY1" fmla="*/ 266700 h 4498149"/>
                  <a:gd name="connsiteX2" fmla="*/ 76200 w 200025"/>
                  <a:gd name="connsiteY2" fmla="*/ 304800 h 4498149"/>
                  <a:gd name="connsiteX3" fmla="*/ 114300 w 200025"/>
                  <a:gd name="connsiteY3" fmla="*/ 352425 h 4498149"/>
                  <a:gd name="connsiteX4" fmla="*/ 152400 w 200025"/>
                  <a:gd name="connsiteY4" fmla="*/ 371475 h 4498149"/>
                  <a:gd name="connsiteX5" fmla="*/ 180975 w 200025"/>
                  <a:gd name="connsiteY5" fmla="*/ 409575 h 4498149"/>
                  <a:gd name="connsiteX6" fmla="*/ 200025 w 200025"/>
                  <a:gd name="connsiteY6" fmla="*/ 485775 h 4498149"/>
                  <a:gd name="connsiteX7" fmla="*/ 200025 w 200025"/>
                  <a:gd name="connsiteY7" fmla="*/ 3971925 h 4498149"/>
                  <a:gd name="connsiteX8" fmla="*/ 195735 w 200025"/>
                  <a:gd name="connsiteY8" fmla="*/ 4051983 h 4498149"/>
                  <a:gd name="connsiteX9" fmla="*/ 148378 w 200025"/>
                  <a:gd name="connsiteY9" fmla="*/ 4114553 h 4498149"/>
                  <a:gd name="connsiteX10" fmla="*/ 104775 w 200025"/>
                  <a:gd name="connsiteY10" fmla="*/ 4144946 h 4498149"/>
                  <a:gd name="connsiteX11" fmla="*/ 71911 w 200025"/>
                  <a:gd name="connsiteY11" fmla="*/ 4200525 h 4498149"/>
                  <a:gd name="connsiteX12" fmla="*/ 65838 w 200025"/>
                  <a:gd name="connsiteY12" fmla="*/ 4486572 h 4498149"/>
                  <a:gd name="connsiteX13" fmla="*/ 10990 w 200025"/>
                  <a:gd name="connsiteY13" fmla="*/ 4485212 h 4498149"/>
                  <a:gd name="connsiteX14" fmla="*/ 0 w 200025"/>
                  <a:gd name="connsiteY14" fmla="*/ 0 h 4498149"/>
                  <a:gd name="connsiteX15" fmla="*/ 57150 w 200025"/>
                  <a:gd name="connsiteY15" fmla="*/ 0 h 4498149"/>
                  <a:gd name="connsiteX0" fmla="*/ 57150 w 200025"/>
                  <a:gd name="connsiteY0" fmla="*/ 0 h 4498149"/>
                  <a:gd name="connsiteX1" fmla="*/ 57150 w 200025"/>
                  <a:gd name="connsiteY1" fmla="*/ 266700 h 4498149"/>
                  <a:gd name="connsiteX2" fmla="*/ 76200 w 200025"/>
                  <a:gd name="connsiteY2" fmla="*/ 304800 h 4498149"/>
                  <a:gd name="connsiteX3" fmla="*/ 114300 w 200025"/>
                  <a:gd name="connsiteY3" fmla="*/ 352425 h 4498149"/>
                  <a:gd name="connsiteX4" fmla="*/ 152400 w 200025"/>
                  <a:gd name="connsiteY4" fmla="*/ 371475 h 4498149"/>
                  <a:gd name="connsiteX5" fmla="*/ 180975 w 200025"/>
                  <a:gd name="connsiteY5" fmla="*/ 409575 h 4498149"/>
                  <a:gd name="connsiteX6" fmla="*/ 200025 w 200025"/>
                  <a:gd name="connsiteY6" fmla="*/ 485775 h 4498149"/>
                  <a:gd name="connsiteX7" fmla="*/ 200025 w 200025"/>
                  <a:gd name="connsiteY7" fmla="*/ 3971925 h 4498149"/>
                  <a:gd name="connsiteX8" fmla="*/ 183593 w 200025"/>
                  <a:gd name="connsiteY8" fmla="*/ 4068985 h 4498149"/>
                  <a:gd name="connsiteX9" fmla="*/ 148378 w 200025"/>
                  <a:gd name="connsiteY9" fmla="*/ 4114553 h 4498149"/>
                  <a:gd name="connsiteX10" fmla="*/ 104775 w 200025"/>
                  <a:gd name="connsiteY10" fmla="*/ 4144946 h 4498149"/>
                  <a:gd name="connsiteX11" fmla="*/ 71911 w 200025"/>
                  <a:gd name="connsiteY11" fmla="*/ 4200525 h 4498149"/>
                  <a:gd name="connsiteX12" fmla="*/ 65838 w 200025"/>
                  <a:gd name="connsiteY12" fmla="*/ 4486572 h 4498149"/>
                  <a:gd name="connsiteX13" fmla="*/ 10990 w 200025"/>
                  <a:gd name="connsiteY13" fmla="*/ 4485212 h 4498149"/>
                  <a:gd name="connsiteX14" fmla="*/ 0 w 200025"/>
                  <a:gd name="connsiteY14" fmla="*/ 0 h 4498149"/>
                  <a:gd name="connsiteX15" fmla="*/ 57150 w 200025"/>
                  <a:gd name="connsiteY15" fmla="*/ 0 h 4498149"/>
                  <a:gd name="connsiteX0" fmla="*/ 57150 w 200025"/>
                  <a:gd name="connsiteY0" fmla="*/ 0 h 4499506"/>
                  <a:gd name="connsiteX1" fmla="*/ 57150 w 200025"/>
                  <a:gd name="connsiteY1" fmla="*/ 266700 h 4499506"/>
                  <a:gd name="connsiteX2" fmla="*/ 76200 w 200025"/>
                  <a:gd name="connsiteY2" fmla="*/ 304800 h 4499506"/>
                  <a:gd name="connsiteX3" fmla="*/ 114300 w 200025"/>
                  <a:gd name="connsiteY3" fmla="*/ 352425 h 4499506"/>
                  <a:gd name="connsiteX4" fmla="*/ 152400 w 200025"/>
                  <a:gd name="connsiteY4" fmla="*/ 371475 h 4499506"/>
                  <a:gd name="connsiteX5" fmla="*/ 180975 w 200025"/>
                  <a:gd name="connsiteY5" fmla="*/ 409575 h 4499506"/>
                  <a:gd name="connsiteX6" fmla="*/ 200025 w 200025"/>
                  <a:gd name="connsiteY6" fmla="*/ 485775 h 4499506"/>
                  <a:gd name="connsiteX7" fmla="*/ 200025 w 200025"/>
                  <a:gd name="connsiteY7" fmla="*/ 3971925 h 4499506"/>
                  <a:gd name="connsiteX8" fmla="*/ 183593 w 200025"/>
                  <a:gd name="connsiteY8" fmla="*/ 4068985 h 4499506"/>
                  <a:gd name="connsiteX9" fmla="*/ 148378 w 200025"/>
                  <a:gd name="connsiteY9" fmla="*/ 4114553 h 4499506"/>
                  <a:gd name="connsiteX10" fmla="*/ 104775 w 200025"/>
                  <a:gd name="connsiteY10" fmla="*/ 4144946 h 4499506"/>
                  <a:gd name="connsiteX11" fmla="*/ 71911 w 200025"/>
                  <a:gd name="connsiteY11" fmla="*/ 4200525 h 4499506"/>
                  <a:gd name="connsiteX12" fmla="*/ 65838 w 200025"/>
                  <a:gd name="connsiteY12" fmla="*/ 4486572 h 4499506"/>
                  <a:gd name="connsiteX13" fmla="*/ 10990 w 200025"/>
                  <a:gd name="connsiteY13" fmla="*/ 4494217 h 4499506"/>
                  <a:gd name="connsiteX14" fmla="*/ 0 w 200025"/>
                  <a:gd name="connsiteY14" fmla="*/ 0 h 4499506"/>
                  <a:gd name="connsiteX15" fmla="*/ 57150 w 200025"/>
                  <a:gd name="connsiteY15" fmla="*/ 0 h 4499506"/>
                  <a:gd name="connsiteX0" fmla="*/ 57150 w 200025"/>
                  <a:gd name="connsiteY0" fmla="*/ 0 h 4509997"/>
                  <a:gd name="connsiteX1" fmla="*/ 57150 w 200025"/>
                  <a:gd name="connsiteY1" fmla="*/ 266700 h 4509997"/>
                  <a:gd name="connsiteX2" fmla="*/ 76200 w 200025"/>
                  <a:gd name="connsiteY2" fmla="*/ 304800 h 4509997"/>
                  <a:gd name="connsiteX3" fmla="*/ 114300 w 200025"/>
                  <a:gd name="connsiteY3" fmla="*/ 352425 h 4509997"/>
                  <a:gd name="connsiteX4" fmla="*/ 152400 w 200025"/>
                  <a:gd name="connsiteY4" fmla="*/ 371475 h 4509997"/>
                  <a:gd name="connsiteX5" fmla="*/ 180975 w 200025"/>
                  <a:gd name="connsiteY5" fmla="*/ 409575 h 4509997"/>
                  <a:gd name="connsiteX6" fmla="*/ 200025 w 200025"/>
                  <a:gd name="connsiteY6" fmla="*/ 485775 h 4509997"/>
                  <a:gd name="connsiteX7" fmla="*/ 200025 w 200025"/>
                  <a:gd name="connsiteY7" fmla="*/ 3971925 h 4509997"/>
                  <a:gd name="connsiteX8" fmla="*/ 183593 w 200025"/>
                  <a:gd name="connsiteY8" fmla="*/ 4068985 h 4509997"/>
                  <a:gd name="connsiteX9" fmla="*/ 148378 w 200025"/>
                  <a:gd name="connsiteY9" fmla="*/ 4114553 h 4509997"/>
                  <a:gd name="connsiteX10" fmla="*/ 104775 w 200025"/>
                  <a:gd name="connsiteY10" fmla="*/ 4144946 h 4509997"/>
                  <a:gd name="connsiteX11" fmla="*/ 71911 w 200025"/>
                  <a:gd name="connsiteY11" fmla="*/ 4200525 h 4509997"/>
                  <a:gd name="connsiteX12" fmla="*/ 65838 w 200025"/>
                  <a:gd name="connsiteY12" fmla="*/ 4486572 h 4509997"/>
                  <a:gd name="connsiteX13" fmla="*/ 10990 w 200025"/>
                  <a:gd name="connsiteY13" fmla="*/ 4494217 h 4509997"/>
                  <a:gd name="connsiteX14" fmla="*/ 0 w 200025"/>
                  <a:gd name="connsiteY14" fmla="*/ 0 h 4509997"/>
                  <a:gd name="connsiteX15" fmla="*/ 57150 w 200025"/>
                  <a:gd name="connsiteY15" fmla="*/ 0 h 4509997"/>
                  <a:gd name="connsiteX0" fmla="*/ 57150 w 200025"/>
                  <a:gd name="connsiteY0" fmla="*/ 0 h 4509998"/>
                  <a:gd name="connsiteX1" fmla="*/ 57150 w 200025"/>
                  <a:gd name="connsiteY1" fmla="*/ 266700 h 4509998"/>
                  <a:gd name="connsiteX2" fmla="*/ 76200 w 200025"/>
                  <a:gd name="connsiteY2" fmla="*/ 304800 h 4509998"/>
                  <a:gd name="connsiteX3" fmla="*/ 114300 w 200025"/>
                  <a:gd name="connsiteY3" fmla="*/ 352425 h 4509998"/>
                  <a:gd name="connsiteX4" fmla="*/ 152400 w 200025"/>
                  <a:gd name="connsiteY4" fmla="*/ 371475 h 4509998"/>
                  <a:gd name="connsiteX5" fmla="*/ 180975 w 200025"/>
                  <a:gd name="connsiteY5" fmla="*/ 409575 h 4509998"/>
                  <a:gd name="connsiteX6" fmla="*/ 200025 w 200025"/>
                  <a:gd name="connsiteY6" fmla="*/ 485775 h 4509998"/>
                  <a:gd name="connsiteX7" fmla="*/ 200025 w 200025"/>
                  <a:gd name="connsiteY7" fmla="*/ 3971925 h 4509998"/>
                  <a:gd name="connsiteX8" fmla="*/ 183593 w 200025"/>
                  <a:gd name="connsiteY8" fmla="*/ 4068985 h 4509998"/>
                  <a:gd name="connsiteX9" fmla="*/ 148378 w 200025"/>
                  <a:gd name="connsiteY9" fmla="*/ 4114553 h 4509998"/>
                  <a:gd name="connsiteX10" fmla="*/ 104775 w 200025"/>
                  <a:gd name="connsiteY10" fmla="*/ 4144946 h 4509998"/>
                  <a:gd name="connsiteX11" fmla="*/ 71911 w 200025"/>
                  <a:gd name="connsiteY11" fmla="*/ 4200525 h 4509998"/>
                  <a:gd name="connsiteX12" fmla="*/ 65838 w 200025"/>
                  <a:gd name="connsiteY12" fmla="*/ 4486572 h 4509998"/>
                  <a:gd name="connsiteX13" fmla="*/ 10990 w 200025"/>
                  <a:gd name="connsiteY13" fmla="*/ 4494217 h 4509998"/>
                  <a:gd name="connsiteX14" fmla="*/ 0 w 200025"/>
                  <a:gd name="connsiteY14" fmla="*/ 0 h 4509998"/>
                  <a:gd name="connsiteX15" fmla="*/ 57150 w 200025"/>
                  <a:gd name="connsiteY15" fmla="*/ 0 h 4509998"/>
                  <a:gd name="connsiteX0" fmla="*/ 57150 w 200025"/>
                  <a:gd name="connsiteY0" fmla="*/ 0 h 4508446"/>
                  <a:gd name="connsiteX1" fmla="*/ 57150 w 200025"/>
                  <a:gd name="connsiteY1" fmla="*/ 266700 h 4508446"/>
                  <a:gd name="connsiteX2" fmla="*/ 76200 w 200025"/>
                  <a:gd name="connsiteY2" fmla="*/ 304800 h 4508446"/>
                  <a:gd name="connsiteX3" fmla="*/ 114300 w 200025"/>
                  <a:gd name="connsiteY3" fmla="*/ 352425 h 4508446"/>
                  <a:gd name="connsiteX4" fmla="*/ 152400 w 200025"/>
                  <a:gd name="connsiteY4" fmla="*/ 371475 h 4508446"/>
                  <a:gd name="connsiteX5" fmla="*/ 180975 w 200025"/>
                  <a:gd name="connsiteY5" fmla="*/ 409575 h 4508446"/>
                  <a:gd name="connsiteX6" fmla="*/ 200025 w 200025"/>
                  <a:gd name="connsiteY6" fmla="*/ 485775 h 4508446"/>
                  <a:gd name="connsiteX7" fmla="*/ 200025 w 200025"/>
                  <a:gd name="connsiteY7" fmla="*/ 3971925 h 4508446"/>
                  <a:gd name="connsiteX8" fmla="*/ 183593 w 200025"/>
                  <a:gd name="connsiteY8" fmla="*/ 4068985 h 4508446"/>
                  <a:gd name="connsiteX9" fmla="*/ 148378 w 200025"/>
                  <a:gd name="connsiteY9" fmla="*/ 4114553 h 4508446"/>
                  <a:gd name="connsiteX10" fmla="*/ 104775 w 200025"/>
                  <a:gd name="connsiteY10" fmla="*/ 4144946 h 4508446"/>
                  <a:gd name="connsiteX11" fmla="*/ 71911 w 200025"/>
                  <a:gd name="connsiteY11" fmla="*/ 4200525 h 4508446"/>
                  <a:gd name="connsiteX12" fmla="*/ 68205 w 200025"/>
                  <a:gd name="connsiteY12" fmla="*/ 4484322 h 4508446"/>
                  <a:gd name="connsiteX13" fmla="*/ 10990 w 200025"/>
                  <a:gd name="connsiteY13" fmla="*/ 4494217 h 4508446"/>
                  <a:gd name="connsiteX14" fmla="*/ 0 w 200025"/>
                  <a:gd name="connsiteY14" fmla="*/ 0 h 4508446"/>
                  <a:gd name="connsiteX15" fmla="*/ 57150 w 200025"/>
                  <a:gd name="connsiteY15" fmla="*/ 0 h 4508446"/>
                  <a:gd name="connsiteX0" fmla="*/ 57150 w 200025"/>
                  <a:gd name="connsiteY0" fmla="*/ 0 h 4497757"/>
                  <a:gd name="connsiteX1" fmla="*/ 57150 w 200025"/>
                  <a:gd name="connsiteY1" fmla="*/ 266700 h 4497757"/>
                  <a:gd name="connsiteX2" fmla="*/ 76200 w 200025"/>
                  <a:gd name="connsiteY2" fmla="*/ 304800 h 4497757"/>
                  <a:gd name="connsiteX3" fmla="*/ 114300 w 200025"/>
                  <a:gd name="connsiteY3" fmla="*/ 352425 h 4497757"/>
                  <a:gd name="connsiteX4" fmla="*/ 152400 w 200025"/>
                  <a:gd name="connsiteY4" fmla="*/ 371475 h 4497757"/>
                  <a:gd name="connsiteX5" fmla="*/ 180975 w 200025"/>
                  <a:gd name="connsiteY5" fmla="*/ 409575 h 4497757"/>
                  <a:gd name="connsiteX6" fmla="*/ 200025 w 200025"/>
                  <a:gd name="connsiteY6" fmla="*/ 485775 h 4497757"/>
                  <a:gd name="connsiteX7" fmla="*/ 200025 w 200025"/>
                  <a:gd name="connsiteY7" fmla="*/ 3971925 h 4497757"/>
                  <a:gd name="connsiteX8" fmla="*/ 183593 w 200025"/>
                  <a:gd name="connsiteY8" fmla="*/ 4068985 h 4497757"/>
                  <a:gd name="connsiteX9" fmla="*/ 148378 w 200025"/>
                  <a:gd name="connsiteY9" fmla="*/ 4114553 h 4497757"/>
                  <a:gd name="connsiteX10" fmla="*/ 104775 w 200025"/>
                  <a:gd name="connsiteY10" fmla="*/ 4144946 h 4497757"/>
                  <a:gd name="connsiteX11" fmla="*/ 71911 w 200025"/>
                  <a:gd name="connsiteY11" fmla="*/ 4200525 h 4497757"/>
                  <a:gd name="connsiteX12" fmla="*/ 68205 w 200025"/>
                  <a:gd name="connsiteY12" fmla="*/ 4484322 h 4497757"/>
                  <a:gd name="connsiteX13" fmla="*/ 10990 w 200025"/>
                  <a:gd name="connsiteY13" fmla="*/ 4494217 h 4497757"/>
                  <a:gd name="connsiteX14" fmla="*/ 0 w 200025"/>
                  <a:gd name="connsiteY14" fmla="*/ 0 h 4497757"/>
                  <a:gd name="connsiteX15" fmla="*/ 57150 w 200025"/>
                  <a:gd name="connsiteY15" fmla="*/ 0 h 4497757"/>
                  <a:gd name="connsiteX0" fmla="*/ 57150 w 200025"/>
                  <a:gd name="connsiteY0" fmla="*/ 0 h 4498002"/>
                  <a:gd name="connsiteX1" fmla="*/ 57150 w 200025"/>
                  <a:gd name="connsiteY1" fmla="*/ 266700 h 4498002"/>
                  <a:gd name="connsiteX2" fmla="*/ 76200 w 200025"/>
                  <a:gd name="connsiteY2" fmla="*/ 304800 h 4498002"/>
                  <a:gd name="connsiteX3" fmla="*/ 114300 w 200025"/>
                  <a:gd name="connsiteY3" fmla="*/ 352425 h 4498002"/>
                  <a:gd name="connsiteX4" fmla="*/ 152400 w 200025"/>
                  <a:gd name="connsiteY4" fmla="*/ 371475 h 4498002"/>
                  <a:gd name="connsiteX5" fmla="*/ 180975 w 200025"/>
                  <a:gd name="connsiteY5" fmla="*/ 409575 h 4498002"/>
                  <a:gd name="connsiteX6" fmla="*/ 200025 w 200025"/>
                  <a:gd name="connsiteY6" fmla="*/ 485775 h 4498002"/>
                  <a:gd name="connsiteX7" fmla="*/ 200025 w 200025"/>
                  <a:gd name="connsiteY7" fmla="*/ 3971925 h 4498002"/>
                  <a:gd name="connsiteX8" fmla="*/ 183593 w 200025"/>
                  <a:gd name="connsiteY8" fmla="*/ 4068985 h 4498002"/>
                  <a:gd name="connsiteX9" fmla="*/ 148378 w 200025"/>
                  <a:gd name="connsiteY9" fmla="*/ 4114553 h 4498002"/>
                  <a:gd name="connsiteX10" fmla="*/ 104775 w 200025"/>
                  <a:gd name="connsiteY10" fmla="*/ 4144946 h 4498002"/>
                  <a:gd name="connsiteX11" fmla="*/ 71911 w 200025"/>
                  <a:gd name="connsiteY11" fmla="*/ 4200525 h 4498002"/>
                  <a:gd name="connsiteX12" fmla="*/ 68205 w 200025"/>
                  <a:gd name="connsiteY12" fmla="*/ 4484322 h 4498002"/>
                  <a:gd name="connsiteX13" fmla="*/ 10990 w 200025"/>
                  <a:gd name="connsiteY13" fmla="*/ 4494217 h 4498002"/>
                  <a:gd name="connsiteX14" fmla="*/ 0 w 200025"/>
                  <a:gd name="connsiteY14" fmla="*/ 0 h 4498002"/>
                  <a:gd name="connsiteX15" fmla="*/ 57150 w 200025"/>
                  <a:gd name="connsiteY15" fmla="*/ 0 h 4498002"/>
                  <a:gd name="connsiteX0" fmla="*/ 57150 w 200025"/>
                  <a:gd name="connsiteY0" fmla="*/ 0 h 4494217"/>
                  <a:gd name="connsiteX1" fmla="*/ 57150 w 200025"/>
                  <a:gd name="connsiteY1" fmla="*/ 266700 h 4494217"/>
                  <a:gd name="connsiteX2" fmla="*/ 76200 w 200025"/>
                  <a:gd name="connsiteY2" fmla="*/ 304800 h 4494217"/>
                  <a:gd name="connsiteX3" fmla="*/ 114300 w 200025"/>
                  <a:gd name="connsiteY3" fmla="*/ 352425 h 4494217"/>
                  <a:gd name="connsiteX4" fmla="*/ 152400 w 200025"/>
                  <a:gd name="connsiteY4" fmla="*/ 371475 h 4494217"/>
                  <a:gd name="connsiteX5" fmla="*/ 180975 w 200025"/>
                  <a:gd name="connsiteY5" fmla="*/ 409575 h 4494217"/>
                  <a:gd name="connsiteX6" fmla="*/ 200025 w 200025"/>
                  <a:gd name="connsiteY6" fmla="*/ 485775 h 4494217"/>
                  <a:gd name="connsiteX7" fmla="*/ 200025 w 200025"/>
                  <a:gd name="connsiteY7" fmla="*/ 3971925 h 4494217"/>
                  <a:gd name="connsiteX8" fmla="*/ 183593 w 200025"/>
                  <a:gd name="connsiteY8" fmla="*/ 4068985 h 4494217"/>
                  <a:gd name="connsiteX9" fmla="*/ 148378 w 200025"/>
                  <a:gd name="connsiteY9" fmla="*/ 4114553 h 4494217"/>
                  <a:gd name="connsiteX10" fmla="*/ 104775 w 200025"/>
                  <a:gd name="connsiteY10" fmla="*/ 4144946 h 4494217"/>
                  <a:gd name="connsiteX11" fmla="*/ 71911 w 200025"/>
                  <a:gd name="connsiteY11" fmla="*/ 4200525 h 4494217"/>
                  <a:gd name="connsiteX12" fmla="*/ 68205 w 200025"/>
                  <a:gd name="connsiteY12" fmla="*/ 4484322 h 4494217"/>
                  <a:gd name="connsiteX13" fmla="*/ 10990 w 200025"/>
                  <a:gd name="connsiteY13" fmla="*/ 4494217 h 4494217"/>
                  <a:gd name="connsiteX14" fmla="*/ 0 w 200025"/>
                  <a:gd name="connsiteY14" fmla="*/ 0 h 4494217"/>
                  <a:gd name="connsiteX15" fmla="*/ 57150 w 200025"/>
                  <a:gd name="connsiteY15" fmla="*/ 0 h 4494217"/>
                  <a:gd name="connsiteX0" fmla="*/ 57150 w 200025"/>
                  <a:gd name="connsiteY0" fmla="*/ 0 h 4494217"/>
                  <a:gd name="connsiteX1" fmla="*/ 57150 w 200025"/>
                  <a:gd name="connsiteY1" fmla="*/ 266700 h 4494217"/>
                  <a:gd name="connsiteX2" fmla="*/ 76200 w 200025"/>
                  <a:gd name="connsiteY2" fmla="*/ 304800 h 4494217"/>
                  <a:gd name="connsiteX3" fmla="*/ 114300 w 200025"/>
                  <a:gd name="connsiteY3" fmla="*/ 352425 h 4494217"/>
                  <a:gd name="connsiteX4" fmla="*/ 152400 w 200025"/>
                  <a:gd name="connsiteY4" fmla="*/ 371475 h 4494217"/>
                  <a:gd name="connsiteX5" fmla="*/ 180975 w 200025"/>
                  <a:gd name="connsiteY5" fmla="*/ 409575 h 4494217"/>
                  <a:gd name="connsiteX6" fmla="*/ 200025 w 200025"/>
                  <a:gd name="connsiteY6" fmla="*/ 485775 h 4494217"/>
                  <a:gd name="connsiteX7" fmla="*/ 200025 w 200025"/>
                  <a:gd name="connsiteY7" fmla="*/ 3971925 h 4494217"/>
                  <a:gd name="connsiteX8" fmla="*/ 183593 w 200025"/>
                  <a:gd name="connsiteY8" fmla="*/ 4068985 h 4494217"/>
                  <a:gd name="connsiteX9" fmla="*/ 148378 w 200025"/>
                  <a:gd name="connsiteY9" fmla="*/ 4114553 h 4494217"/>
                  <a:gd name="connsiteX10" fmla="*/ 104775 w 200025"/>
                  <a:gd name="connsiteY10" fmla="*/ 4144946 h 4494217"/>
                  <a:gd name="connsiteX11" fmla="*/ 71911 w 200025"/>
                  <a:gd name="connsiteY11" fmla="*/ 4200525 h 4494217"/>
                  <a:gd name="connsiteX12" fmla="*/ 68205 w 200025"/>
                  <a:gd name="connsiteY12" fmla="*/ 4484322 h 4494217"/>
                  <a:gd name="connsiteX13" fmla="*/ 10990 w 200025"/>
                  <a:gd name="connsiteY13" fmla="*/ 4494217 h 4494217"/>
                  <a:gd name="connsiteX14" fmla="*/ 0 w 200025"/>
                  <a:gd name="connsiteY14" fmla="*/ 0 h 4494217"/>
                  <a:gd name="connsiteX15" fmla="*/ 57150 w 200025"/>
                  <a:gd name="connsiteY15" fmla="*/ 0 h 4494217"/>
                  <a:gd name="connsiteX0" fmla="*/ 66176 w 209051"/>
                  <a:gd name="connsiteY0" fmla="*/ 0 h 4506182"/>
                  <a:gd name="connsiteX1" fmla="*/ 66176 w 209051"/>
                  <a:gd name="connsiteY1" fmla="*/ 266700 h 4506182"/>
                  <a:gd name="connsiteX2" fmla="*/ 85226 w 209051"/>
                  <a:gd name="connsiteY2" fmla="*/ 304800 h 4506182"/>
                  <a:gd name="connsiteX3" fmla="*/ 123326 w 209051"/>
                  <a:gd name="connsiteY3" fmla="*/ 352425 h 4506182"/>
                  <a:gd name="connsiteX4" fmla="*/ 161426 w 209051"/>
                  <a:gd name="connsiteY4" fmla="*/ 371475 h 4506182"/>
                  <a:gd name="connsiteX5" fmla="*/ 190001 w 209051"/>
                  <a:gd name="connsiteY5" fmla="*/ 409575 h 4506182"/>
                  <a:gd name="connsiteX6" fmla="*/ 209051 w 209051"/>
                  <a:gd name="connsiteY6" fmla="*/ 485775 h 4506182"/>
                  <a:gd name="connsiteX7" fmla="*/ 209051 w 209051"/>
                  <a:gd name="connsiteY7" fmla="*/ 3971925 h 4506182"/>
                  <a:gd name="connsiteX8" fmla="*/ 192619 w 209051"/>
                  <a:gd name="connsiteY8" fmla="*/ 4068985 h 4506182"/>
                  <a:gd name="connsiteX9" fmla="*/ 157404 w 209051"/>
                  <a:gd name="connsiteY9" fmla="*/ 4114553 h 4506182"/>
                  <a:gd name="connsiteX10" fmla="*/ 113801 w 209051"/>
                  <a:gd name="connsiteY10" fmla="*/ 4144946 h 4506182"/>
                  <a:gd name="connsiteX11" fmla="*/ 80937 w 209051"/>
                  <a:gd name="connsiteY11" fmla="*/ 4200525 h 4506182"/>
                  <a:gd name="connsiteX12" fmla="*/ 77231 w 209051"/>
                  <a:gd name="connsiteY12" fmla="*/ 4484322 h 4506182"/>
                  <a:gd name="connsiteX13" fmla="*/ 555 w 209051"/>
                  <a:gd name="connsiteY13" fmla="*/ 4488095 h 4506182"/>
                  <a:gd name="connsiteX14" fmla="*/ 9026 w 209051"/>
                  <a:gd name="connsiteY14" fmla="*/ 0 h 4506182"/>
                  <a:gd name="connsiteX15" fmla="*/ 66176 w 209051"/>
                  <a:gd name="connsiteY15" fmla="*/ 0 h 4506182"/>
                  <a:gd name="connsiteX0" fmla="*/ 70875 w 213750"/>
                  <a:gd name="connsiteY0" fmla="*/ 0 h 4506182"/>
                  <a:gd name="connsiteX1" fmla="*/ 70875 w 213750"/>
                  <a:gd name="connsiteY1" fmla="*/ 266700 h 4506182"/>
                  <a:gd name="connsiteX2" fmla="*/ 89925 w 213750"/>
                  <a:gd name="connsiteY2" fmla="*/ 304800 h 4506182"/>
                  <a:gd name="connsiteX3" fmla="*/ 128025 w 213750"/>
                  <a:gd name="connsiteY3" fmla="*/ 352425 h 4506182"/>
                  <a:gd name="connsiteX4" fmla="*/ 166125 w 213750"/>
                  <a:gd name="connsiteY4" fmla="*/ 371475 h 4506182"/>
                  <a:gd name="connsiteX5" fmla="*/ 194700 w 213750"/>
                  <a:gd name="connsiteY5" fmla="*/ 409575 h 4506182"/>
                  <a:gd name="connsiteX6" fmla="*/ 213750 w 213750"/>
                  <a:gd name="connsiteY6" fmla="*/ 485775 h 4506182"/>
                  <a:gd name="connsiteX7" fmla="*/ 213750 w 213750"/>
                  <a:gd name="connsiteY7" fmla="*/ 3971925 h 4506182"/>
                  <a:gd name="connsiteX8" fmla="*/ 197318 w 213750"/>
                  <a:gd name="connsiteY8" fmla="*/ 4068985 h 4506182"/>
                  <a:gd name="connsiteX9" fmla="*/ 162103 w 213750"/>
                  <a:gd name="connsiteY9" fmla="*/ 4114553 h 4506182"/>
                  <a:gd name="connsiteX10" fmla="*/ 118500 w 213750"/>
                  <a:gd name="connsiteY10" fmla="*/ 4144946 h 4506182"/>
                  <a:gd name="connsiteX11" fmla="*/ 85636 w 213750"/>
                  <a:gd name="connsiteY11" fmla="*/ 4200525 h 4506182"/>
                  <a:gd name="connsiteX12" fmla="*/ 81930 w 213750"/>
                  <a:gd name="connsiteY12" fmla="*/ 4484322 h 4506182"/>
                  <a:gd name="connsiteX13" fmla="*/ 5254 w 213750"/>
                  <a:gd name="connsiteY13" fmla="*/ 4488095 h 4506182"/>
                  <a:gd name="connsiteX14" fmla="*/ 0 w 213750"/>
                  <a:gd name="connsiteY14" fmla="*/ 0 h 4506182"/>
                  <a:gd name="connsiteX15" fmla="*/ 70875 w 213750"/>
                  <a:gd name="connsiteY15" fmla="*/ 0 h 4506182"/>
                  <a:gd name="connsiteX0" fmla="*/ 70875 w 213750"/>
                  <a:gd name="connsiteY0" fmla="*/ 159408 h 4506182"/>
                  <a:gd name="connsiteX1" fmla="*/ 70875 w 213750"/>
                  <a:gd name="connsiteY1" fmla="*/ 266700 h 4506182"/>
                  <a:gd name="connsiteX2" fmla="*/ 89925 w 213750"/>
                  <a:gd name="connsiteY2" fmla="*/ 304800 h 4506182"/>
                  <a:gd name="connsiteX3" fmla="*/ 128025 w 213750"/>
                  <a:gd name="connsiteY3" fmla="*/ 352425 h 4506182"/>
                  <a:gd name="connsiteX4" fmla="*/ 166125 w 213750"/>
                  <a:gd name="connsiteY4" fmla="*/ 371475 h 4506182"/>
                  <a:gd name="connsiteX5" fmla="*/ 194700 w 213750"/>
                  <a:gd name="connsiteY5" fmla="*/ 409575 h 4506182"/>
                  <a:gd name="connsiteX6" fmla="*/ 213750 w 213750"/>
                  <a:gd name="connsiteY6" fmla="*/ 485775 h 4506182"/>
                  <a:gd name="connsiteX7" fmla="*/ 213750 w 213750"/>
                  <a:gd name="connsiteY7" fmla="*/ 3971925 h 4506182"/>
                  <a:gd name="connsiteX8" fmla="*/ 197318 w 213750"/>
                  <a:gd name="connsiteY8" fmla="*/ 4068985 h 4506182"/>
                  <a:gd name="connsiteX9" fmla="*/ 162103 w 213750"/>
                  <a:gd name="connsiteY9" fmla="*/ 4114553 h 4506182"/>
                  <a:gd name="connsiteX10" fmla="*/ 118500 w 213750"/>
                  <a:gd name="connsiteY10" fmla="*/ 4144946 h 4506182"/>
                  <a:gd name="connsiteX11" fmla="*/ 85636 w 213750"/>
                  <a:gd name="connsiteY11" fmla="*/ 4200525 h 4506182"/>
                  <a:gd name="connsiteX12" fmla="*/ 81930 w 213750"/>
                  <a:gd name="connsiteY12" fmla="*/ 4484322 h 4506182"/>
                  <a:gd name="connsiteX13" fmla="*/ 5254 w 213750"/>
                  <a:gd name="connsiteY13" fmla="*/ 4488095 h 4506182"/>
                  <a:gd name="connsiteX14" fmla="*/ 0 w 213750"/>
                  <a:gd name="connsiteY14" fmla="*/ 0 h 4506182"/>
                  <a:gd name="connsiteX15" fmla="*/ 70875 w 213750"/>
                  <a:gd name="connsiteY15" fmla="*/ 159408 h 4506182"/>
                  <a:gd name="connsiteX0" fmla="*/ 70875 w 213750"/>
                  <a:gd name="connsiteY0" fmla="*/ 18393 h 4365167"/>
                  <a:gd name="connsiteX1" fmla="*/ 70875 w 213750"/>
                  <a:gd name="connsiteY1" fmla="*/ 125685 h 4365167"/>
                  <a:gd name="connsiteX2" fmla="*/ 89925 w 213750"/>
                  <a:gd name="connsiteY2" fmla="*/ 163785 h 4365167"/>
                  <a:gd name="connsiteX3" fmla="*/ 128025 w 213750"/>
                  <a:gd name="connsiteY3" fmla="*/ 211410 h 4365167"/>
                  <a:gd name="connsiteX4" fmla="*/ 166125 w 213750"/>
                  <a:gd name="connsiteY4" fmla="*/ 230460 h 4365167"/>
                  <a:gd name="connsiteX5" fmla="*/ 194700 w 213750"/>
                  <a:gd name="connsiteY5" fmla="*/ 268560 h 4365167"/>
                  <a:gd name="connsiteX6" fmla="*/ 213750 w 213750"/>
                  <a:gd name="connsiteY6" fmla="*/ 344760 h 4365167"/>
                  <a:gd name="connsiteX7" fmla="*/ 213750 w 213750"/>
                  <a:gd name="connsiteY7" fmla="*/ 3830910 h 4365167"/>
                  <a:gd name="connsiteX8" fmla="*/ 197318 w 213750"/>
                  <a:gd name="connsiteY8" fmla="*/ 3927970 h 4365167"/>
                  <a:gd name="connsiteX9" fmla="*/ 162103 w 213750"/>
                  <a:gd name="connsiteY9" fmla="*/ 3973538 h 4365167"/>
                  <a:gd name="connsiteX10" fmla="*/ 118500 w 213750"/>
                  <a:gd name="connsiteY10" fmla="*/ 4003931 h 4365167"/>
                  <a:gd name="connsiteX11" fmla="*/ 85636 w 213750"/>
                  <a:gd name="connsiteY11" fmla="*/ 4059510 h 4365167"/>
                  <a:gd name="connsiteX12" fmla="*/ 81930 w 213750"/>
                  <a:gd name="connsiteY12" fmla="*/ 4343307 h 4365167"/>
                  <a:gd name="connsiteX13" fmla="*/ 5254 w 213750"/>
                  <a:gd name="connsiteY13" fmla="*/ 4347080 h 4365167"/>
                  <a:gd name="connsiteX14" fmla="*/ 0 w 213750"/>
                  <a:gd name="connsiteY14" fmla="*/ 0 h 4365167"/>
                  <a:gd name="connsiteX15" fmla="*/ 70875 w 213750"/>
                  <a:gd name="connsiteY15" fmla="*/ 18393 h 4365167"/>
                  <a:gd name="connsiteX0" fmla="*/ 70875 w 213750"/>
                  <a:gd name="connsiteY0" fmla="*/ 0 h 4371298"/>
                  <a:gd name="connsiteX1" fmla="*/ 70875 w 213750"/>
                  <a:gd name="connsiteY1" fmla="*/ 131816 h 4371298"/>
                  <a:gd name="connsiteX2" fmla="*/ 89925 w 213750"/>
                  <a:gd name="connsiteY2" fmla="*/ 169916 h 4371298"/>
                  <a:gd name="connsiteX3" fmla="*/ 128025 w 213750"/>
                  <a:gd name="connsiteY3" fmla="*/ 217541 h 4371298"/>
                  <a:gd name="connsiteX4" fmla="*/ 166125 w 213750"/>
                  <a:gd name="connsiteY4" fmla="*/ 236591 h 4371298"/>
                  <a:gd name="connsiteX5" fmla="*/ 194700 w 213750"/>
                  <a:gd name="connsiteY5" fmla="*/ 274691 h 4371298"/>
                  <a:gd name="connsiteX6" fmla="*/ 213750 w 213750"/>
                  <a:gd name="connsiteY6" fmla="*/ 350891 h 4371298"/>
                  <a:gd name="connsiteX7" fmla="*/ 213750 w 213750"/>
                  <a:gd name="connsiteY7" fmla="*/ 3837041 h 4371298"/>
                  <a:gd name="connsiteX8" fmla="*/ 197318 w 213750"/>
                  <a:gd name="connsiteY8" fmla="*/ 3934101 h 4371298"/>
                  <a:gd name="connsiteX9" fmla="*/ 162103 w 213750"/>
                  <a:gd name="connsiteY9" fmla="*/ 3979669 h 4371298"/>
                  <a:gd name="connsiteX10" fmla="*/ 118500 w 213750"/>
                  <a:gd name="connsiteY10" fmla="*/ 4010062 h 4371298"/>
                  <a:gd name="connsiteX11" fmla="*/ 85636 w 213750"/>
                  <a:gd name="connsiteY11" fmla="*/ 4065641 h 4371298"/>
                  <a:gd name="connsiteX12" fmla="*/ 81930 w 213750"/>
                  <a:gd name="connsiteY12" fmla="*/ 4349438 h 4371298"/>
                  <a:gd name="connsiteX13" fmla="*/ 5254 w 213750"/>
                  <a:gd name="connsiteY13" fmla="*/ 4353211 h 4371298"/>
                  <a:gd name="connsiteX14" fmla="*/ 0 w 213750"/>
                  <a:gd name="connsiteY14" fmla="*/ 6131 h 4371298"/>
                  <a:gd name="connsiteX15" fmla="*/ 70875 w 213750"/>
                  <a:gd name="connsiteY15" fmla="*/ 0 h 4371298"/>
                  <a:gd name="connsiteX0" fmla="*/ 70875 w 213750"/>
                  <a:gd name="connsiteY0" fmla="*/ 6131 h 4365167"/>
                  <a:gd name="connsiteX1" fmla="*/ 70875 w 213750"/>
                  <a:gd name="connsiteY1" fmla="*/ 125685 h 4365167"/>
                  <a:gd name="connsiteX2" fmla="*/ 89925 w 213750"/>
                  <a:gd name="connsiteY2" fmla="*/ 163785 h 4365167"/>
                  <a:gd name="connsiteX3" fmla="*/ 128025 w 213750"/>
                  <a:gd name="connsiteY3" fmla="*/ 211410 h 4365167"/>
                  <a:gd name="connsiteX4" fmla="*/ 166125 w 213750"/>
                  <a:gd name="connsiteY4" fmla="*/ 230460 h 4365167"/>
                  <a:gd name="connsiteX5" fmla="*/ 194700 w 213750"/>
                  <a:gd name="connsiteY5" fmla="*/ 268560 h 4365167"/>
                  <a:gd name="connsiteX6" fmla="*/ 213750 w 213750"/>
                  <a:gd name="connsiteY6" fmla="*/ 344760 h 4365167"/>
                  <a:gd name="connsiteX7" fmla="*/ 213750 w 213750"/>
                  <a:gd name="connsiteY7" fmla="*/ 3830910 h 4365167"/>
                  <a:gd name="connsiteX8" fmla="*/ 197318 w 213750"/>
                  <a:gd name="connsiteY8" fmla="*/ 3927970 h 4365167"/>
                  <a:gd name="connsiteX9" fmla="*/ 162103 w 213750"/>
                  <a:gd name="connsiteY9" fmla="*/ 3973538 h 4365167"/>
                  <a:gd name="connsiteX10" fmla="*/ 118500 w 213750"/>
                  <a:gd name="connsiteY10" fmla="*/ 4003931 h 4365167"/>
                  <a:gd name="connsiteX11" fmla="*/ 85636 w 213750"/>
                  <a:gd name="connsiteY11" fmla="*/ 4059510 h 4365167"/>
                  <a:gd name="connsiteX12" fmla="*/ 81930 w 213750"/>
                  <a:gd name="connsiteY12" fmla="*/ 4343307 h 4365167"/>
                  <a:gd name="connsiteX13" fmla="*/ 5254 w 213750"/>
                  <a:gd name="connsiteY13" fmla="*/ 4347080 h 4365167"/>
                  <a:gd name="connsiteX14" fmla="*/ 0 w 213750"/>
                  <a:gd name="connsiteY14" fmla="*/ 0 h 4365167"/>
                  <a:gd name="connsiteX15" fmla="*/ 70875 w 213750"/>
                  <a:gd name="connsiteY15" fmla="*/ 6131 h 4365167"/>
                  <a:gd name="connsiteX0" fmla="*/ 70875 w 213750"/>
                  <a:gd name="connsiteY0" fmla="*/ 6131 h 4347080"/>
                  <a:gd name="connsiteX1" fmla="*/ 70875 w 213750"/>
                  <a:gd name="connsiteY1" fmla="*/ 125685 h 4347080"/>
                  <a:gd name="connsiteX2" fmla="*/ 89925 w 213750"/>
                  <a:gd name="connsiteY2" fmla="*/ 163785 h 4347080"/>
                  <a:gd name="connsiteX3" fmla="*/ 128025 w 213750"/>
                  <a:gd name="connsiteY3" fmla="*/ 211410 h 4347080"/>
                  <a:gd name="connsiteX4" fmla="*/ 166125 w 213750"/>
                  <a:gd name="connsiteY4" fmla="*/ 230460 h 4347080"/>
                  <a:gd name="connsiteX5" fmla="*/ 194700 w 213750"/>
                  <a:gd name="connsiteY5" fmla="*/ 268560 h 4347080"/>
                  <a:gd name="connsiteX6" fmla="*/ 213750 w 213750"/>
                  <a:gd name="connsiteY6" fmla="*/ 344760 h 4347080"/>
                  <a:gd name="connsiteX7" fmla="*/ 213750 w 213750"/>
                  <a:gd name="connsiteY7" fmla="*/ 3830910 h 4347080"/>
                  <a:gd name="connsiteX8" fmla="*/ 197318 w 213750"/>
                  <a:gd name="connsiteY8" fmla="*/ 3927970 h 4347080"/>
                  <a:gd name="connsiteX9" fmla="*/ 162103 w 213750"/>
                  <a:gd name="connsiteY9" fmla="*/ 3973538 h 4347080"/>
                  <a:gd name="connsiteX10" fmla="*/ 118500 w 213750"/>
                  <a:gd name="connsiteY10" fmla="*/ 4003931 h 4347080"/>
                  <a:gd name="connsiteX11" fmla="*/ 85636 w 213750"/>
                  <a:gd name="connsiteY11" fmla="*/ 4059510 h 4347080"/>
                  <a:gd name="connsiteX12" fmla="*/ 75066 w 213750"/>
                  <a:gd name="connsiteY12" fmla="*/ 4177767 h 4347080"/>
                  <a:gd name="connsiteX13" fmla="*/ 5254 w 213750"/>
                  <a:gd name="connsiteY13" fmla="*/ 4347080 h 4347080"/>
                  <a:gd name="connsiteX14" fmla="*/ 0 w 213750"/>
                  <a:gd name="connsiteY14" fmla="*/ 0 h 4347080"/>
                  <a:gd name="connsiteX15" fmla="*/ 70875 w 213750"/>
                  <a:gd name="connsiteY15" fmla="*/ 6131 h 4347080"/>
                  <a:gd name="connsiteX0" fmla="*/ 70875 w 213750"/>
                  <a:gd name="connsiteY0" fmla="*/ 6131 h 4187390"/>
                  <a:gd name="connsiteX1" fmla="*/ 70875 w 213750"/>
                  <a:gd name="connsiteY1" fmla="*/ 125685 h 4187390"/>
                  <a:gd name="connsiteX2" fmla="*/ 89925 w 213750"/>
                  <a:gd name="connsiteY2" fmla="*/ 163785 h 4187390"/>
                  <a:gd name="connsiteX3" fmla="*/ 128025 w 213750"/>
                  <a:gd name="connsiteY3" fmla="*/ 211410 h 4187390"/>
                  <a:gd name="connsiteX4" fmla="*/ 166125 w 213750"/>
                  <a:gd name="connsiteY4" fmla="*/ 230460 h 4187390"/>
                  <a:gd name="connsiteX5" fmla="*/ 194700 w 213750"/>
                  <a:gd name="connsiteY5" fmla="*/ 268560 h 4187390"/>
                  <a:gd name="connsiteX6" fmla="*/ 213750 w 213750"/>
                  <a:gd name="connsiteY6" fmla="*/ 344760 h 4187390"/>
                  <a:gd name="connsiteX7" fmla="*/ 213750 w 213750"/>
                  <a:gd name="connsiteY7" fmla="*/ 3830910 h 4187390"/>
                  <a:gd name="connsiteX8" fmla="*/ 197318 w 213750"/>
                  <a:gd name="connsiteY8" fmla="*/ 3927970 h 4187390"/>
                  <a:gd name="connsiteX9" fmla="*/ 162103 w 213750"/>
                  <a:gd name="connsiteY9" fmla="*/ 3973538 h 4187390"/>
                  <a:gd name="connsiteX10" fmla="*/ 118500 w 213750"/>
                  <a:gd name="connsiteY10" fmla="*/ 4003931 h 4187390"/>
                  <a:gd name="connsiteX11" fmla="*/ 85636 w 213750"/>
                  <a:gd name="connsiteY11" fmla="*/ 4059510 h 4187390"/>
                  <a:gd name="connsiteX12" fmla="*/ 75066 w 213750"/>
                  <a:gd name="connsiteY12" fmla="*/ 4177767 h 4187390"/>
                  <a:gd name="connsiteX13" fmla="*/ 5254 w 213750"/>
                  <a:gd name="connsiteY13" fmla="*/ 4181540 h 4187390"/>
                  <a:gd name="connsiteX14" fmla="*/ 0 w 213750"/>
                  <a:gd name="connsiteY14" fmla="*/ 0 h 4187390"/>
                  <a:gd name="connsiteX15" fmla="*/ 70875 w 213750"/>
                  <a:gd name="connsiteY15" fmla="*/ 6131 h 4187390"/>
                  <a:gd name="connsiteX0" fmla="*/ 70875 w 213750"/>
                  <a:gd name="connsiteY0" fmla="*/ 6131 h 4227397"/>
                  <a:gd name="connsiteX1" fmla="*/ 70875 w 213750"/>
                  <a:gd name="connsiteY1" fmla="*/ 125685 h 4227397"/>
                  <a:gd name="connsiteX2" fmla="*/ 89925 w 213750"/>
                  <a:gd name="connsiteY2" fmla="*/ 163785 h 4227397"/>
                  <a:gd name="connsiteX3" fmla="*/ 128025 w 213750"/>
                  <a:gd name="connsiteY3" fmla="*/ 211410 h 4227397"/>
                  <a:gd name="connsiteX4" fmla="*/ 166125 w 213750"/>
                  <a:gd name="connsiteY4" fmla="*/ 230460 h 4227397"/>
                  <a:gd name="connsiteX5" fmla="*/ 194700 w 213750"/>
                  <a:gd name="connsiteY5" fmla="*/ 268560 h 4227397"/>
                  <a:gd name="connsiteX6" fmla="*/ 213750 w 213750"/>
                  <a:gd name="connsiteY6" fmla="*/ 344760 h 4227397"/>
                  <a:gd name="connsiteX7" fmla="*/ 213750 w 213750"/>
                  <a:gd name="connsiteY7" fmla="*/ 3830910 h 4227397"/>
                  <a:gd name="connsiteX8" fmla="*/ 197318 w 213750"/>
                  <a:gd name="connsiteY8" fmla="*/ 3927970 h 4227397"/>
                  <a:gd name="connsiteX9" fmla="*/ 162103 w 213750"/>
                  <a:gd name="connsiteY9" fmla="*/ 3973538 h 4227397"/>
                  <a:gd name="connsiteX10" fmla="*/ 118500 w 213750"/>
                  <a:gd name="connsiteY10" fmla="*/ 4003931 h 4227397"/>
                  <a:gd name="connsiteX11" fmla="*/ 85636 w 213750"/>
                  <a:gd name="connsiteY11" fmla="*/ 4059510 h 4227397"/>
                  <a:gd name="connsiteX12" fmla="*/ 72698 w 213750"/>
                  <a:gd name="connsiteY12" fmla="*/ 4223410 h 4227397"/>
                  <a:gd name="connsiteX13" fmla="*/ 5254 w 213750"/>
                  <a:gd name="connsiteY13" fmla="*/ 4181540 h 4227397"/>
                  <a:gd name="connsiteX14" fmla="*/ 0 w 213750"/>
                  <a:gd name="connsiteY14" fmla="*/ 0 h 4227397"/>
                  <a:gd name="connsiteX15" fmla="*/ 70875 w 213750"/>
                  <a:gd name="connsiteY15" fmla="*/ 6131 h 4227397"/>
                  <a:gd name="connsiteX0" fmla="*/ 70875 w 213750"/>
                  <a:gd name="connsiteY0" fmla="*/ 6131 h 4235680"/>
                  <a:gd name="connsiteX1" fmla="*/ 70875 w 213750"/>
                  <a:gd name="connsiteY1" fmla="*/ 125685 h 4235680"/>
                  <a:gd name="connsiteX2" fmla="*/ 89925 w 213750"/>
                  <a:gd name="connsiteY2" fmla="*/ 163785 h 4235680"/>
                  <a:gd name="connsiteX3" fmla="*/ 128025 w 213750"/>
                  <a:gd name="connsiteY3" fmla="*/ 211410 h 4235680"/>
                  <a:gd name="connsiteX4" fmla="*/ 166125 w 213750"/>
                  <a:gd name="connsiteY4" fmla="*/ 230460 h 4235680"/>
                  <a:gd name="connsiteX5" fmla="*/ 194700 w 213750"/>
                  <a:gd name="connsiteY5" fmla="*/ 268560 h 4235680"/>
                  <a:gd name="connsiteX6" fmla="*/ 213750 w 213750"/>
                  <a:gd name="connsiteY6" fmla="*/ 344760 h 4235680"/>
                  <a:gd name="connsiteX7" fmla="*/ 213750 w 213750"/>
                  <a:gd name="connsiteY7" fmla="*/ 3830910 h 4235680"/>
                  <a:gd name="connsiteX8" fmla="*/ 197318 w 213750"/>
                  <a:gd name="connsiteY8" fmla="*/ 3927970 h 4235680"/>
                  <a:gd name="connsiteX9" fmla="*/ 162103 w 213750"/>
                  <a:gd name="connsiteY9" fmla="*/ 3973538 h 4235680"/>
                  <a:gd name="connsiteX10" fmla="*/ 118500 w 213750"/>
                  <a:gd name="connsiteY10" fmla="*/ 4003931 h 4235680"/>
                  <a:gd name="connsiteX11" fmla="*/ 85636 w 213750"/>
                  <a:gd name="connsiteY11" fmla="*/ 4059510 h 4235680"/>
                  <a:gd name="connsiteX12" fmla="*/ 72698 w 213750"/>
                  <a:gd name="connsiteY12" fmla="*/ 4223410 h 4235680"/>
                  <a:gd name="connsiteX13" fmla="*/ 5254 w 213750"/>
                  <a:gd name="connsiteY13" fmla="*/ 4225109 h 4235680"/>
                  <a:gd name="connsiteX14" fmla="*/ 0 w 213750"/>
                  <a:gd name="connsiteY14" fmla="*/ 0 h 4235680"/>
                  <a:gd name="connsiteX15" fmla="*/ 70875 w 213750"/>
                  <a:gd name="connsiteY15" fmla="*/ 6131 h 4235680"/>
                  <a:gd name="connsiteX0" fmla="*/ 70875 w 213750"/>
                  <a:gd name="connsiteY0" fmla="*/ 6131 h 4227615"/>
                  <a:gd name="connsiteX1" fmla="*/ 70875 w 213750"/>
                  <a:gd name="connsiteY1" fmla="*/ 125685 h 4227615"/>
                  <a:gd name="connsiteX2" fmla="*/ 89925 w 213750"/>
                  <a:gd name="connsiteY2" fmla="*/ 163785 h 4227615"/>
                  <a:gd name="connsiteX3" fmla="*/ 128025 w 213750"/>
                  <a:gd name="connsiteY3" fmla="*/ 211410 h 4227615"/>
                  <a:gd name="connsiteX4" fmla="*/ 166125 w 213750"/>
                  <a:gd name="connsiteY4" fmla="*/ 230460 h 4227615"/>
                  <a:gd name="connsiteX5" fmla="*/ 194700 w 213750"/>
                  <a:gd name="connsiteY5" fmla="*/ 268560 h 4227615"/>
                  <a:gd name="connsiteX6" fmla="*/ 213750 w 213750"/>
                  <a:gd name="connsiteY6" fmla="*/ 344760 h 4227615"/>
                  <a:gd name="connsiteX7" fmla="*/ 213750 w 213750"/>
                  <a:gd name="connsiteY7" fmla="*/ 3830910 h 4227615"/>
                  <a:gd name="connsiteX8" fmla="*/ 197318 w 213750"/>
                  <a:gd name="connsiteY8" fmla="*/ 3927970 h 4227615"/>
                  <a:gd name="connsiteX9" fmla="*/ 162103 w 213750"/>
                  <a:gd name="connsiteY9" fmla="*/ 3973538 h 4227615"/>
                  <a:gd name="connsiteX10" fmla="*/ 118500 w 213750"/>
                  <a:gd name="connsiteY10" fmla="*/ 4003931 h 4227615"/>
                  <a:gd name="connsiteX11" fmla="*/ 85636 w 213750"/>
                  <a:gd name="connsiteY11" fmla="*/ 4059510 h 4227615"/>
                  <a:gd name="connsiteX12" fmla="*/ 72698 w 213750"/>
                  <a:gd name="connsiteY12" fmla="*/ 4223410 h 4227615"/>
                  <a:gd name="connsiteX13" fmla="*/ 5254 w 213750"/>
                  <a:gd name="connsiteY13" fmla="*/ 4183615 h 4227615"/>
                  <a:gd name="connsiteX14" fmla="*/ 0 w 213750"/>
                  <a:gd name="connsiteY14" fmla="*/ 0 h 4227615"/>
                  <a:gd name="connsiteX15" fmla="*/ 70875 w 213750"/>
                  <a:gd name="connsiteY15" fmla="*/ 6131 h 4227615"/>
                  <a:gd name="connsiteX0" fmla="*/ 70875 w 213750"/>
                  <a:gd name="connsiteY0" fmla="*/ 6131 h 4197649"/>
                  <a:gd name="connsiteX1" fmla="*/ 70875 w 213750"/>
                  <a:gd name="connsiteY1" fmla="*/ 125685 h 4197649"/>
                  <a:gd name="connsiteX2" fmla="*/ 89925 w 213750"/>
                  <a:gd name="connsiteY2" fmla="*/ 163785 h 4197649"/>
                  <a:gd name="connsiteX3" fmla="*/ 128025 w 213750"/>
                  <a:gd name="connsiteY3" fmla="*/ 211410 h 4197649"/>
                  <a:gd name="connsiteX4" fmla="*/ 166125 w 213750"/>
                  <a:gd name="connsiteY4" fmla="*/ 230460 h 4197649"/>
                  <a:gd name="connsiteX5" fmla="*/ 194700 w 213750"/>
                  <a:gd name="connsiteY5" fmla="*/ 268560 h 4197649"/>
                  <a:gd name="connsiteX6" fmla="*/ 213750 w 213750"/>
                  <a:gd name="connsiteY6" fmla="*/ 344760 h 4197649"/>
                  <a:gd name="connsiteX7" fmla="*/ 213750 w 213750"/>
                  <a:gd name="connsiteY7" fmla="*/ 3830910 h 4197649"/>
                  <a:gd name="connsiteX8" fmla="*/ 197318 w 213750"/>
                  <a:gd name="connsiteY8" fmla="*/ 3927970 h 4197649"/>
                  <a:gd name="connsiteX9" fmla="*/ 162103 w 213750"/>
                  <a:gd name="connsiteY9" fmla="*/ 3973538 h 4197649"/>
                  <a:gd name="connsiteX10" fmla="*/ 118500 w 213750"/>
                  <a:gd name="connsiteY10" fmla="*/ 4003931 h 4197649"/>
                  <a:gd name="connsiteX11" fmla="*/ 85636 w 213750"/>
                  <a:gd name="connsiteY11" fmla="*/ 4059510 h 4197649"/>
                  <a:gd name="connsiteX12" fmla="*/ 63228 w 213750"/>
                  <a:gd name="connsiteY12" fmla="*/ 4190215 h 4197649"/>
                  <a:gd name="connsiteX13" fmla="*/ 5254 w 213750"/>
                  <a:gd name="connsiteY13" fmla="*/ 4183615 h 4197649"/>
                  <a:gd name="connsiteX14" fmla="*/ 0 w 213750"/>
                  <a:gd name="connsiteY14" fmla="*/ 0 h 4197649"/>
                  <a:gd name="connsiteX15" fmla="*/ 70875 w 213750"/>
                  <a:gd name="connsiteY15" fmla="*/ 6131 h 4197649"/>
                  <a:gd name="connsiteX0" fmla="*/ 70875 w 213750"/>
                  <a:gd name="connsiteY0" fmla="*/ 6131 h 4191114"/>
                  <a:gd name="connsiteX1" fmla="*/ 70875 w 213750"/>
                  <a:gd name="connsiteY1" fmla="*/ 125685 h 4191114"/>
                  <a:gd name="connsiteX2" fmla="*/ 89925 w 213750"/>
                  <a:gd name="connsiteY2" fmla="*/ 163785 h 4191114"/>
                  <a:gd name="connsiteX3" fmla="*/ 128025 w 213750"/>
                  <a:gd name="connsiteY3" fmla="*/ 211410 h 4191114"/>
                  <a:gd name="connsiteX4" fmla="*/ 166125 w 213750"/>
                  <a:gd name="connsiteY4" fmla="*/ 230460 h 4191114"/>
                  <a:gd name="connsiteX5" fmla="*/ 194700 w 213750"/>
                  <a:gd name="connsiteY5" fmla="*/ 268560 h 4191114"/>
                  <a:gd name="connsiteX6" fmla="*/ 213750 w 213750"/>
                  <a:gd name="connsiteY6" fmla="*/ 344760 h 4191114"/>
                  <a:gd name="connsiteX7" fmla="*/ 213750 w 213750"/>
                  <a:gd name="connsiteY7" fmla="*/ 3830910 h 4191114"/>
                  <a:gd name="connsiteX8" fmla="*/ 197318 w 213750"/>
                  <a:gd name="connsiteY8" fmla="*/ 3927970 h 4191114"/>
                  <a:gd name="connsiteX9" fmla="*/ 162103 w 213750"/>
                  <a:gd name="connsiteY9" fmla="*/ 3973538 h 4191114"/>
                  <a:gd name="connsiteX10" fmla="*/ 118500 w 213750"/>
                  <a:gd name="connsiteY10" fmla="*/ 4003931 h 4191114"/>
                  <a:gd name="connsiteX11" fmla="*/ 85636 w 213750"/>
                  <a:gd name="connsiteY11" fmla="*/ 4059510 h 4191114"/>
                  <a:gd name="connsiteX12" fmla="*/ 101111 w 213750"/>
                  <a:gd name="connsiteY12" fmla="*/ 4181917 h 4191114"/>
                  <a:gd name="connsiteX13" fmla="*/ 5254 w 213750"/>
                  <a:gd name="connsiteY13" fmla="*/ 4183615 h 4191114"/>
                  <a:gd name="connsiteX14" fmla="*/ 0 w 213750"/>
                  <a:gd name="connsiteY14" fmla="*/ 0 h 4191114"/>
                  <a:gd name="connsiteX15" fmla="*/ 70875 w 213750"/>
                  <a:gd name="connsiteY15" fmla="*/ 6131 h 4191114"/>
                  <a:gd name="connsiteX0" fmla="*/ 70875 w 213750"/>
                  <a:gd name="connsiteY0" fmla="*/ 6131 h 4199792"/>
                  <a:gd name="connsiteX1" fmla="*/ 70875 w 213750"/>
                  <a:gd name="connsiteY1" fmla="*/ 125685 h 4199792"/>
                  <a:gd name="connsiteX2" fmla="*/ 89925 w 213750"/>
                  <a:gd name="connsiteY2" fmla="*/ 163785 h 4199792"/>
                  <a:gd name="connsiteX3" fmla="*/ 128025 w 213750"/>
                  <a:gd name="connsiteY3" fmla="*/ 211410 h 4199792"/>
                  <a:gd name="connsiteX4" fmla="*/ 166125 w 213750"/>
                  <a:gd name="connsiteY4" fmla="*/ 230460 h 4199792"/>
                  <a:gd name="connsiteX5" fmla="*/ 194700 w 213750"/>
                  <a:gd name="connsiteY5" fmla="*/ 268560 h 4199792"/>
                  <a:gd name="connsiteX6" fmla="*/ 213750 w 213750"/>
                  <a:gd name="connsiteY6" fmla="*/ 344760 h 4199792"/>
                  <a:gd name="connsiteX7" fmla="*/ 213750 w 213750"/>
                  <a:gd name="connsiteY7" fmla="*/ 3830910 h 4199792"/>
                  <a:gd name="connsiteX8" fmla="*/ 197318 w 213750"/>
                  <a:gd name="connsiteY8" fmla="*/ 3927970 h 4199792"/>
                  <a:gd name="connsiteX9" fmla="*/ 162103 w 213750"/>
                  <a:gd name="connsiteY9" fmla="*/ 3973538 h 4199792"/>
                  <a:gd name="connsiteX10" fmla="*/ 118500 w 213750"/>
                  <a:gd name="connsiteY10" fmla="*/ 4003931 h 4199792"/>
                  <a:gd name="connsiteX11" fmla="*/ 85636 w 213750"/>
                  <a:gd name="connsiteY11" fmla="*/ 4059510 h 4199792"/>
                  <a:gd name="connsiteX12" fmla="*/ 82295 w 213750"/>
                  <a:gd name="connsiteY12" fmla="*/ 4192773 h 4199792"/>
                  <a:gd name="connsiteX13" fmla="*/ 5254 w 213750"/>
                  <a:gd name="connsiteY13" fmla="*/ 4183615 h 4199792"/>
                  <a:gd name="connsiteX14" fmla="*/ 0 w 213750"/>
                  <a:gd name="connsiteY14" fmla="*/ 0 h 4199792"/>
                  <a:gd name="connsiteX15" fmla="*/ 70875 w 213750"/>
                  <a:gd name="connsiteY15" fmla="*/ 6131 h 41997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Lst>
                <a:rect l="l" t="t" r="r" b="b"/>
                <a:pathLst>
                  <a:path w="213750" h="4199792">
                    <a:moveTo>
                      <a:pt x="70875" y="6131"/>
                    </a:moveTo>
                    <a:lnTo>
                      <a:pt x="70875" y="125685"/>
                    </a:lnTo>
                    <a:lnTo>
                      <a:pt x="89925" y="163785"/>
                    </a:lnTo>
                    <a:lnTo>
                      <a:pt x="128025" y="211410"/>
                    </a:lnTo>
                    <a:lnTo>
                      <a:pt x="166125" y="230460"/>
                    </a:lnTo>
                    <a:lnTo>
                      <a:pt x="194700" y="268560"/>
                    </a:lnTo>
                    <a:lnTo>
                      <a:pt x="213750" y="344760"/>
                    </a:lnTo>
                    <a:lnTo>
                      <a:pt x="213750" y="3830910"/>
                    </a:lnTo>
                    <a:lnTo>
                      <a:pt x="197318" y="3927970"/>
                    </a:lnTo>
                    <a:cubicBezTo>
                      <a:pt x="187604" y="3937493"/>
                      <a:pt x="171817" y="3964015"/>
                      <a:pt x="162103" y="3973538"/>
                    </a:cubicBezTo>
                    <a:lnTo>
                      <a:pt x="118500" y="4003931"/>
                    </a:lnTo>
                    <a:lnTo>
                      <a:pt x="85636" y="4059510"/>
                    </a:lnTo>
                    <a:cubicBezTo>
                      <a:pt x="85636" y="4084910"/>
                      <a:pt x="95692" y="4172089"/>
                      <a:pt x="82295" y="4192773"/>
                    </a:cubicBezTo>
                    <a:cubicBezTo>
                      <a:pt x="68898" y="4213457"/>
                      <a:pt x="60086" y="4181651"/>
                      <a:pt x="5254" y="4183615"/>
                    </a:cubicBezTo>
                    <a:cubicBezTo>
                      <a:pt x="1591" y="2688544"/>
                      <a:pt x="3663" y="1495071"/>
                      <a:pt x="0" y="0"/>
                    </a:cubicBezTo>
                    <a:lnTo>
                      <a:pt x="70875" y="6131"/>
                    </a:lnTo>
                    <a:close/>
                  </a:path>
                </a:pathLst>
              </a:custGeom>
              <a:solidFill>
                <a:schemeClr val="bg2">
                  <a:lumMod val="75000"/>
                </a:schemeClr>
              </a:solidFill>
              <a:ln w="12700">
                <a:solidFill>
                  <a:schemeClr val="bg2">
                    <a:lumMod val="25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91" name="Straight Connector 90"/>
              <xdr:cNvCxnSpPr>
                <a:endCxn id="79" idx="0"/>
              </xdr:cNvCxnSpPr>
            </xdr:nvCxnSpPr>
            <xdr:spPr>
              <a:xfrm>
                <a:off x="8216656" y="7346237"/>
                <a:ext cx="298694" cy="0"/>
              </a:xfrm>
              <a:prstGeom prst="line">
                <a:avLst/>
              </a:prstGeom>
              <a:ln w="19050"/>
            </xdr:spPr>
            <xdr:style>
              <a:lnRef idx="1">
                <a:schemeClr val="accent1"/>
              </a:lnRef>
              <a:fillRef idx="0">
                <a:schemeClr val="accent1"/>
              </a:fillRef>
              <a:effectRef idx="0">
                <a:schemeClr val="accent1"/>
              </a:effectRef>
              <a:fontRef idx="minor">
                <a:schemeClr val="tx1"/>
              </a:fontRef>
            </xdr:style>
          </xdr:cxnSp>
          <xdr:cxnSp macro="">
            <xdr:nvCxnSpPr>
              <xdr:cNvPr id="92" name="Straight Connector 91"/>
              <xdr:cNvCxnSpPr>
                <a:endCxn id="88" idx="2"/>
              </xdr:cNvCxnSpPr>
            </xdr:nvCxnSpPr>
            <xdr:spPr>
              <a:xfrm>
                <a:off x="8201758" y="11714599"/>
                <a:ext cx="313592" cy="4951"/>
              </a:xfrm>
              <a:prstGeom prst="line">
                <a:avLst/>
              </a:prstGeom>
              <a:ln w="19050"/>
            </xdr:spPr>
            <xdr:style>
              <a:lnRef idx="1">
                <a:schemeClr val="accent1"/>
              </a:lnRef>
              <a:fillRef idx="0">
                <a:schemeClr val="accent1"/>
              </a:fillRef>
              <a:effectRef idx="0">
                <a:schemeClr val="accent1"/>
              </a:effectRef>
              <a:fontRef idx="minor">
                <a:schemeClr val="tx1"/>
              </a:fontRef>
            </xdr:style>
          </xdr:cxnSp>
        </xdr:grpSp>
      </xdr:grpSp>
      <xdr:grpSp>
        <xdr:nvGrpSpPr>
          <xdr:cNvPr id="7" name="Group 6"/>
          <xdr:cNvGrpSpPr/>
        </xdr:nvGrpSpPr>
        <xdr:grpSpPr>
          <a:xfrm>
            <a:off x="8881214" y="6908980"/>
            <a:ext cx="853336" cy="5267303"/>
            <a:chOff x="7995389" y="6899455"/>
            <a:chExt cx="853336" cy="5267303"/>
          </a:xfrm>
        </xdr:grpSpPr>
        <xdr:grpSp>
          <xdr:nvGrpSpPr>
            <xdr:cNvPr id="14" name="Group 13"/>
            <xdr:cNvGrpSpPr/>
          </xdr:nvGrpSpPr>
          <xdr:grpSpPr>
            <a:xfrm>
              <a:off x="7995389" y="6918505"/>
              <a:ext cx="529486" cy="5248253"/>
              <a:chOff x="7995389" y="6918505"/>
              <a:chExt cx="529486" cy="5248253"/>
            </a:xfrm>
          </xdr:grpSpPr>
          <xdr:sp macro="" textlink="">
            <xdr:nvSpPr>
              <xdr:cNvPr id="41" name="Rectangle 40"/>
              <xdr:cNvSpPr/>
            </xdr:nvSpPr>
            <xdr:spPr>
              <a:xfrm>
                <a:off x="8458689" y="7553687"/>
                <a:ext cx="66186" cy="355778"/>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Rectangle 41"/>
              <xdr:cNvSpPr/>
            </xdr:nvSpPr>
            <xdr:spPr>
              <a:xfrm>
                <a:off x="8458689" y="8013496"/>
                <a:ext cx="66186" cy="353428"/>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3" name="Rectangle 42"/>
              <xdr:cNvSpPr/>
            </xdr:nvSpPr>
            <xdr:spPr>
              <a:xfrm>
                <a:off x="8458689" y="8460391"/>
                <a:ext cx="66186" cy="356938"/>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4" name="Rectangle 43"/>
              <xdr:cNvSpPr/>
            </xdr:nvSpPr>
            <xdr:spPr>
              <a:xfrm>
                <a:off x="8456308" y="8920199"/>
                <a:ext cx="66186" cy="353428"/>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5" name="Rectangle 44"/>
              <xdr:cNvSpPr/>
            </xdr:nvSpPr>
            <xdr:spPr>
              <a:xfrm>
                <a:off x="8458689" y="9362658"/>
                <a:ext cx="66186" cy="356675"/>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6" name="Rectangle 45"/>
              <xdr:cNvSpPr/>
            </xdr:nvSpPr>
            <xdr:spPr>
              <a:xfrm>
                <a:off x="8458689" y="9824817"/>
                <a:ext cx="66186" cy="353429"/>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7" name="Rectangle 46"/>
              <xdr:cNvSpPr/>
            </xdr:nvSpPr>
            <xdr:spPr>
              <a:xfrm>
                <a:off x="8458689" y="10272871"/>
                <a:ext cx="66186" cy="355778"/>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8" name="Rectangle 47"/>
              <xdr:cNvSpPr/>
            </xdr:nvSpPr>
            <xdr:spPr>
              <a:xfrm>
                <a:off x="8458689" y="10724469"/>
                <a:ext cx="66186" cy="354588"/>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9" name="Rectangle 48"/>
              <xdr:cNvSpPr/>
            </xdr:nvSpPr>
            <xdr:spPr>
              <a:xfrm>
                <a:off x="8453438" y="11174875"/>
                <a:ext cx="71437" cy="353429"/>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0" name="Freeform 49"/>
              <xdr:cNvSpPr/>
            </xdr:nvSpPr>
            <xdr:spPr>
              <a:xfrm flipH="1" flipV="1">
                <a:off x="8262328" y="11872348"/>
                <a:ext cx="257850" cy="294410"/>
              </a:xfrm>
              <a:custGeom>
                <a:avLst/>
                <a:gdLst>
                  <a:gd name="connsiteX0" fmla="*/ 0 w 266700"/>
                  <a:gd name="connsiteY0" fmla="*/ 0 h 295275"/>
                  <a:gd name="connsiteX1" fmla="*/ 266700 w 266700"/>
                  <a:gd name="connsiteY1" fmla="*/ 0 h 295275"/>
                  <a:gd name="connsiteX2" fmla="*/ 266700 w 266700"/>
                  <a:gd name="connsiteY2" fmla="*/ 295275 h 295275"/>
                  <a:gd name="connsiteX0" fmla="*/ 0 w 461372"/>
                  <a:gd name="connsiteY0" fmla="*/ 6046 h 295275"/>
                  <a:gd name="connsiteX1" fmla="*/ 461372 w 461372"/>
                  <a:gd name="connsiteY1" fmla="*/ 0 h 295275"/>
                  <a:gd name="connsiteX2" fmla="*/ 461372 w 461372"/>
                  <a:gd name="connsiteY2" fmla="*/ 295275 h 295275"/>
                </a:gdLst>
                <a:ahLst/>
                <a:cxnLst>
                  <a:cxn ang="0">
                    <a:pos x="connsiteX0" y="connsiteY0"/>
                  </a:cxn>
                  <a:cxn ang="0">
                    <a:pos x="connsiteX1" y="connsiteY1"/>
                  </a:cxn>
                  <a:cxn ang="0">
                    <a:pos x="connsiteX2" y="connsiteY2"/>
                  </a:cxn>
                </a:cxnLst>
                <a:rect l="l" t="t" r="r" b="b"/>
                <a:pathLst>
                  <a:path w="461372" h="295275">
                    <a:moveTo>
                      <a:pt x="0" y="6046"/>
                    </a:moveTo>
                    <a:lnTo>
                      <a:pt x="461372" y="0"/>
                    </a:lnTo>
                    <a:lnTo>
                      <a:pt x="461372" y="295275"/>
                    </a:lnTo>
                  </a:path>
                </a:pathLst>
              </a:custGeom>
              <a:noFill/>
              <a:ln>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51" name="Straight Connector 50"/>
              <xdr:cNvCxnSpPr/>
            </xdr:nvCxnSpPr>
            <xdr:spPr>
              <a:xfrm flipH="1">
                <a:off x="8210550" y="7346237"/>
                <a:ext cx="0" cy="4370968"/>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sp macro="" textlink="">
            <xdr:nvSpPr>
              <xdr:cNvPr id="52" name="Freeform 51"/>
              <xdr:cNvSpPr/>
            </xdr:nvSpPr>
            <xdr:spPr>
              <a:xfrm flipH="1">
                <a:off x="8448675" y="7346237"/>
                <a:ext cx="66675" cy="579683"/>
              </a:xfrm>
              <a:custGeom>
                <a:avLst/>
                <a:gdLst>
                  <a:gd name="connsiteX0" fmla="*/ 0 w 66675"/>
                  <a:gd name="connsiteY0" fmla="*/ 0 h 581025"/>
                  <a:gd name="connsiteX1" fmla="*/ 0 w 66675"/>
                  <a:gd name="connsiteY1" fmla="*/ 200025 h 581025"/>
                  <a:gd name="connsiteX2" fmla="*/ 66675 w 66675"/>
                  <a:gd name="connsiteY2" fmla="*/ 200025 h 581025"/>
                  <a:gd name="connsiteX3" fmla="*/ 66675 w 66675"/>
                  <a:gd name="connsiteY3" fmla="*/ 581025 h 581025"/>
                  <a:gd name="connsiteX4" fmla="*/ 66675 w 66675"/>
                  <a:gd name="connsiteY4" fmla="*/ 581025 h 581025"/>
                  <a:gd name="connsiteX5" fmla="*/ 66675 w 66675"/>
                  <a:gd name="connsiteY5" fmla="*/ 581025 h 581025"/>
                  <a:gd name="connsiteX6" fmla="*/ 66675 w 66675"/>
                  <a:gd name="connsiteY6" fmla="*/ 581025 h 581025"/>
                  <a:gd name="connsiteX7" fmla="*/ 66675 w 66675"/>
                  <a:gd name="connsiteY7" fmla="*/ 581025 h 5810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66675" h="581025">
                    <a:moveTo>
                      <a:pt x="0" y="0"/>
                    </a:moveTo>
                    <a:lnTo>
                      <a:pt x="0" y="200025"/>
                    </a:lnTo>
                    <a:lnTo>
                      <a:pt x="66675" y="200025"/>
                    </a:lnTo>
                    <a:lnTo>
                      <a:pt x="66675" y="581025"/>
                    </a:lnTo>
                    <a:lnTo>
                      <a:pt x="66675" y="581025"/>
                    </a:lnTo>
                    <a:lnTo>
                      <a:pt x="66675" y="581025"/>
                    </a:lnTo>
                    <a:lnTo>
                      <a:pt x="66675" y="581025"/>
                    </a:lnTo>
                    <a:lnTo>
                      <a:pt x="66675" y="581025"/>
                    </a:lnTo>
                  </a:path>
                </a:pathLst>
              </a:custGeom>
              <a:noFill/>
              <a:ln w="190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3" name="Freeform 52"/>
              <xdr:cNvSpPr/>
            </xdr:nvSpPr>
            <xdr:spPr>
              <a:xfrm flipH="1">
                <a:off x="8448675" y="7916517"/>
                <a:ext cx="66675" cy="459808"/>
              </a:xfrm>
              <a:custGeom>
                <a:avLst/>
                <a:gdLst>
                  <a:gd name="connsiteX0" fmla="*/ 66675 w 66675"/>
                  <a:gd name="connsiteY0" fmla="*/ 0 h 459581"/>
                  <a:gd name="connsiteX1" fmla="*/ 0 w 66675"/>
                  <a:gd name="connsiteY1" fmla="*/ 0 h 459581"/>
                  <a:gd name="connsiteX2" fmla="*/ 0 w 66675"/>
                  <a:gd name="connsiteY2" fmla="*/ 92868 h 459581"/>
                  <a:gd name="connsiteX3" fmla="*/ 66675 w 66675"/>
                  <a:gd name="connsiteY3" fmla="*/ 92868 h 459581"/>
                  <a:gd name="connsiteX4" fmla="*/ 66675 w 66675"/>
                  <a:gd name="connsiteY4" fmla="*/ 459581 h 459581"/>
                  <a:gd name="connsiteX5" fmla="*/ 66675 w 66675"/>
                  <a:gd name="connsiteY5" fmla="*/ 459581 h 45958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66675" h="459581">
                    <a:moveTo>
                      <a:pt x="66675" y="0"/>
                    </a:moveTo>
                    <a:lnTo>
                      <a:pt x="0" y="0"/>
                    </a:lnTo>
                    <a:lnTo>
                      <a:pt x="0" y="92868"/>
                    </a:lnTo>
                    <a:lnTo>
                      <a:pt x="66675" y="92868"/>
                    </a:lnTo>
                    <a:lnTo>
                      <a:pt x="66675" y="459581"/>
                    </a:lnTo>
                    <a:lnTo>
                      <a:pt x="66675" y="459581"/>
                    </a:lnTo>
                  </a:path>
                </a:pathLst>
              </a:custGeom>
              <a:noFill/>
              <a:ln w="190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4" name="Freeform 53"/>
              <xdr:cNvSpPr/>
            </xdr:nvSpPr>
            <xdr:spPr>
              <a:xfrm flipH="1">
                <a:off x="8448675" y="8369273"/>
                <a:ext cx="66675" cy="459808"/>
              </a:xfrm>
              <a:custGeom>
                <a:avLst/>
                <a:gdLst>
                  <a:gd name="connsiteX0" fmla="*/ 66675 w 66675"/>
                  <a:gd name="connsiteY0" fmla="*/ 0 h 459581"/>
                  <a:gd name="connsiteX1" fmla="*/ 0 w 66675"/>
                  <a:gd name="connsiteY1" fmla="*/ 0 h 459581"/>
                  <a:gd name="connsiteX2" fmla="*/ 0 w 66675"/>
                  <a:gd name="connsiteY2" fmla="*/ 92868 h 459581"/>
                  <a:gd name="connsiteX3" fmla="*/ 66675 w 66675"/>
                  <a:gd name="connsiteY3" fmla="*/ 92868 h 459581"/>
                  <a:gd name="connsiteX4" fmla="*/ 66675 w 66675"/>
                  <a:gd name="connsiteY4" fmla="*/ 459581 h 459581"/>
                  <a:gd name="connsiteX5" fmla="*/ 66675 w 66675"/>
                  <a:gd name="connsiteY5" fmla="*/ 459581 h 45958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66675" h="459581">
                    <a:moveTo>
                      <a:pt x="66675" y="0"/>
                    </a:moveTo>
                    <a:lnTo>
                      <a:pt x="0" y="0"/>
                    </a:lnTo>
                    <a:lnTo>
                      <a:pt x="0" y="92868"/>
                    </a:lnTo>
                    <a:lnTo>
                      <a:pt x="66675" y="92868"/>
                    </a:lnTo>
                    <a:lnTo>
                      <a:pt x="66675" y="459581"/>
                    </a:lnTo>
                    <a:lnTo>
                      <a:pt x="66675" y="459581"/>
                    </a:lnTo>
                  </a:path>
                </a:pathLst>
              </a:custGeom>
              <a:noFill/>
              <a:ln w="190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5" name="Freeform 54"/>
              <xdr:cNvSpPr/>
            </xdr:nvSpPr>
            <xdr:spPr>
              <a:xfrm flipH="1">
                <a:off x="8448675" y="8819679"/>
                <a:ext cx="66675" cy="458648"/>
              </a:xfrm>
              <a:custGeom>
                <a:avLst/>
                <a:gdLst>
                  <a:gd name="connsiteX0" fmla="*/ 66675 w 66675"/>
                  <a:gd name="connsiteY0" fmla="*/ 0 h 459581"/>
                  <a:gd name="connsiteX1" fmla="*/ 0 w 66675"/>
                  <a:gd name="connsiteY1" fmla="*/ 0 h 459581"/>
                  <a:gd name="connsiteX2" fmla="*/ 0 w 66675"/>
                  <a:gd name="connsiteY2" fmla="*/ 92868 h 459581"/>
                  <a:gd name="connsiteX3" fmla="*/ 66675 w 66675"/>
                  <a:gd name="connsiteY3" fmla="*/ 92868 h 459581"/>
                  <a:gd name="connsiteX4" fmla="*/ 66675 w 66675"/>
                  <a:gd name="connsiteY4" fmla="*/ 459581 h 459581"/>
                  <a:gd name="connsiteX5" fmla="*/ 66675 w 66675"/>
                  <a:gd name="connsiteY5" fmla="*/ 459581 h 45958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66675" h="459581">
                    <a:moveTo>
                      <a:pt x="66675" y="0"/>
                    </a:moveTo>
                    <a:lnTo>
                      <a:pt x="0" y="0"/>
                    </a:lnTo>
                    <a:lnTo>
                      <a:pt x="0" y="92868"/>
                    </a:lnTo>
                    <a:lnTo>
                      <a:pt x="66675" y="92868"/>
                    </a:lnTo>
                    <a:lnTo>
                      <a:pt x="66675" y="459581"/>
                    </a:lnTo>
                    <a:lnTo>
                      <a:pt x="66675" y="459581"/>
                    </a:lnTo>
                  </a:path>
                </a:pathLst>
              </a:custGeom>
              <a:noFill/>
              <a:ln w="190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6" name="Freeform 55"/>
              <xdr:cNvSpPr/>
            </xdr:nvSpPr>
            <xdr:spPr>
              <a:xfrm flipH="1">
                <a:off x="8448675" y="9271275"/>
                <a:ext cx="66675" cy="459808"/>
              </a:xfrm>
              <a:custGeom>
                <a:avLst/>
                <a:gdLst>
                  <a:gd name="connsiteX0" fmla="*/ 66675 w 66675"/>
                  <a:gd name="connsiteY0" fmla="*/ 0 h 459581"/>
                  <a:gd name="connsiteX1" fmla="*/ 0 w 66675"/>
                  <a:gd name="connsiteY1" fmla="*/ 0 h 459581"/>
                  <a:gd name="connsiteX2" fmla="*/ 0 w 66675"/>
                  <a:gd name="connsiteY2" fmla="*/ 92868 h 459581"/>
                  <a:gd name="connsiteX3" fmla="*/ 66675 w 66675"/>
                  <a:gd name="connsiteY3" fmla="*/ 92868 h 459581"/>
                  <a:gd name="connsiteX4" fmla="*/ 66675 w 66675"/>
                  <a:gd name="connsiteY4" fmla="*/ 459581 h 459581"/>
                  <a:gd name="connsiteX5" fmla="*/ 66675 w 66675"/>
                  <a:gd name="connsiteY5" fmla="*/ 459581 h 45958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66675" h="459581">
                    <a:moveTo>
                      <a:pt x="66675" y="0"/>
                    </a:moveTo>
                    <a:lnTo>
                      <a:pt x="0" y="0"/>
                    </a:lnTo>
                    <a:lnTo>
                      <a:pt x="0" y="92868"/>
                    </a:lnTo>
                    <a:lnTo>
                      <a:pt x="66675" y="92868"/>
                    </a:lnTo>
                    <a:lnTo>
                      <a:pt x="66675" y="459581"/>
                    </a:lnTo>
                    <a:lnTo>
                      <a:pt x="66675" y="459581"/>
                    </a:lnTo>
                  </a:path>
                </a:pathLst>
              </a:custGeom>
              <a:noFill/>
              <a:ln w="190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7" name="Freeform 56"/>
              <xdr:cNvSpPr/>
            </xdr:nvSpPr>
            <xdr:spPr>
              <a:xfrm flipH="1">
                <a:off x="8448675" y="9724097"/>
                <a:ext cx="66675" cy="458912"/>
              </a:xfrm>
              <a:custGeom>
                <a:avLst/>
                <a:gdLst>
                  <a:gd name="connsiteX0" fmla="*/ 66675 w 66675"/>
                  <a:gd name="connsiteY0" fmla="*/ 0 h 459581"/>
                  <a:gd name="connsiteX1" fmla="*/ 0 w 66675"/>
                  <a:gd name="connsiteY1" fmla="*/ 0 h 459581"/>
                  <a:gd name="connsiteX2" fmla="*/ 0 w 66675"/>
                  <a:gd name="connsiteY2" fmla="*/ 92868 h 459581"/>
                  <a:gd name="connsiteX3" fmla="*/ 66675 w 66675"/>
                  <a:gd name="connsiteY3" fmla="*/ 92868 h 459581"/>
                  <a:gd name="connsiteX4" fmla="*/ 66675 w 66675"/>
                  <a:gd name="connsiteY4" fmla="*/ 459581 h 459581"/>
                  <a:gd name="connsiteX5" fmla="*/ 66675 w 66675"/>
                  <a:gd name="connsiteY5" fmla="*/ 459581 h 45958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66675" h="459581">
                    <a:moveTo>
                      <a:pt x="66675" y="0"/>
                    </a:moveTo>
                    <a:lnTo>
                      <a:pt x="0" y="0"/>
                    </a:lnTo>
                    <a:lnTo>
                      <a:pt x="0" y="92868"/>
                    </a:lnTo>
                    <a:lnTo>
                      <a:pt x="66675" y="92868"/>
                    </a:lnTo>
                    <a:lnTo>
                      <a:pt x="66675" y="459581"/>
                    </a:lnTo>
                    <a:lnTo>
                      <a:pt x="66675" y="459581"/>
                    </a:lnTo>
                  </a:path>
                </a:pathLst>
              </a:custGeom>
              <a:noFill/>
              <a:ln w="190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8" name="Freeform 57"/>
              <xdr:cNvSpPr/>
            </xdr:nvSpPr>
            <xdr:spPr>
              <a:xfrm flipH="1">
                <a:off x="8448675" y="10175958"/>
                <a:ext cx="66675" cy="459807"/>
              </a:xfrm>
              <a:custGeom>
                <a:avLst/>
                <a:gdLst>
                  <a:gd name="connsiteX0" fmla="*/ 66675 w 66675"/>
                  <a:gd name="connsiteY0" fmla="*/ 0 h 459581"/>
                  <a:gd name="connsiteX1" fmla="*/ 0 w 66675"/>
                  <a:gd name="connsiteY1" fmla="*/ 0 h 459581"/>
                  <a:gd name="connsiteX2" fmla="*/ 0 w 66675"/>
                  <a:gd name="connsiteY2" fmla="*/ 92868 h 459581"/>
                  <a:gd name="connsiteX3" fmla="*/ 66675 w 66675"/>
                  <a:gd name="connsiteY3" fmla="*/ 92868 h 459581"/>
                  <a:gd name="connsiteX4" fmla="*/ 66675 w 66675"/>
                  <a:gd name="connsiteY4" fmla="*/ 459581 h 459581"/>
                  <a:gd name="connsiteX5" fmla="*/ 66675 w 66675"/>
                  <a:gd name="connsiteY5" fmla="*/ 459581 h 45958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66675" h="459581">
                    <a:moveTo>
                      <a:pt x="66675" y="0"/>
                    </a:moveTo>
                    <a:lnTo>
                      <a:pt x="0" y="0"/>
                    </a:lnTo>
                    <a:lnTo>
                      <a:pt x="0" y="92868"/>
                    </a:lnTo>
                    <a:lnTo>
                      <a:pt x="66675" y="92868"/>
                    </a:lnTo>
                    <a:lnTo>
                      <a:pt x="66675" y="459581"/>
                    </a:lnTo>
                    <a:lnTo>
                      <a:pt x="66675" y="459581"/>
                    </a:lnTo>
                  </a:path>
                </a:pathLst>
              </a:custGeom>
              <a:noFill/>
              <a:ln w="190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9" name="Freeform 58"/>
              <xdr:cNvSpPr/>
            </xdr:nvSpPr>
            <xdr:spPr>
              <a:xfrm flipH="1">
                <a:off x="8448675" y="10626362"/>
                <a:ext cx="66675" cy="459808"/>
              </a:xfrm>
              <a:custGeom>
                <a:avLst/>
                <a:gdLst>
                  <a:gd name="connsiteX0" fmla="*/ 66675 w 66675"/>
                  <a:gd name="connsiteY0" fmla="*/ 0 h 459581"/>
                  <a:gd name="connsiteX1" fmla="*/ 0 w 66675"/>
                  <a:gd name="connsiteY1" fmla="*/ 0 h 459581"/>
                  <a:gd name="connsiteX2" fmla="*/ 0 w 66675"/>
                  <a:gd name="connsiteY2" fmla="*/ 92868 h 459581"/>
                  <a:gd name="connsiteX3" fmla="*/ 66675 w 66675"/>
                  <a:gd name="connsiteY3" fmla="*/ 92868 h 459581"/>
                  <a:gd name="connsiteX4" fmla="*/ 66675 w 66675"/>
                  <a:gd name="connsiteY4" fmla="*/ 459581 h 459581"/>
                  <a:gd name="connsiteX5" fmla="*/ 66675 w 66675"/>
                  <a:gd name="connsiteY5" fmla="*/ 459581 h 45958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66675" h="459581">
                    <a:moveTo>
                      <a:pt x="66675" y="0"/>
                    </a:moveTo>
                    <a:lnTo>
                      <a:pt x="0" y="0"/>
                    </a:lnTo>
                    <a:lnTo>
                      <a:pt x="0" y="92868"/>
                    </a:lnTo>
                    <a:lnTo>
                      <a:pt x="66675" y="92868"/>
                    </a:lnTo>
                    <a:lnTo>
                      <a:pt x="66675" y="459581"/>
                    </a:lnTo>
                    <a:lnTo>
                      <a:pt x="66675" y="459581"/>
                    </a:lnTo>
                  </a:path>
                </a:pathLst>
              </a:custGeom>
              <a:noFill/>
              <a:ln w="190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0" name="Freeform 59"/>
              <xdr:cNvSpPr/>
            </xdr:nvSpPr>
            <xdr:spPr>
              <a:xfrm flipH="1">
                <a:off x="8448675" y="11079118"/>
                <a:ext cx="66675" cy="458649"/>
              </a:xfrm>
              <a:custGeom>
                <a:avLst/>
                <a:gdLst>
                  <a:gd name="connsiteX0" fmla="*/ 66675 w 66675"/>
                  <a:gd name="connsiteY0" fmla="*/ 0 h 459581"/>
                  <a:gd name="connsiteX1" fmla="*/ 0 w 66675"/>
                  <a:gd name="connsiteY1" fmla="*/ 0 h 459581"/>
                  <a:gd name="connsiteX2" fmla="*/ 0 w 66675"/>
                  <a:gd name="connsiteY2" fmla="*/ 92868 h 459581"/>
                  <a:gd name="connsiteX3" fmla="*/ 66675 w 66675"/>
                  <a:gd name="connsiteY3" fmla="*/ 92868 h 459581"/>
                  <a:gd name="connsiteX4" fmla="*/ 66675 w 66675"/>
                  <a:gd name="connsiteY4" fmla="*/ 459581 h 459581"/>
                  <a:gd name="connsiteX5" fmla="*/ 66675 w 66675"/>
                  <a:gd name="connsiteY5" fmla="*/ 459581 h 45958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66675" h="459581">
                    <a:moveTo>
                      <a:pt x="66675" y="0"/>
                    </a:moveTo>
                    <a:lnTo>
                      <a:pt x="0" y="0"/>
                    </a:lnTo>
                    <a:lnTo>
                      <a:pt x="0" y="92868"/>
                    </a:lnTo>
                    <a:lnTo>
                      <a:pt x="66675" y="92868"/>
                    </a:lnTo>
                    <a:lnTo>
                      <a:pt x="66675" y="459581"/>
                    </a:lnTo>
                    <a:lnTo>
                      <a:pt x="66675" y="459581"/>
                    </a:lnTo>
                  </a:path>
                </a:pathLst>
              </a:custGeom>
              <a:noFill/>
              <a:ln w="190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1" name="Freeform 60"/>
              <xdr:cNvSpPr/>
            </xdr:nvSpPr>
            <xdr:spPr>
              <a:xfrm flipH="1">
                <a:off x="8448675" y="11528297"/>
                <a:ext cx="66675" cy="191253"/>
              </a:xfrm>
              <a:custGeom>
                <a:avLst/>
                <a:gdLst>
                  <a:gd name="connsiteX0" fmla="*/ 66675 w 66675"/>
                  <a:gd name="connsiteY0" fmla="*/ 0 h 190500"/>
                  <a:gd name="connsiteX1" fmla="*/ 0 w 66675"/>
                  <a:gd name="connsiteY1" fmla="*/ 2381 h 190500"/>
                  <a:gd name="connsiteX2" fmla="*/ 0 w 66675"/>
                  <a:gd name="connsiteY2" fmla="*/ 190500 h 190500"/>
                  <a:gd name="connsiteX3" fmla="*/ 0 w 66675"/>
                  <a:gd name="connsiteY3" fmla="*/ 190500 h 190500"/>
                </a:gdLst>
                <a:ahLst/>
                <a:cxnLst>
                  <a:cxn ang="0">
                    <a:pos x="connsiteX0" y="connsiteY0"/>
                  </a:cxn>
                  <a:cxn ang="0">
                    <a:pos x="connsiteX1" y="connsiteY1"/>
                  </a:cxn>
                  <a:cxn ang="0">
                    <a:pos x="connsiteX2" y="connsiteY2"/>
                  </a:cxn>
                  <a:cxn ang="0">
                    <a:pos x="connsiteX3" y="connsiteY3"/>
                  </a:cxn>
                </a:cxnLst>
                <a:rect l="l" t="t" r="r" b="b"/>
                <a:pathLst>
                  <a:path w="66675" h="190500">
                    <a:moveTo>
                      <a:pt x="66675" y="0"/>
                    </a:moveTo>
                    <a:lnTo>
                      <a:pt x="0" y="2381"/>
                    </a:lnTo>
                    <a:lnTo>
                      <a:pt x="0" y="190500"/>
                    </a:lnTo>
                    <a:lnTo>
                      <a:pt x="0" y="190500"/>
                    </a:lnTo>
                  </a:path>
                </a:pathLst>
              </a:custGeom>
              <a:noFill/>
              <a:ln w="190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2" name="Freeform 61"/>
              <xdr:cNvSpPr/>
            </xdr:nvSpPr>
            <xdr:spPr>
              <a:xfrm>
                <a:off x="7995389" y="6918505"/>
                <a:ext cx="266205" cy="292676"/>
              </a:xfrm>
              <a:custGeom>
                <a:avLst/>
                <a:gdLst>
                  <a:gd name="connsiteX0" fmla="*/ 0 w 266700"/>
                  <a:gd name="connsiteY0" fmla="*/ 0 h 295275"/>
                  <a:gd name="connsiteX1" fmla="*/ 266700 w 266700"/>
                  <a:gd name="connsiteY1" fmla="*/ 0 h 295275"/>
                  <a:gd name="connsiteX2" fmla="*/ 266700 w 266700"/>
                  <a:gd name="connsiteY2" fmla="*/ 295275 h 295275"/>
                  <a:gd name="connsiteX0" fmla="*/ 0 w 382286"/>
                  <a:gd name="connsiteY0" fmla="*/ 0 h 295275"/>
                  <a:gd name="connsiteX1" fmla="*/ 382286 w 382286"/>
                  <a:gd name="connsiteY1" fmla="*/ 0 h 295275"/>
                  <a:gd name="connsiteX2" fmla="*/ 382286 w 382286"/>
                  <a:gd name="connsiteY2" fmla="*/ 295275 h 295275"/>
                </a:gdLst>
                <a:ahLst/>
                <a:cxnLst>
                  <a:cxn ang="0">
                    <a:pos x="connsiteX0" y="connsiteY0"/>
                  </a:cxn>
                  <a:cxn ang="0">
                    <a:pos x="connsiteX1" y="connsiteY1"/>
                  </a:cxn>
                  <a:cxn ang="0">
                    <a:pos x="connsiteX2" y="connsiteY2"/>
                  </a:cxn>
                </a:cxnLst>
                <a:rect l="l" t="t" r="r" b="b"/>
                <a:pathLst>
                  <a:path w="382286" h="295275">
                    <a:moveTo>
                      <a:pt x="0" y="0"/>
                    </a:moveTo>
                    <a:lnTo>
                      <a:pt x="382286" y="0"/>
                    </a:lnTo>
                    <a:lnTo>
                      <a:pt x="382286" y="295275"/>
                    </a:lnTo>
                  </a:path>
                </a:pathLst>
              </a:custGeom>
              <a:noFill/>
              <a:ln>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3" name="Freeform 62"/>
              <xdr:cNvSpPr/>
            </xdr:nvSpPr>
            <xdr:spPr>
              <a:xfrm>
                <a:off x="8222697" y="7154468"/>
                <a:ext cx="214972" cy="4817758"/>
              </a:xfrm>
              <a:custGeom>
                <a:avLst/>
                <a:gdLst>
                  <a:gd name="connsiteX0" fmla="*/ 57150 w 200025"/>
                  <a:gd name="connsiteY0" fmla="*/ 0 h 4467225"/>
                  <a:gd name="connsiteX1" fmla="*/ 57150 w 200025"/>
                  <a:gd name="connsiteY1" fmla="*/ 266700 h 4467225"/>
                  <a:gd name="connsiteX2" fmla="*/ 76200 w 200025"/>
                  <a:gd name="connsiteY2" fmla="*/ 304800 h 4467225"/>
                  <a:gd name="connsiteX3" fmla="*/ 114300 w 200025"/>
                  <a:gd name="connsiteY3" fmla="*/ 352425 h 4467225"/>
                  <a:gd name="connsiteX4" fmla="*/ 152400 w 200025"/>
                  <a:gd name="connsiteY4" fmla="*/ 371475 h 4467225"/>
                  <a:gd name="connsiteX5" fmla="*/ 180975 w 200025"/>
                  <a:gd name="connsiteY5" fmla="*/ 409575 h 4467225"/>
                  <a:gd name="connsiteX6" fmla="*/ 200025 w 200025"/>
                  <a:gd name="connsiteY6" fmla="*/ 485775 h 4467225"/>
                  <a:gd name="connsiteX7" fmla="*/ 200025 w 200025"/>
                  <a:gd name="connsiteY7" fmla="*/ 3971925 h 4467225"/>
                  <a:gd name="connsiteX8" fmla="*/ 171450 w 200025"/>
                  <a:gd name="connsiteY8" fmla="*/ 4057650 h 4467225"/>
                  <a:gd name="connsiteX9" fmla="*/ 104775 w 200025"/>
                  <a:gd name="connsiteY9" fmla="*/ 4105275 h 4467225"/>
                  <a:gd name="connsiteX10" fmla="*/ 47625 w 200025"/>
                  <a:gd name="connsiteY10" fmla="*/ 4200525 h 4467225"/>
                  <a:gd name="connsiteX11" fmla="*/ 47625 w 200025"/>
                  <a:gd name="connsiteY11" fmla="*/ 4276725 h 4467225"/>
                  <a:gd name="connsiteX12" fmla="*/ 47625 w 200025"/>
                  <a:gd name="connsiteY12" fmla="*/ 4467225 h 4467225"/>
                  <a:gd name="connsiteX13" fmla="*/ 0 w 200025"/>
                  <a:gd name="connsiteY13" fmla="*/ 0 h 4467225"/>
                  <a:gd name="connsiteX14" fmla="*/ 57150 w 200025"/>
                  <a:gd name="connsiteY14" fmla="*/ 0 h 4467225"/>
                  <a:gd name="connsiteX0" fmla="*/ 57150 w 200025"/>
                  <a:gd name="connsiteY0" fmla="*/ 0 h 4485212"/>
                  <a:gd name="connsiteX1" fmla="*/ 57150 w 200025"/>
                  <a:gd name="connsiteY1" fmla="*/ 266700 h 4485212"/>
                  <a:gd name="connsiteX2" fmla="*/ 76200 w 200025"/>
                  <a:gd name="connsiteY2" fmla="*/ 304800 h 4485212"/>
                  <a:gd name="connsiteX3" fmla="*/ 114300 w 200025"/>
                  <a:gd name="connsiteY3" fmla="*/ 352425 h 4485212"/>
                  <a:gd name="connsiteX4" fmla="*/ 152400 w 200025"/>
                  <a:gd name="connsiteY4" fmla="*/ 371475 h 4485212"/>
                  <a:gd name="connsiteX5" fmla="*/ 180975 w 200025"/>
                  <a:gd name="connsiteY5" fmla="*/ 409575 h 4485212"/>
                  <a:gd name="connsiteX6" fmla="*/ 200025 w 200025"/>
                  <a:gd name="connsiteY6" fmla="*/ 485775 h 4485212"/>
                  <a:gd name="connsiteX7" fmla="*/ 200025 w 200025"/>
                  <a:gd name="connsiteY7" fmla="*/ 3971925 h 4485212"/>
                  <a:gd name="connsiteX8" fmla="*/ 171450 w 200025"/>
                  <a:gd name="connsiteY8" fmla="*/ 4057650 h 4485212"/>
                  <a:gd name="connsiteX9" fmla="*/ 104775 w 200025"/>
                  <a:gd name="connsiteY9" fmla="*/ 4105275 h 4485212"/>
                  <a:gd name="connsiteX10" fmla="*/ 47625 w 200025"/>
                  <a:gd name="connsiteY10" fmla="*/ 4200525 h 4485212"/>
                  <a:gd name="connsiteX11" fmla="*/ 47625 w 200025"/>
                  <a:gd name="connsiteY11" fmla="*/ 4276725 h 4485212"/>
                  <a:gd name="connsiteX12" fmla="*/ 10990 w 200025"/>
                  <a:gd name="connsiteY12" fmla="*/ 4485212 h 4485212"/>
                  <a:gd name="connsiteX13" fmla="*/ 0 w 200025"/>
                  <a:gd name="connsiteY13" fmla="*/ 0 h 4485212"/>
                  <a:gd name="connsiteX14" fmla="*/ 57150 w 200025"/>
                  <a:gd name="connsiteY14" fmla="*/ 0 h 4485212"/>
                  <a:gd name="connsiteX0" fmla="*/ 57150 w 200025"/>
                  <a:gd name="connsiteY0" fmla="*/ 0 h 4498149"/>
                  <a:gd name="connsiteX1" fmla="*/ 57150 w 200025"/>
                  <a:gd name="connsiteY1" fmla="*/ 266700 h 4498149"/>
                  <a:gd name="connsiteX2" fmla="*/ 76200 w 200025"/>
                  <a:gd name="connsiteY2" fmla="*/ 304800 h 4498149"/>
                  <a:gd name="connsiteX3" fmla="*/ 114300 w 200025"/>
                  <a:gd name="connsiteY3" fmla="*/ 352425 h 4498149"/>
                  <a:gd name="connsiteX4" fmla="*/ 152400 w 200025"/>
                  <a:gd name="connsiteY4" fmla="*/ 371475 h 4498149"/>
                  <a:gd name="connsiteX5" fmla="*/ 180975 w 200025"/>
                  <a:gd name="connsiteY5" fmla="*/ 409575 h 4498149"/>
                  <a:gd name="connsiteX6" fmla="*/ 200025 w 200025"/>
                  <a:gd name="connsiteY6" fmla="*/ 485775 h 4498149"/>
                  <a:gd name="connsiteX7" fmla="*/ 200025 w 200025"/>
                  <a:gd name="connsiteY7" fmla="*/ 3971925 h 4498149"/>
                  <a:gd name="connsiteX8" fmla="*/ 171450 w 200025"/>
                  <a:gd name="connsiteY8" fmla="*/ 4057650 h 4498149"/>
                  <a:gd name="connsiteX9" fmla="*/ 104775 w 200025"/>
                  <a:gd name="connsiteY9" fmla="*/ 4105275 h 4498149"/>
                  <a:gd name="connsiteX10" fmla="*/ 47625 w 200025"/>
                  <a:gd name="connsiteY10" fmla="*/ 4200525 h 4498149"/>
                  <a:gd name="connsiteX11" fmla="*/ 47625 w 200025"/>
                  <a:gd name="connsiteY11" fmla="*/ 4486572 h 4498149"/>
                  <a:gd name="connsiteX12" fmla="*/ 10990 w 200025"/>
                  <a:gd name="connsiteY12" fmla="*/ 4485212 h 4498149"/>
                  <a:gd name="connsiteX13" fmla="*/ 0 w 200025"/>
                  <a:gd name="connsiteY13" fmla="*/ 0 h 4498149"/>
                  <a:gd name="connsiteX14" fmla="*/ 57150 w 200025"/>
                  <a:gd name="connsiteY14" fmla="*/ 0 h 4498149"/>
                  <a:gd name="connsiteX0" fmla="*/ 57150 w 200025"/>
                  <a:gd name="connsiteY0" fmla="*/ 0 h 4498149"/>
                  <a:gd name="connsiteX1" fmla="*/ 57150 w 200025"/>
                  <a:gd name="connsiteY1" fmla="*/ 266700 h 4498149"/>
                  <a:gd name="connsiteX2" fmla="*/ 76200 w 200025"/>
                  <a:gd name="connsiteY2" fmla="*/ 304800 h 4498149"/>
                  <a:gd name="connsiteX3" fmla="*/ 114300 w 200025"/>
                  <a:gd name="connsiteY3" fmla="*/ 352425 h 4498149"/>
                  <a:gd name="connsiteX4" fmla="*/ 152400 w 200025"/>
                  <a:gd name="connsiteY4" fmla="*/ 371475 h 4498149"/>
                  <a:gd name="connsiteX5" fmla="*/ 180975 w 200025"/>
                  <a:gd name="connsiteY5" fmla="*/ 409575 h 4498149"/>
                  <a:gd name="connsiteX6" fmla="*/ 200025 w 200025"/>
                  <a:gd name="connsiteY6" fmla="*/ 485775 h 4498149"/>
                  <a:gd name="connsiteX7" fmla="*/ 200025 w 200025"/>
                  <a:gd name="connsiteY7" fmla="*/ 3971925 h 4498149"/>
                  <a:gd name="connsiteX8" fmla="*/ 171450 w 200025"/>
                  <a:gd name="connsiteY8" fmla="*/ 4057650 h 4498149"/>
                  <a:gd name="connsiteX9" fmla="*/ 104775 w 200025"/>
                  <a:gd name="connsiteY9" fmla="*/ 4105275 h 4498149"/>
                  <a:gd name="connsiteX10" fmla="*/ 47625 w 200025"/>
                  <a:gd name="connsiteY10" fmla="*/ 4200525 h 4498149"/>
                  <a:gd name="connsiteX11" fmla="*/ 65838 w 200025"/>
                  <a:gd name="connsiteY11" fmla="*/ 4486572 h 4498149"/>
                  <a:gd name="connsiteX12" fmla="*/ 10990 w 200025"/>
                  <a:gd name="connsiteY12" fmla="*/ 4485212 h 4498149"/>
                  <a:gd name="connsiteX13" fmla="*/ 0 w 200025"/>
                  <a:gd name="connsiteY13" fmla="*/ 0 h 4498149"/>
                  <a:gd name="connsiteX14" fmla="*/ 57150 w 200025"/>
                  <a:gd name="connsiteY14" fmla="*/ 0 h 4498149"/>
                  <a:gd name="connsiteX0" fmla="*/ 57150 w 200025"/>
                  <a:gd name="connsiteY0" fmla="*/ 0 h 4498149"/>
                  <a:gd name="connsiteX1" fmla="*/ 57150 w 200025"/>
                  <a:gd name="connsiteY1" fmla="*/ 266700 h 4498149"/>
                  <a:gd name="connsiteX2" fmla="*/ 76200 w 200025"/>
                  <a:gd name="connsiteY2" fmla="*/ 304800 h 4498149"/>
                  <a:gd name="connsiteX3" fmla="*/ 114300 w 200025"/>
                  <a:gd name="connsiteY3" fmla="*/ 352425 h 4498149"/>
                  <a:gd name="connsiteX4" fmla="*/ 152400 w 200025"/>
                  <a:gd name="connsiteY4" fmla="*/ 371475 h 4498149"/>
                  <a:gd name="connsiteX5" fmla="*/ 180975 w 200025"/>
                  <a:gd name="connsiteY5" fmla="*/ 409575 h 4498149"/>
                  <a:gd name="connsiteX6" fmla="*/ 200025 w 200025"/>
                  <a:gd name="connsiteY6" fmla="*/ 485775 h 4498149"/>
                  <a:gd name="connsiteX7" fmla="*/ 200025 w 200025"/>
                  <a:gd name="connsiteY7" fmla="*/ 3971925 h 4498149"/>
                  <a:gd name="connsiteX8" fmla="*/ 171450 w 200025"/>
                  <a:gd name="connsiteY8" fmla="*/ 4057650 h 4498149"/>
                  <a:gd name="connsiteX9" fmla="*/ 104775 w 200025"/>
                  <a:gd name="connsiteY9" fmla="*/ 4105275 h 4498149"/>
                  <a:gd name="connsiteX10" fmla="*/ 77980 w 200025"/>
                  <a:gd name="connsiteY10" fmla="*/ 4200525 h 4498149"/>
                  <a:gd name="connsiteX11" fmla="*/ 65838 w 200025"/>
                  <a:gd name="connsiteY11" fmla="*/ 4486572 h 4498149"/>
                  <a:gd name="connsiteX12" fmla="*/ 10990 w 200025"/>
                  <a:gd name="connsiteY12" fmla="*/ 4485212 h 4498149"/>
                  <a:gd name="connsiteX13" fmla="*/ 0 w 200025"/>
                  <a:gd name="connsiteY13" fmla="*/ 0 h 4498149"/>
                  <a:gd name="connsiteX14" fmla="*/ 57150 w 200025"/>
                  <a:gd name="connsiteY14" fmla="*/ 0 h 4498149"/>
                  <a:gd name="connsiteX0" fmla="*/ 57150 w 200025"/>
                  <a:gd name="connsiteY0" fmla="*/ 0 h 4498149"/>
                  <a:gd name="connsiteX1" fmla="*/ 57150 w 200025"/>
                  <a:gd name="connsiteY1" fmla="*/ 266700 h 4498149"/>
                  <a:gd name="connsiteX2" fmla="*/ 76200 w 200025"/>
                  <a:gd name="connsiteY2" fmla="*/ 304800 h 4498149"/>
                  <a:gd name="connsiteX3" fmla="*/ 114300 w 200025"/>
                  <a:gd name="connsiteY3" fmla="*/ 352425 h 4498149"/>
                  <a:gd name="connsiteX4" fmla="*/ 152400 w 200025"/>
                  <a:gd name="connsiteY4" fmla="*/ 371475 h 4498149"/>
                  <a:gd name="connsiteX5" fmla="*/ 180975 w 200025"/>
                  <a:gd name="connsiteY5" fmla="*/ 409575 h 4498149"/>
                  <a:gd name="connsiteX6" fmla="*/ 200025 w 200025"/>
                  <a:gd name="connsiteY6" fmla="*/ 485775 h 4498149"/>
                  <a:gd name="connsiteX7" fmla="*/ 200025 w 200025"/>
                  <a:gd name="connsiteY7" fmla="*/ 3971925 h 4498149"/>
                  <a:gd name="connsiteX8" fmla="*/ 171450 w 200025"/>
                  <a:gd name="connsiteY8" fmla="*/ 4057650 h 4498149"/>
                  <a:gd name="connsiteX9" fmla="*/ 104775 w 200025"/>
                  <a:gd name="connsiteY9" fmla="*/ 4105275 h 4498149"/>
                  <a:gd name="connsiteX10" fmla="*/ 59767 w 200025"/>
                  <a:gd name="connsiteY10" fmla="*/ 4200525 h 4498149"/>
                  <a:gd name="connsiteX11" fmla="*/ 65838 w 200025"/>
                  <a:gd name="connsiteY11" fmla="*/ 4486572 h 4498149"/>
                  <a:gd name="connsiteX12" fmla="*/ 10990 w 200025"/>
                  <a:gd name="connsiteY12" fmla="*/ 4485212 h 4498149"/>
                  <a:gd name="connsiteX13" fmla="*/ 0 w 200025"/>
                  <a:gd name="connsiteY13" fmla="*/ 0 h 4498149"/>
                  <a:gd name="connsiteX14" fmla="*/ 57150 w 200025"/>
                  <a:gd name="connsiteY14" fmla="*/ 0 h 4498149"/>
                  <a:gd name="connsiteX0" fmla="*/ 57150 w 200025"/>
                  <a:gd name="connsiteY0" fmla="*/ 0 h 4498149"/>
                  <a:gd name="connsiteX1" fmla="*/ 57150 w 200025"/>
                  <a:gd name="connsiteY1" fmla="*/ 266700 h 4498149"/>
                  <a:gd name="connsiteX2" fmla="*/ 76200 w 200025"/>
                  <a:gd name="connsiteY2" fmla="*/ 304800 h 4498149"/>
                  <a:gd name="connsiteX3" fmla="*/ 114300 w 200025"/>
                  <a:gd name="connsiteY3" fmla="*/ 352425 h 4498149"/>
                  <a:gd name="connsiteX4" fmla="*/ 152400 w 200025"/>
                  <a:gd name="connsiteY4" fmla="*/ 371475 h 4498149"/>
                  <a:gd name="connsiteX5" fmla="*/ 180975 w 200025"/>
                  <a:gd name="connsiteY5" fmla="*/ 409575 h 4498149"/>
                  <a:gd name="connsiteX6" fmla="*/ 200025 w 200025"/>
                  <a:gd name="connsiteY6" fmla="*/ 485775 h 4498149"/>
                  <a:gd name="connsiteX7" fmla="*/ 200025 w 200025"/>
                  <a:gd name="connsiteY7" fmla="*/ 3971925 h 4498149"/>
                  <a:gd name="connsiteX8" fmla="*/ 171450 w 200025"/>
                  <a:gd name="connsiteY8" fmla="*/ 4057650 h 4498149"/>
                  <a:gd name="connsiteX9" fmla="*/ 104775 w 200025"/>
                  <a:gd name="connsiteY9" fmla="*/ 4144946 h 4498149"/>
                  <a:gd name="connsiteX10" fmla="*/ 59767 w 200025"/>
                  <a:gd name="connsiteY10" fmla="*/ 4200525 h 4498149"/>
                  <a:gd name="connsiteX11" fmla="*/ 65838 w 200025"/>
                  <a:gd name="connsiteY11" fmla="*/ 4486572 h 4498149"/>
                  <a:gd name="connsiteX12" fmla="*/ 10990 w 200025"/>
                  <a:gd name="connsiteY12" fmla="*/ 4485212 h 4498149"/>
                  <a:gd name="connsiteX13" fmla="*/ 0 w 200025"/>
                  <a:gd name="connsiteY13" fmla="*/ 0 h 4498149"/>
                  <a:gd name="connsiteX14" fmla="*/ 57150 w 200025"/>
                  <a:gd name="connsiteY14" fmla="*/ 0 h 4498149"/>
                  <a:gd name="connsiteX0" fmla="*/ 57150 w 200025"/>
                  <a:gd name="connsiteY0" fmla="*/ 0 h 4498149"/>
                  <a:gd name="connsiteX1" fmla="*/ 57150 w 200025"/>
                  <a:gd name="connsiteY1" fmla="*/ 266700 h 4498149"/>
                  <a:gd name="connsiteX2" fmla="*/ 76200 w 200025"/>
                  <a:gd name="connsiteY2" fmla="*/ 304800 h 4498149"/>
                  <a:gd name="connsiteX3" fmla="*/ 114300 w 200025"/>
                  <a:gd name="connsiteY3" fmla="*/ 352425 h 4498149"/>
                  <a:gd name="connsiteX4" fmla="*/ 152400 w 200025"/>
                  <a:gd name="connsiteY4" fmla="*/ 371475 h 4498149"/>
                  <a:gd name="connsiteX5" fmla="*/ 180975 w 200025"/>
                  <a:gd name="connsiteY5" fmla="*/ 409575 h 4498149"/>
                  <a:gd name="connsiteX6" fmla="*/ 200025 w 200025"/>
                  <a:gd name="connsiteY6" fmla="*/ 485775 h 4498149"/>
                  <a:gd name="connsiteX7" fmla="*/ 200025 w 200025"/>
                  <a:gd name="connsiteY7" fmla="*/ 3971925 h 4498149"/>
                  <a:gd name="connsiteX8" fmla="*/ 171450 w 200025"/>
                  <a:gd name="connsiteY8" fmla="*/ 4057650 h 4498149"/>
                  <a:gd name="connsiteX9" fmla="*/ 154449 w 200025"/>
                  <a:gd name="connsiteY9" fmla="*/ 4154223 h 4498149"/>
                  <a:gd name="connsiteX10" fmla="*/ 104775 w 200025"/>
                  <a:gd name="connsiteY10" fmla="*/ 4144946 h 4498149"/>
                  <a:gd name="connsiteX11" fmla="*/ 59767 w 200025"/>
                  <a:gd name="connsiteY11" fmla="*/ 4200525 h 4498149"/>
                  <a:gd name="connsiteX12" fmla="*/ 65838 w 200025"/>
                  <a:gd name="connsiteY12" fmla="*/ 4486572 h 4498149"/>
                  <a:gd name="connsiteX13" fmla="*/ 10990 w 200025"/>
                  <a:gd name="connsiteY13" fmla="*/ 4485212 h 4498149"/>
                  <a:gd name="connsiteX14" fmla="*/ 0 w 200025"/>
                  <a:gd name="connsiteY14" fmla="*/ 0 h 4498149"/>
                  <a:gd name="connsiteX15" fmla="*/ 57150 w 200025"/>
                  <a:gd name="connsiteY15" fmla="*/ 0 h 4498149"/>
                  <a:gd name="connsiteX0" fmla="*/ 57150 w 200025"/>
                  <a:gd name="connsiteY0" fmla="*/ 0 h 4498149"/>
                  <a:gd name="connsiteX1" fmla="*/ 57150 w 200025"/>
                  <a:gd name="connsiteY1" fmla="*/ 266700 h 4498149"/>
                  <a:gd name="connsiteX2" fmla="*/ 76200 w 200025"/>
                  <a:gd name="connsiteY2" fmla="*/ 304800 h 4498149"/>
                  <a:gd name="connsiteX3" fmla="*/ 114300 w 200025"/>
                  <a:gd name="connsiteY3" fmla="*/ 352425 h 4498149"/>
                  <a:gd name="connsiteX4" fmla="*/ 152400 w 200025"/>
                  <a:gd name="connsiteY4" fmla="*/ 371475 h 4498149"/>
                  <a:gd name="connsiteX5" fmla="*/ 180975 w 200025"/>
                  <a:gd name="connsiteY5" fmla="*/ 409575 h 4498149"/>
                  <a:gd name="connsiteX6" fmla="*/ 200025 w 200025"/>
                  <a:gd name="connsiteY6" fmla="*/ 485775 h 4498149"/>
                  <a:gd name="connsiteX7" fmla="*/ 200025 w 200025"/>
                  <a:gd name="connsiteY7" fmla="*/ 3971925 h 4498149"/>
                  <a:gd name="connsiteX8" fmla="*/ 171450 w 200025"/>
                  <a:gd name="connsiteY8" fmla="*/ 4057650 h 4498149"/>
                  <a:gd name="connsiteX9" fmla="*/ 148378 w 200025"/>
                  <a:gd name="connsiteY9" fmla="*/ 4114553 h 4498149"/>
                  <a:gd name="connsiteX10" fmla="*/ 104775 w 200025"/>
                  <a:gd name="connsiteY10" fmla="*/ 4144946 h 4498149"/>
                  <a:gd name="connsiteX11" fmla="*/ 59767 w 200025"/>
                  <a:gd name="connsiteY11" fmla="*/ 4200525 h 4498149"/>
                  <a:gd name="connsiteX12" fmla="*/ 65838 w 200025"/>
                  <a:gd name="connsiteY12" fmla="*/ 4486572 h 4498149"/>
                  <a:gd name="connsiteX13" fmla="*/ 10990 w 200025"/>
                  <a:gd name="connsiteY13" fmla="*/ 4485212 h 4498149"/>
                  <a:gd name="connsiteX14" fmla="*/ 0 w 200025"/>
                  <a:gd name="connsiteY14" fmla="*/ 0 h 4498149"/>
                  <a:gd name="connsiteX15" fmla="*/ 57150 w 200025"/>
                  <a:gd name="connsiteY15" fmla="*/ 0 h 4498149"/>
                  <a:gd name="connsiteX0" fmla="*/ 57150 w 200025"/>
                  <a:gd name="connsiteY0" fmla="*/ 0 h 4497810"/>
                  <a:gd name="connsiteX1" fmla="*/ 57150 w 200025"/>
                  <a:gd name="connsiteY1" fmla="*/ 266700 h 4497810"/>
                  <a:gd name="connsiteX2" fmla="*/ 76200 w 200025"/>
                  <a:gd name="connsiteY2" fmla="*/ 304800 h 4497810"/>
                  <a:gd name="connsiteX3" fmla="*/ 114300 w 200025"/>
                  <a:gd name="connsiteY3" fmla="*/ 352425 h 4497810"/>
                  <a:gd name="connsiteX4" fmla="*/ 152400 w 200025"/>
                  <a:gd name="connsiteY4" fmla="*/ 371475 h 4497810"/>
                  <a:gd name="connsiteX5" fmla="*/ 180975 w 200025"/>
                  <a:gd name="connsiteY5" fmla="*/ 409575 h 4497810"/>
                  <a:gd name="connsiteX6" fmla="*/ 200025 w 200025"/>
                  <a:gd name="connsiteY6" fmla="*/ 485775 h 4497810"/>
                  <a:gd name="connsiteX7" fmla="*/ 200025 w 200025"/>
                  <a:gd name="connsiteY7" fmla="*/ 3971925 h 4497810"/>
                  <a:gd name="connsiteX8" fmla="*/ 171450 w 200025"/>
                  <a:gd name="connsiteY8" fmla="*/ 4057650 h 4497810"/>
                  <a:gd name="connsiteX9" fmla="*/ 148378 w 200025"/>
                  <a:gd name="connsiteY9" fmla="*/ 4114553 h 4497810"/>
                  <a:gd name="connsiteX10" fmla="*/ 104775 w 200025"/>
                  <a:gd name="connsiteY10" fmla="*/ 4144946 h 4497810"/>
                  <a:gd name="connsiteX11" fmla="*/ 77981 w 200025"/>
                  <a:gd name="connsiteY11" fmla="*/ 4206192 h 4497810"/>
                  <a:gd name="connsiteX12" fmla="*/ 65838 w 200025"/>
                  <a:gd name="connsiteY12" fmla="*/ 4486572 h 4497810"/>
                  <a:gd name="connsiteX13" fmla="*/ 10990 w 200025"/>
                  <a:gd name="connsiteY13" fmla="*/ 4485212 h 4497810"/>
                  <a:gd name="connsiteX14" fmla="*/ 0 w 200025"/>
                  <a:gd name="connsiteY14" fmla="*/ 0 h 4497810"/>
                  <a:gd name="connsiteX15" fmla="*/ 57150 w 200025"/>
                  <a:gd name="connsiteY15" fmla="*/ 0 h 4497810"/>
                  <a:gd name="connsiteX0" fmla="*/ 57150 w 200025"/>
                  <a:gd name="connsiteY0" fmla="*/ 0 h 4497810"/>
                  <a:gd name="connsiteX1" fmla="*/ 57150 w 200025"/>
                  <a:gd name="connsiteY1" fmla="*/ 266700 h 4497810"/>
                  <a:gd name="connsiteX2" fmla="*/ 76200 w 200025"/>
                  <a:gd name="connsiteY2" fmla="*/ 304800 h 4497810"/>
                  <a:gd name="connsiteX3" fmla="*/ 114300 w 200025"/>
                  <a:gd name="connsiteY3" fmla="*/ 352425 h 4497810"/>
                  <a:gd name="connsiteX4" fmla="*/ 152400 w 200025"/>
                  <a:gd name="connsiteY4" fmla="*/ 371475 h 4497810"/>
                  <a:gd name="connsiteX5" fmla="*/ 180975 w 200025"/>
                  <a:gd name="connsiteY5" fmla="*/ 409575 h 4497810"/>
                  <a:gd name="connsiteX6" fmla="*/ 200025 w 200025"/>
                  <a:gd name="connsiteY6" fmla="*/ 485775 h 4497810"/>
                  <a:gd name="connsiteX7" fmla="*/ 200025 w 200025"/>
                  <a:gd name="connsiteY7" fmla="*/ 3971925 h 4497810"/>
                  <a:gd name="connsiteX8" fmla="*/ 171450 w 200025"/>
                  <a:gd name="connsiteY8" fmla="*/ 4057650 h 4497810"/>
                  <a:gd name="connsiteX9" fmla="*/ 148378 w 200025"/>
                  <a:gd name="connsiteY9" fmla="*/ 4114553 h 4497810"/>
                  <a:gd name="connsiteX10" fmla="*/ 104775 w 200025"/>
                  <a:gd name="connsiteY10" fmla="*/ 4144946 h 4497810"/>
                  <a:gd name="connsiteX11" fmla="*/ 65840 w 200025"/>
                  <a:gd name="connsiteY11" fmla="*/ 4206192 h 4497810"/>
                  <a:gd name="connsiteX12" fmla="*/ 65838 w 200025"/>
                  <a:gd name="connsiteY12" fmla="*/ 4486572 h 4497810"/>
                  <a:gd name="connsiteX13" fmla="*/ 10990 w 200025"/>
                  <a:gd name="connsiteY13" fmla="*/ 4485212 h 4497810"/>
                  <a:gd name="connsiteX14" fmla="*/ 0 w 200025"/>
                  <a:gd name="connsiteY14" fmla="*/ 0 h 4497810"/>
                  <a:gd name="connsiteX15" fmla="*/ 57150 w 200025"/>
                  <a:gd name="connsiteY15" fmla="*/ 0 h 4497810"/>
                  <a:gd name="connsiteX0" fmla="*/ 57150 w 200025"/>
                  <a:gd name="connsiteY0" fmla="*/ 0 h 4498149"/>
                  <a:gd name="connsiteX1" fmla="*/ 57150 w 200025"/>
                  <a:gd name="connsiteY1" fmla="*/ 266700 h 4498149"/>
                  <a:gd name="connsiteX2" fmla="*/ 76200 w 200025"/>
                  <a:gd name="connsiteY2" fmla="*/ 304800 h 4498149"/>
                  <a:gd name="connsiteX3" fmla="*/ 114300 w 200025"/>
                  <a:gd name="connsiteY3" fmla="*/ 352425 h 4498149"/>
                  <a:gd name="connsiteX4" fmla="*/ 152400 w 200025"/>
                  <a:gd name="connsiteY4" fmla="*/ 371475 h 4498149"/>
                  <a:gd name="connsiteX5" fmla="*/ 180975 w 200025"/>
                  <a:gd name="connsiteY5" fmla="*/ 409575 h 4498149"/>
                  <a:gd name="connsiteX6" fmla="*/ 200025 w 200025"/>
                  <a:gd name="connsiteY6" fmla="*/ 485775 h 4498149"/>
                  <a:gd name="connsiteX7" fmla="*/ 200025 w 200025"/>
                  <a:gd name="connsiteY7" fmla="*/ 3971925 h 4498149"/>
                  <a:gd name="connsiteX8" fmla="*/ 171450 w 200025"/>
                  <a:gd name="connsiteY8" fmla="*/ 4057650 h 4498149"/>
                  <a:gd name="connsiteX9" fmla="*/ 148378 w 200025"/>
                  <a:gd name="connsiteY9" fmla="*/ 4114553 h 4498149"/>
                  <a:gd name="connsiteX10" fmla="*/ 104775 w 200025"/>
                  <a:gd name="connsiteY10" fmla="*/ 4144946 h 4498149"/>
                  <a:gd name="connsiteX11" fmla="*/ 71911 w 200025"/>
                  <a:gd name="connsiteY11" fmla="*/ 4200525 h 4498149"/>
                  <a:gd name="connsiteX12" fmla="*/ 65838 w 200025"/>
                  <a:gd name="connsiteY12" fmla="*/ 4486572 h 4498149"/>
                  <a:gd name="connsiteX13" fmla="*/ 10990 w 200025"/>
                  <a:gd name="connsiteY13" fmla="*/ 4485212 h 4498149"/>
                  <a:gd name="connsiteX14" fmla="*/ 0 w 200025"/>
                  <a:gd name="connsiteY14" fmla="*/ 0 h 4498149"/>
                  <a:gd name="connsiteX15" fmla="*/ 57150 w 200025"/>
                  <a:gd name="connsiteY15" fmla="*/ 0 h 4498149"/>
                  <a:gd name="connsiteX0" fmla="*/ 57150 w 200025"/>
                  <a:gd name="connsiteY0" fmla="*/ 0 h 4498149"/>
                  <a:gd name="connsiteX1" fmla="*/ 57150 w 200025"/>
                  <a:gd name="connsiteY1" fmla="*/ 266700 h 4498149"/>
                  <a:gd name="connsiteX2" fmla="*/ 76200 w 200025"/>
                  <a:gd name="connsiteY2" fmla="*/ 304800 h 4498149"/>
                  <a:gd name="connsiteX3" fmla="*/ 114300 w 200025"/>
                  <a:gd name="connsiteY3" fmla="*/ 352425 h 4498149"/>
                  <a:gd name="connsiteX4" fmla="*/ 152400 w 200025"/>
                  <a:gd name="connsiteY4" fmla="*/ 371475 h 4498149"/>
                  <a:gd name="connsiteX5" fmla="*/ 180975 w 200025"/>
                  <a:gd name="connsiteY5" fmla="*/ 409575 h 4498149"/>
                  <a:gd name="connsiteX6" fmla="*/ 200025 w 200025"/>
                  <a:gd name="connsiteY6" fmla="*/ 485775 h 4498149"/>
                  <a:gd name="connsiteX7" fmla="*/ 200025 w 200025"/>
                  <a:gd name="connsiteY7" fmla="*/ 3971925 h 4498149"/>
                  <a:gd name="connsiteX8" fmla="*/ 195735 w 200025"/>
                  <a:gd name="connsiteY8" fmla="*/ 4051983 h 4498149"/>
                  <a:gd name="connsiteX9" fmla="*/ 148378 w 200025"/>
                  <a:gd name="connsiteY9" fmla="*/ 4114553 h 4498149"/>
                  <a:gd name="connsiteX10" fmla="*/ 104775 w 200025"/>
                  <a:gd name="connsiteY10" fmla="*/ 4144946 h 4498149"/>
                  <a:gd name="connsiteX11" fmla="*/ 71911 w 200025"/>
                  <a:gd name="connsiteY11" fmla="*/ 4200525 h 4498149"/>
                  <a:gd name="connsiteX12" fmla="*/ 65838 w 200025"/>
                  <a:gd name="connsiteY12" fmla="*/ 4486572 h 4498149"/>
                  <a:gd name="connsiteX13" fmla="*/ 10990 w 200025"/>
                  <a:gd name="connsiteY13" fmla="*/ 4485212 h 4498149"/>
                  <a:gd name="connsiteX14" fmla="*/ 0 w 200025"/>
                  <a:gd name="connsiteY14" fmla="*/ 0 h 4498149"/>
                  <a:gd name="connsiteX15" fmla="*/ 57150 w 200025"/>
                  <a:gd name="connsiteY15" fmla="*/ 0 h 4498149"/>
                  <a:gd name="connsiteX0" fmla="*/ 57150 w 200025"/>
                  <a:gd name="connsiteY0" fmla="*/ 0 h 4498149"/>
                  <a:gd name="connsiteX1" fmla="*/ 57150 w 200025"/>
                  <a:gd name="connsiteY1" fmla="*/ 266700 h 4498149"/>
                  <a:gd name="connsiteX2" fmla="*/ 76200 w 200025"/>
                  <a:gd name="connsiteY2" fmla="*/ 304800 h 4498149"/>
                  <a:gd name="connsiteX3" fmla="*/ 114300 w 200025"/>
                  <a:gd name="connsiteY3" fmla="*/ 352425 h 4498149"/>
                  <a:gd name="connsiteX4" fmla="*/ 152400 w 200025"/>
                  <a:gd name="connsiteY4" fmla="*/ 371475 h 4498149"/>
                  <a:gd name="connsiteX5" fmla="*/ 180975 w 200025"/>
                  <a:gd name="connsiteY5" fmla="*/ 409575 h 4498149"/>
                  <a:gd name="connsiteX6" fmla="*/ 200025 w 200025"/>
                  <a:gd name="connsiteY6" fmla="*/ 485775 h 4498149"/>
                  <a:gd name="connsiteX7" fmla="*/ 200025 w 200025"/>
                  <a:gd name="connsiteY7" fmla="*/ 3971925 h 4498149"/>
                  <a:gd name="connsiteX8" fmla="*/ 183593 w 200025"/>
                  <a:gd name="connsiteY8" fmla="*/ 4068985 h 4498149"/>
                  <a:gd name="connsiteX9" fmla="*/ 148378 w 200025"/>
                  <a:gd name="connsiteY9" fmla="*/ 4114553 h 4498149"/>
                  <a:gd name="connsiteX10" fmla="*/ 104775 w 200025"/>
                  <a:gd name="connsiteY10" fmla="*/ 4144946 h 4498149"/>
                  <a:gd name="connsiteX11" fmla="*/ 71911 w 200025"/>
                  <a:gd name="connsiteY11" fmla="*/ 4200525 h 4498149"/>
                  <a:gd name="connsiteX12" fmla="*/ 65838 w 200025"/>
                  <a:gd name="connsiteY12" fmla="*/ 4486572 h 4498149"/>
                  <a:gd name="connsiteX13" fmla="*/ 10990 w 200025"/>
                  <a:gd name="connsiteY13" fmla="*/ 4485212 h 4498149"/>
                  <a:gd name="connsiteX14" fmla="*/ 0 w 200025"/>
                  <a:gd name="connsiteY14" fmla="*/ 0 h 4498149"/>
                  <a:gd name="connsiteX15" fmla="*/ 57150 w 200025"/>
                  <a:gd name="connsiteY15" fmla="*/ 0 h 4498149"/>
                  <a:gd name="connsiteX0" fmla="*/ 57150 w 200025"/>
                  <a:gd name="connsiteY0" fmla="*/ 0 h 4499506"/>
                  <a:gd name="connsiteX1" fmla="*/ 57150 w 200025"/>
                  <a:gd name="connsiteY1" fmla="*/ 266700 h 4499506"/>
                  <a:gd name="connsiteX2" fmla="*/ 76200 w 200025"/>
                  <a:gd name="connsiteY2" fmla="*/ 304800 h 4499506"/>
                  <a:gd name="connsiteX3" fmla="*/ 114300 w 200025"/>
                  <a:gd name="connsiteY3" fmla="*/ 352425 h 4499506"/>
                  <a:gd name="connsiteX4" fmla="*/ 152400 w 200025"/>
                  <a:gd name="connsiteY4" fmla="*/ 371475 h 4499506"/>
                  <a:gd name="connsiteX5" fmla="*/ 180975 w 200025"/>
                  <a:gd name="connsiteY5" fmla="*/ 409575 h 4499506"/>
                  <a:gd name="connsiteX6" fmla="*/ 200025 w 200025"/>
                  <a:gd name="connsiteY6" fmla="*/ 485775 h 4499506"/>
                  <a:gd name="connsiteX7" fmla="*/ 200025 w 200025"/>
                  <a:gd name="connsiteY7" fmla="*/ 3971925 h 4499506"/>
                  <a:gd name="connsiteX8" fmla="*/ 183593 w 200025"/>
                  <a:gd name="connsiteY8" fmla="*/ 4068985 h 4499506"/>
                  <a:gd name="connsiteX9" fmla="*/ 148378 w 200025"/>
                  <a:gd name="connsiteY9" fmla="*/ 4114553 h 4499506"/>
                  <a:gd name="connsiteX10" fmla="*/ 104775 w 200025"/>
                  <a:gd name="connsiteY10" fmla="*/ 4144946 h 4499506"/>
                  <a:gd name="connsiteX11" fmla="*/ 71911 w 200025"/>
                  <a:gd name="connsiteY11" fmla="*/ 4200525 h 4499506"/>
                  <a:gd name="connsiteX12" fmla="*/ 65838 w 200025"/>
                  <a:gd name="connsiteY12" fmla="*/ 4486572 h 4499506"/>
                  <a:gd name="connsiteX13" fmla="*/ 10990 w 200025"/>
                  <a:gd name="connsiteY13" fmla="*/ 4494217 h 4499506"/>
                  <a:gd name="connsiteX14" fmla="*/ 0 w 200025"/>
                  <a:gd name="connsiteY14" fmla="*/ 0 h 4499506"/>
                  <a:gd name="connsiteX15" fmla="*/ 57150 w 200025"/>
                  <a:gd name="connsiteY15" fmla="*/ 0 h 4499506"/>
                  <a:gd name="connsiteX0" fmla="*/ 57150 w 200025"/>
                  <a:gd name="connsiteY0" fmla="*/ 0 h 4509997"/>
                  <a:gd name="connsiteX1" fmla="*/ 57150 w 200025"/>
                  <a:gd name="connsiteY1" fmla="*/ 266700 h 4509997"/>
                  <a:gd name="connsiteX2" fmla="*/ 76200 w 200025"/>
                  <a:gd name="connsiteY2" fmla="*/ 304800 h 4509997"/>
                  <a:gd name="connsiteX3" fmla="*/ 114300 w 200025"/>
                  <a:gd name="connsiteY3" fmla="*/ 352425 h 4509997"/>
                  <a:gd name="connsiteX4" fmla="*/ 152400 w 200025"/>
                  <a:gd name="connsiteY4" fmla="*/ 371475 h 4509997"/>
                  <a:gd name="connsiteX5" fmla="*/ 180975 w 200025"/>
                  <a:gd name="connsiteY5" fmla="*/ 409575 h 4509997"/>
                  <a:gd name="connsiteX6" fmla="*/ 200025 w 200025"/>
                  <a:gd name="connsiteY6" fmla="*/ 485775 h 4509997"/>
                  <a:gd name="connsiteX7" fmla="*/ 200025 w 200025"/>
                  <a:gd name="connsiteY7" fmla="*/ 3971925 h 4509997"/>
                  <a:gd name="connsiteX8" fmla="*/ 183593 w 200025"/>
                  <a:gd name="connsiteY8" fmla="*/ 4068985 h 4509997"/>
                  <a:gd name="connsiteX9" fmla="*/ 148378 w 200025"/>
                  <a:gd name="connsiteY9" fmla="*/ 4114553 h 4509997"/>
                  <a:gd name="connsiteX10" fmla="*/ 104775 w 200025"/>
                  <a:gd name="connsiteY10" fmla="*/ 4144946 h 4509997"/>
                  <a:gd name="connsiteX11" fmla="*/ 71911 w 200025"/>
                  <a:gd name="connsiteY11" fmla="*/ 4200525 h 4509997"/>
                  <a:gd name="connsiteX12" fmla="*/ 65838 w 200025"/>
                  <a:gd name="connsiteY12" fmla="*/ 4486572 h 4509997"/>
                  <a:gd name="connsiteX13" fmla="*/ 10990 w 200025"/>
                  <a:gd name="connsiteY13" fmla="*/ 4494217 h 4509997"/>
                  <a:gd name="connsiteX14" fmla="*/ 0 w 200025"/>
                  <a:gd name="connsiteY14" fmla="*/ 0 h 4509997"/>
                  <a:gd name="connsiteX15" fmla="*/ 57150 w 200025"/>
                  <a:gd name="connsiteY15" fmla="*/ 0 h 4509997"/>
                  <a:gd name="connsiteX0" fmla="*/ 57150 w 200025"/>
                  <a:gd name="connsiteY0" fmla="*/ 0 h 4509998"/>
                  <a:gd name="connsiteX1" fmla="*/ 57150 w 200025"/>
                  <a:gd name="connsiteY1" fmla="*/ 266700 h 4509998"/>
                  <a:gd name="connsiteX2" fmla="*/ 76200 w 200025"/>
                  <a:gd name="connsiteY2" fmla="*/ 304800 h 4509998"/>
                  <a:gd name="connsiteX3" fmla="*/ 114300 w 200025"/>
                  <a:gd name="connsiteY3" fmla="*/ 352425 h 4509998"/>
                  <a:gd name="connsiteX4" fmla="*/ 152400 w 200025"/>
                  <a:gd name="connsiteY4" fmla="*/ 371475 h 4509998"/>
                  <a:gd name="connsiteX5" fmla="*/ 180975 w 200025"/>
                  <a:gd name="connsiteY5" fmla="*/ 409575 h 4509998"/>
                  <a:gd name="connsiteX6" fmla="*/ 200025 w 200025"/>
                  <a:gd name="connsiteY6" fmla="*/ 485775 h 4509998"/>
                  <a:gd name="connsiteX7" fmla="*/ 200025 w 200025"/>
                  <a:gd name="connsiteY7" fmla="*/ 3971925 h 4509998"/>
                  <a:gd name="connsiteX8" fmla="*/ 183593 w 200025"/>
                  <a:gd name="connsiteY8" fmla="*/ 4068985 h 4509998"/>
                  <a:gd name="connsiteX9" fmla="*/ 148378 w 200025"/>
                  <a:gd name="connsiteY9" fmla="*/ 4114553 h 4509998"/>
                  <a:gd name="connsiteX10" fmla="*/ 104775 w 200025"/>
                  <a:gd name="connsiteY10" fmla="*/ 4144946 h 4509998"/>
                  <a:gd name="connsiteX11" fmla="*/ 71911 w 200025"/>
                  <a:gd name="connsiteY11" fmla="*/ 4200525 h 4509998"/>
                  <a:gd name="connsiteX12" fmla="*/ 65838 w 200025"/>
                  <a:gd name="connsiteY12" fmla="*/ 4486572 h 4509998"/>
                  <a:gd name="connsiteX13" fmla="*/ 10990 w 200025"/>
                  <a:gd name="connsiteY13" fmla="*/ 4494217 h 4509998"/>
                  <a:gd name="connsiteX14" fmla="*/ 0 w 200025"/>
                  <a:gd name="connsiteY14" fmla="*/ 0 h 4509998"/>
                  <a:gd name="connsiteX15" fmla="*/ 57150 w 200025"/>
                  <a:gd name="connsiteY15" fmla="*/ 0 h 4509998"/>
                  <a:gd name="connsiteX0" fmla="*/ 57150 w 200025"/>
                  <a:gd name="connsiteY0" fmla="*/ 0 h 4508446"/>
                  <a:gd name="connsiteX1" fmla="*/ 57150 w 200025"/>
                  <a:gd name="connsiteY1" fmla="*/ 266700 h 4508446"/>
                  <a:gd name="connsiteX2" fmla="*/ 76200 w 200025"/>
                  <a:gd name="connsiteY2" fmla="*/ 304800 h 4508446"/>
                  <a:gd name="connsiteX3" fmla="*/ 114300 w 200025"/>
                  <a:gd name="connsiteY3" fmla="*/ 352425 h 4508446"/>
                  <a:gd name="connsiteX4" fmla="*/ 152400 w 200025"/>
                  <a:gd name="connsiteY4" fmla="*/ 371475 h 4508446"/>
                  <a:gd name="connsiteX5" fmla="*/ 180975 w 200025"/>
                  <a:gd name="connsiteY5" fmla="*/ 409575 h 4508446"/>
                  <a:gd name="connsiteX6" fmla="*/ 200025 w 200025"/>
                  <a:gd name="connsiteY6" fmla="*/ 485775 h 4508446"/>
                  <a:gd name="connsiteX7" fmla="*/ 200025 w 200025"/>
                  <a:gd name="connsiteY7" fmla="*/ 3971925 h 4508446"/>
                  <a:gd name="connsiteX8" fmla="*/ 183593 w 200025"/>
                  <a:gd name="connsiteY8" fmla="*/ 4068985 h 4508446"/>
                  <a:gd name="connsiteX9" fmla="*/ 148378 w 200025"/>
                  <a:gd name="connsiteY9" fmla="*/ 4114553 h 4508446"/>
                  <a:gd name="connsiteX10" fmla="*/ 104775 w 200025"/>
                  <a:gd name="connsiteY10" fmla="*/ 4144946 h 4508446"/>
                  <a:gd name="connsiteX11" fmla="*/ 71911 w 200025"/>
                  <a:gd name="connsiteY11" fmla="*/ 4200525 h 4508446"/>
                  <a:gd name="connsiteX12" fmla="*/ 68205 w 200025"/>
                  <a:gd name="connsiteY12" fmla="*/ 4484322 h 4508446"/>
                  <a:gd name="connsiteX13" fmla="*/ 10990 w 200025"/>
                  <a:gd name="connsiteY13" fmla="*/ 4494217 h 4508446"/>
                  <a:gd name="connsiteX14" fmla="*/ 0 w 200025"/>
                  <a:gd name="connsiteY14" fmla="*/ 0 h 4508446"/>
                  <a:gd name="connsiteX15" fmla="*/ 57150 w 200025"/>
                  <a:gd name="connsiteY15" fmla="*/ 0 h 4508446"/>
                  <a:gd name="connsiteX0" fmla="*/ 57150 w 200025"/>
                  <a:gd name="connsiteY0" fmla="*/ 0 h 4497757"/>
                  <a:gd name="connsiteX1" fmla="*/ 57150 w 200025"/>
                  <a:gd name="connsiteY1" fmla="*/ 266700 h 4497757"/>
                  <a:gd name="connsiteX2" fmla="*/ 76200 w 200025"/>
                  <a:gd name="connsiteY2" fmla="*/ 304800 h 4497757"/>
                  <a:gd name="connsiteX3" fmla="*/ 114300 w 200025"/>
                  <a:gd name="connsiteY3" fmla="*/ 352425 h 4497757"/>
                  <a:gd name="connsiteX4" fmla="*/ 152400 w 200025"/>
                  <a:gd name="connsiteY4" fmla="*/ 371475 h 4497757"/>
                  <a:gd name="connsiteX5" fmla="*/ 180975 w 200025"/>
                  <a:gd name="connsiteY5" fmla="*/ 409575 h 4497757"/>
                  <a:gd name="connsiteX6" fmla="*/ 200025 w 200025"/>
                  <a:gd name="connsiteY6" fmla="*/ 485775 h 4497757"/>
                  <a:gd name="connsiteX7" fmla="*/ 200025 w 200025"/>
                  <a:gd name="connsiteY7" fmla="*/ 3971925 h 4497757"/>
                  <a:gd name="connsiteX8" fmla="*/ 183593 w 200025"/>
                  <a:gd name="connsiteY8" fmla="*/ 4068985 h 4497757"/>
                  <a:gd name="connsiteX9" fmla="*/ 148378 w 200025"/>
                  <a:gd name="connsiteY9" fmla="*/ 4114553 h 4497757"/>
                  <a:gd name="connsiteX10" fmla="*/ 104775 w 200025"/>
                  <a:gd name="connsiteY10" fmla="*/ 4144946 h 4497757"/>
                  <a:gd name="connsiteX11" fmla="*/ 71911 w 200025"/>
                  <a:gd name="connsiteY11" fmla="*/ 4200525 h 4497757"/>
                  <a:gd name="connsiteX12" fmla="*/ 68205 w 200025"/>
                  <a:gd name="connsiteY12" fmla="*/ 4484322 h 4497757"/>
                  <a:gd name="connsiteX13" fmla="*/ 10990 w 200025"/>
                  <a:gd name="connsiteY13" fmla="*/ 4494217 h 4497757"/>
                  <a:gd name="connsiteX14" fmla="*/ 0 w 200025"/>
                  <a:gd name="connsiteY14" fmla="*/ 0 h 4497757"/>
                  <a:gd name="connsiteX15" fmla="*/ 57150 w 200025"/>
                  <a:gd name="connsiteY15" fmla="*/ 0 h 4497757"/>
                  <a:gd name="connsiteX0" fmla="*/ 57150 w 200025"/>
                  <a:gd name="connsiteY0" fmla="*/ 0 h 4498002"/>
                  <a:gd name="connsiteX1" fmla="*/ 57150 w 200025"/>
                  <a:gd name="connsiteY1" fmla="*/ 266700 h 4498002"/>
                  <a:gd name="connsiteX2" fmla="*/ 76200 w 200025"/>
                  <a:gd name="connsiteY2" fmla="*/ 304800 h 4498002"/>
                  <a:gd name="connsiteX3" fmla="*/ 114300 w 200025"/>
                  <a:gd name="connsiteY3" fmla="*/ 352425 h 4498002"/>
                  <a:gd name="connsiteX4" fmla="*/ 152400 w 200025"/>
                  <a:gd name="connsiteY4" fmla="*/ 371475 h 4498002"/>
                  <a:gd name="connsiteX5" fmla="*/ 180975 w 200025"/>
                  <a:gd name="connsiteY5" fmla="*/ 409575 h 4498002"/>
                  <a:gd name="connsiteX6" fmla="*/ 200025 w 200025"/>
                  <a:gd name="connsiteY6" fmla="*/ 485775 h 4498002"/>
                  <a:gd name="connsiteX7" fmla="*/ 200025 w 200025"/>
                  <a:gd name="connsiteY7" fmla="*/ 3971925 h 4498002"/>
                  <a:gd name="connsiteX8" fmla="*/ 183593 w 200025"/>
                  <a:gd name="connsiteY8" fmla="*/ 4068985 h 4498002"/>
                  <a:gd name="connsiteX9" fmla="*/ 148378 w 200025"/>
                  <a:gd name="connsiteY9" fmla="*/ 4114553 h 4498002"/>
                  <a:gd name="connsiteX10" fmla="*/ 104775 w 200025"/>
                  <a:gd name="connsiteY10" fmla="*/ 4144946 h 4498002"/>
                  <a:gd name="connsiteX11" fmla="*/ 71911 w 200025"/>
                  <a:gd name="connsiteY11" fmla="*/ 4200525 h 4498002"/>
                  <a:gd name="connsiteX12" fmla="*/ 68205 w 200025"/>
                  <a:gd name="connsiteY12" fmla="*/ 4484322 h 4498002"/>
                  <a:gd name="connsiteX13" fmla="*/ 10990 w 200025"/>
                  <a:gd name="connsiteY13" fmla="*/ 4494217 h 4498002"/>
                  <a:gd name="connsiteX14" fmla="*/ 0 w 200025"/>
                  <a:gd name="connsiteY14" fmla="*/ 0 h 4498002"/>
                  <a:gd name="connsiteX15" fmla="*/ 57150 w 200025"/>
                  <a:gd name="connsiteY15" fmla="*/ 0 h 4498002"/>
                  <a:gd name="connsiteX0" fmla="*/ 57150 w 200025"/>
                  <a:gd name="connsiteY0" fmla="*/ 0 h 4494217"/>
                  <a:gd name="connsiteX1" fmla="*/ 57150 w 200025"/>
                  <a:gd name="connsiteY1" fmla="*/ 266700 h 4494217"/>
                  <a:gd name="connsiteX2" fmla="*/ 76200 w 200025"/>
                  <a:gd name="connsiteY2" fmla="*/ 304800 h 4494217"/>
                  <a:gd name="connsiteX3" fmla="*/ 114300 w 200025"/>
                  <a:gd name="connsiteY3" fmla="*/ 352425 h 4494217"/>
                  <a:gd name="connsiteX4" fmla="*/ 152400 w 200025"/>
                  <a:gd name="connsiteY4" fmla="*/ 371475 h 4494217"/>
                  <a:gd name="connsiteX5" fmla="*/ 180975 w 200025"/>
                  <a:gd name="connsiteY5" fmla="*/ 409575 h 4494217"/>
                  <a:gd name="connsiteX6" fmla="*/ 200025 w 200025"/>
                  <a:gd name="connsiteY6" fmla="*/ 485775 h 4494217"/>
                  <a:gd name="connsiteX7" fmla="*/ 200025 w 200025"/>
                  <a:gd name="connsiteY7" fmla="*/ 3971925 h 4494217"/>
                  <a:gd name="connsiteX8" fmla="*/ 183593 w 200025"/>
                  <a:gd name="connsiteY8" fmla="*/ 4068985 h 4494217"/>
                  <a:gd name="connsiteX9" fmla="*/ 148378 w 200025"/>
                  <a:gd name="connsiteY9" fmla="*/ 4114553 h 4494217"/>
                  <a:gd name="connsiteX10" fmla="*/ 104775 w 200025"/>
                  <a:gd name="connsiteY10" fmla="*/ 4144946 h 4494217"/>
                  <a:gd name="connsiteX11" fmla="*/ 71911 w 200025"/>
                  <a:gd name="connsiteY11" fmla="*/ 4200525 h 4494217"/>
                  <a:gd name="connsiteX12" fmla="*/ 68205 w 200025"/>
                  <a:gd name="connsiteY12" fmla="*/ 4484322 h 4494217"/>
                  <a:gd name="connsiteX13" fmla="*/ 10990 w 200025"/>
                  <a:gd name="connsiteY13" fmla="*/ 4494217 h 4494217"/>
                  <a:gd name="connsiteX14" fmla="*/ 0 w 200025"/>
                  <a:gd name="connsiteY14" fmla="*/ 0 h 4494217"/>
                  <a:gd name="connsiteX15" fmla="*/ 57150 w 200025"/>
                  <a:gd name="connsiteY15" fmla="*/ 0 h 4494217"/>
                  <a:gd name="connsiteX0" fmla="*/ 57150 w 200025"/>
                  <a:gd name="connsiteY0" fmla="*/ 0 h 4494217"/>
                  <a:gd name="connsiteX1" fmla="*/ 57150 w 200025"/>
                  <a:gd name="connsiteY1" fmla="*/ 266700 h 4494217"/>
                  <a:gd name="connsiteX2" fmla="*/ 76200 w 200025"/>
                  <a:gd name="connsiteY2" fmla="*/ 304800 h 4494217"/>
                  <a:gd name="connsiteX3" fmla="*/ 114300 w 200025"/>
                  <a:gd name="connsiteY3" fmla="*/ 352425 h 4494217"/>
                  <a:gd name="connsiteX4" fmla="*/ 152400 w 200025"/>
                  <a:gd name="connsiteY4" fmla="*/ 371475 h 4494217"/>
                  <a:gd name="connsiteX5" fmla="*/ 180975 w 200025"/>
                  <a:gd name="connsiteY5" fmla="*/ 409575 h 4494217"/>
                  <a:gd name="connsiteX6" fmla="*/ 200025 w 200025"/>
                  <a:gd name="connsiteY6" fmla="*/ 485775 h 4494217"/>
                  <a:gd name="connsiteX7" fmla="*/ 200025 w 200025"/>
                  <a:gd name="connsiteY7" fmla="*/ 3971925 h 4494217"/>
                  <a:gd name="connsiteX8" fmla="*/ 183593 w 200025"/>
                  <a:gd name="connsiteY8" fmla="*/ 4068985 h 4494217"/>
                  <a:gd name="connsiteX9" fmla="*/ 148378 w 200025"/>
                  <a:gd name="connsiteY9" fmla="*/ 4114553 h 4494217"/>
                  <a:gd name="connsiteX10" fmla="*/ 104775 w 200025"/>
                  <a:gd name="connsiteY10" fmla="*/ 4144946 h 4494217"/>
                  <a:gd name="connsiteX11" fmla="*/ 71911 w 200025"/>
                  <a:gd name="connsiteY11" fmla="*/ 4200525 h 4494217"/>
                  <a:gd name="connsiteX12" fmla="*/ 68205 w 200025"/>
                  <a:gd name="connsiteY12" fmla="*/ 4484322 h 4494217"/>
                  <a:gd name="connsiteX13" fmla="*/ 10990 w 200025"/>
                  <a:gd name="connsiteY13" fmla="*/ 4494217 h 4494217"/>
                  <a:gd name="connsiteX14" fmla="*/ 0 w 200025"/>
                  <a:gd name="connsiteY14" fmla="*/ 0 h 4494217"/>
                  <a:gd name="connsiteX15" fmla="*/ 57150 w 200025"/>
                  <a:gd name="connsiteY15" fmla="*/ 0 h 4494217"/>
                  <a:gd name="connsiteX0" fmla="*/ 66176 w 209051"/>
                  <a:gd name="connsiteY0" fmla="*/ 0 h 4506182"/>
                  <a:gd name="connsiteX1" fmla="*/ 66176 w 209051"/>
                  <a:gd name="connsiteY1" fmla="*/ 266700 h 4506182"/>
                  <a:gd name="connsiteX2" fmla="*/ 85226 w 209051"/>
                  <a:gd name="connsiteY2" fmla="*/ 304800 h 4506182"/>
                  <a:gd name="connsiteX3" fmla="*/ 123326 w 209051"/>
                  <a:gd name="connsiteY3" fmla="*/ 352425 h 4506182"/>
                  <a:gd name="connsiteX4" fmla="*/ 161426 w 209051"/>
                  <a:gd name="connsiteY4" fmla="*/ 371475 h 4506182"/>
                  <a:gd name="connsiteX5" fmla="*/ 190001 w 209051"/>
                  <a:gd name="connsiteY5" fmla="*/ 409575 h 4506182"/>
                  <a:gd name="connsiteX6" fmla="*/ 209051 w 209051"/>
                  <a:gd name="connsiteY6" fmla="*/ 485775 h 4506182"/>
                  <a:gd name="connsiteX7" fmla="*/ 209051 w 209051"/>
                  <a:gd name="connsiteY7" fmla="*/ 3971925 h 4506182"/>
                  <a:gd name="connsiteX8" fmla="*/ 192619 w 209051"/>
                  <a:gd name="connsiteY8" fmla="*/ 4068985 h 4506182"/>
                  <a:gd name="connsiteX9" fmla="*/ 157404 w 209051"/>
                  <a:gd name="connsiteY9" fmla="*/ 4114553 h 4506182"/>
                  <a:gd name="connsiteX10" fmla="*/ 113801 w 209051"/>
                  <a:gd name="connsiteY10" fmla="*/ 4144946 h 4506182"/>
                  <a:gd name="connsiteX11" fmla="*/ 80937 w 209051"/>
                  <a:gd name="connsiteY11" fmla="*/ 4200525 h 4506182"/>
                  <a:gd name="connsiteX12" fmla="*/ 77231 w 209051"/>
                  <a:gd name="connsiteY12" fmla="*/ 4484322 h 4506182"/>
                  <a:gd name="connsiteX13" fmla="*/ 555 w 209051"/>
                  <a:gd name="connsiteY13" fmla="*/ 4488095 h 4506182"/>
                  <a:gd name="connsiteX14" fmla="*/ 9026 w 209051"/>
                  <a:gd name="connsiteY14" fmla="*/ 0 h 4506182"/>
                  <a:gd name="connsiteX15" fmla="*/ 66176 w 209051"/>
                  <a:gd name="connsiteY15" fmla="*/ 0 h 4506182"/>
                  <a:gd name="connsiteX0" fmla="*/ 70875 w 213750"/>
                  <a:gd name="connsiteY0" fmla="*/ 0 h 4506182"/>
                  <a:gd name="connsiteX1" fmla="*/ 70875 w 213750"/>
                  <a:gd name="connsiteY1" fmla="*/ 266700 h 4506182"/>
                  <a:gd name="connsiteX2" fmla="*/ 89925 w 213750"/>
                  <a:gd name="connsiteY2" fmla="*/ 304800 h 4506182"/>
                  <a:gd name="connsiteX3" fmla="*/ 128025 w 213750"/>
                  <a:gd name="connsiteY3" fmla="*/ 352425 h 4506182"/>
                  <a:gd name="connsiteX4" fmla="*/ 166125 w 213750"/>
                  <a:gd name="connsiteY4" fmla="*/ 371475 h 4506182"/>
                  <a:gd name="connsiteX5" fmla="*/ 194700 w 213750"/>
                  <a:gd name="connsiteY5" fmla="*/ 409575 h 4506182"/>
                  <a:gd name="connsiteX6" fmla="*/ 213750 w 213750"/>
                  <a:gd name="connsiteY6" fmla="*/ 485775 h 4506182"/>
                  <a:gd name="connsiteX7" fmla="*/ 213750 w 213750"/>
                  <a:gd name="connsiteY7" fmla="*/ 3971925 h 4506182"/>
                  <a:gd name="connsiteX8" fmla="*/ 197318 w 213750"/>
                  <a:gd name="connsiteY8" fmla="*/ 4068985 h 4506182"/>
                  <a:gd name="connsiteX9" fmla="*/ 162103 w 213750"/>
                  <a:gd name="connsiteY9" fmla="*/ 4114553 h 4506182"/>
                  <a:gd name="connsiteX10" fmla="*/ 118500 w 213750"/>
                  <a:gd name="connsiteY10" fmla="*/ 4144946 h 4506182"/>
                  <a:gd name="connsiteX11" fmla="*/ 85636 w 213750"/>
                  <a:gd name="connsiteY11" fmla="*/ 4200525 h 4506182"/>
                  <a:gd name="connsiteX12" fmla="*/ 81930 w 213750"/>
                  <a:gd name="connsiteY12" fmla="*/ 4484322 h 4506182"/>
                  <a:gd name="connsiteX13" fmla="*/ 5254 w 213750"/>
                  <a:gd name="connsiteY13" fmla="*/ 4488095 h 4506182"/>
                  <a:gd name="connsiteX14" fmla="*/ 0 w 213750"/>
                  <a:gd name="connsiteY14" fmla="*/ 0 h 4506182"/>
                  <a:gd name="connsiteX15" fmla="*/ 70875 w 213750"/>
                  <a:gd name="connsiteY15" fmla="*/ 0 h 4506182"/>
                  <a:gd name="connsiteX0" fmla="*/ 70875 w 213750"/>
                  <a:gd name="connsiteY0" fmla="*/ 159408 h 4506182"/>
                  <a:gd name="connsiteX1" fmla="*/ 70875 w 213750"/>
                  <a:gd name="connsiteY1" fmla="*/ 266700 h 4506182"/>
                  <a:gd name="connsiteX2" fmla="*/ 89925 w 213750"/>
                  <a:gd name="connsiteY2" fmla="*/ 304800 h 4506182"/>
                  <a:gd name="connsiteX3" fmla="*/ 128025 w 213750"/>
                  <a:gd name="connsiteY3" fmla="*/ 352425 h 4506182"/>
                  <a:gd name="connsiteX4" fmla="*/ 166125 w 213750"/>
                  <a:gd name="connsiteY4" fmla="*/ 371475 h 4506182"/>
                  <a:gd name="connsiteX5" fmla="*/ 194700 w 213750"/>
                  <a:gd name="connsiteY5" fmla="*/ 409575 h 4506182"/>
                  <a:gd name="connsiteX6" fmla="*/ 213750 w 213750"/>
                  <a:gd name="connsiteY6" fmla="*/ 485775 h 4506182"/>
                  <a:gd name="connsiteX7" fmla="*/ 213750 w 213750"/>
                  <a:gd name="connsiteY7" fmla="*/ 3971925 h 4506182"/>
                  <a:gd name="connsiteX8" fmla="*/ 197318 w 213750"/>
                  <a:gd name="connsiteY8" fmla="*/ 4068985 h 4506182"/>
                  <a:gd name="connsiteX9" fmla="*/ 162103 w 213750"/>
                  <a:gd name="connsiteY9" fmla="*/ 4114553 h 4506182"/>
                  <a:gd name="connsiteX10" fmla="*/ 118500 w 213750"/>
                  <a:gd name="connsiteY10" fmla="*/ 4144946 h 4506182"/>
                  <a:gd name="connsiteX11" fmla="*/ 85636 w 213750"/>
                  <a:gd name="connsiteY11" fmla="*/ 4200525 h 4506182"/>
                  <a:gd name="connsiteX12" fmla="*/ 81930 w 213750"/>
                  <a:gd name="connsiteY12" fmla="*/ 4484322 h 4506182"/>
                  <a:gd name="connsiteX13" fmla="*/ 5254 w 213750"/>
                  <a:gd name="connsiteY13" fmla="*/ 4488095 h 4506182"/>
                  <a:gd name="connsiteX14" fmla="*/ 0 w 213750"/>
                  <a:gd name="connsiteY14" fmla="*/ 0 h 4506182"/>
                  <a:gd name="connsiteX15" fmla="*/ 70875 w 213750"/>
                  <a:gd name="connsiteY15" fmla="*/ 159408 h 4506182"/>
                  <a:gd name="connsiteX0" fmla="*/ 70875 w 213750"/>
                  <a:gd name="connsiteY0" fmla="*/ 18393 h 4365167"/>
                  <a:gd name="connsiteX1" fmla="*/ 70875 w 213750"/>
                  <a:gd name="connsiteY1" fmla="*/ 125685 h 4365167"/>
                  <a:gd name="connsiteX2" fmla="*/ 89925 w 213750"/>
                  <a:gd name="connsiteY2" fmla="*/ 163785 h 4365167"/>
                  <a:gd name="connsiteX3" fmla="*/ 128025 w 213750"/>
                  <a:gd name="connsiteY3" fmla="*/ 211410 h 4365167"/>
                  <a:gd name="connsiteX4" fmla="*/ 166125 w 213750"/>
                  <a:gd name="connsiteY4" fmla="*/ 230460 h 4365167"/>
                  <a:gd name="connsiteX5" fmla="*/ 194700 w 213750"/>
                  <a:gd name="connsiteY5" fmla="*/ 268560 h 4365167"/>
                  <a:gd name="connsiteX6" fmla="*/ 213750 w 213750"/>
                  <a:gd name="connsiteY6" fmla="*/ 344760 h 4365167"/>
                  <a:gd name="connsiteX7" fmla="*/ 213750 w 213750"/>
                  <a:gd name="connsiteY7" fmla="*/ 3830910 h 4365167"/>
                  <a:gd name="connsiteX8" fmla="*/ 197318 w 213750"/>
                  <a:gd name="connsiteY8" fmla="*/ 3927970 h 4365167"/>
                  <a:gd name="connsiteX9" fmla="*/ 162103 w 213750"/>
                  <a:gd name="connsiteY9" fmla="*/ 3973538 h 4365167"/>
                  <a:gd name="connsiteX10" fmla="*/ 118500 w 213750"/>
                  <a:gd name="connsiteY10" fmla="*/ 4003931 h 4365167"/>
                  <a:gd name="connsiteX11" fmla="*/ 85636 w 213750"/>
                  <a:gd name="connsiteY11" fmla="*/ 4059510 h 4365167"/>
                  <a:gd name="connsiteX12" fmla="*/ 81930 w 213750"/>
                  <a:gd name="connsiteY12" fmla="*/ 4343307 h 4365167"/>
                  <a:gd name="connsiteX13" fmla="*/ 5254 w 213750"/>
                  <a:gd name="connsiteY13" fmla="*/ 4347080 h 4365167"/>
                  <a:gd name="connsiteX14" fmla="*/ 0 w 213750"/>
                  <a:gd name="connsiteY14" fmla="*/ 0 h 4365167"/>
                  <a:gd name="connsiteX15" fmla="*/ 70875 w 213750"/>
                  <a:gd name="connsiteY15" fmla="*/ 18393 h 4365167"/>
                  <a:gd name="connsiteX0" fmla="*/ 70875 w 213750"/>
                  <a:gd name="connsiteY0" fmla="*/ 0 h 4371298"/>
                  <a:gd name="connsiteX1" fmla="*/ 70875 w 213750"/>
                  <a:gd name="connsiteY1" fmla="*/ 131816 h 4371298"/>
                  <a:gd name="connsiteX2" fmla="*/ 89925 w 213750"/>
                  <a:gd name="connsiteY2" fmla="*/ 169916 h 4371298"/>
                  <a:gd name="connsiteX3" fmla="*/ 128025 w 213750"/>
                  <a:gd name="connsiteY3" fmla="*/ 217541 h 4371298"/>
                  <a:gd name="connsiteX4" fmla="*/ 166125 w 213750"/>
                  <a:gd name="connsiteY4" fmla="*/ 236591 h 4371298"/>
                  <a:gd name="connsiteX5" fmla="*/ 194700 w 213750"/>
                  <a:gd name="connsiteY5" fmla="*/ 274691 h 4371298"/>
                  <a:gd name="connsiteX6" fmla="*/ 213750 w 213750"/>
                  <a:gd name="connsiteY6" fmla="*/ 350891 h 4371298"/>
                  <a:gd name="connsiteX7" fmla="*/ 213750 w 213750"/>
                  <a:gd name="connsiteY7" fmla="*/ 3837041 h 4371298"/>
                  <a:gd name="connsiteX8" fmla="*/ 197318 w 213750"/>
                  <a:gd name="connsiteY8" fmla="*/ 3934101 h 4371298"/>
                  <a:gd name="connsiteX9" fmla="*/ 162103 w 213750"/>
                  <a:gd name="connsiteY9" fmla="*/ 3979669 h 4371298"/>
                  <a:gd name="connsiteX10" fmla="*/ 118500 w 213750"/>
                  <a:gd name="connsiteY10" fmla="*/ 4010062 h 4371298"/>
                  <a:gd name="connsiteX11" fmla="*/ 85636 w 213750"/>
                  <a:gd name="connsiteY11" fmla="*/ 4065641 h 4371298"/>
                  <a:gd name="connsiteX12" fmla="*/ 81930 w 213750"/>
                  <a:gd name="connsiteY12" fmla="*/ 4349438 h 4371298"/>
                  <a:gd name="connsiteX13" fmla="*/ 5254 w 213750"/>
                  <a:gd name="connsiteY13" fmla="*/ 4353211 h 4371298"/>
                  <a:gd name="connsiteX14" fmla="*/ 0 w 213750"/>
                  <a:gd name="connsiteY14" fmla="*/ 6131 h 4371298"/>
                  <a:gd name="connsiteX15" fmla="*/ 70875 w 213750"/>
                  <a:gd name="connsiteY15" fmla="*/ 0 h 4371298"/>
                  <a:gd name="connsiteX0" fmla="*/ 70875 w 213750"/>
                  <a:gd name="connsiteY0" fmla="*/ 6131 h 4365167"/>
                  <a:gd name="connsiteX1" fmla="*/ 70875 w 213750"/>
                  <a:gd name="connsiteY1" fmla="*/ 125685 h 4365167"/>
                  <a:gd name="connsiteX2" fmla="*/ 89925 w 213750"/>
                  <a:gd name="connsiteY2" fmla="*/ 163785 h 4365167"/>
                  <a:gd name="connsiteX3" fmla="*/ 128025 w 213750"/>
                  <a:gd name="connsiteY3" fmla="*/ 211410 h 4365167"/>
                  <a:gd name="connsiteX4" fmla="*/ 166125 w 213750"/>
                  <a:gd name="connsiteY4" fmla="*/ 230460 h 4365167"/>
                  <a:gd name="connsiteX5" fmla="*/ 194700 w 213750"/>
                  <a:gd name="connsiteY5" fmla="*/ 268560 h 4365167"/>
                  <a:gd name="connsiteX6" fmla="*/ 213750 w 213750"/>
                  <a:gd name="connsiteY6" fmla="*/ 344760 h 4365167"/>
                  <a:gd name="connsiteX7" fmla="*/ 213750 w 213750"/>
                  <a:gd name="connsiteY7" fmla="*/ 3830910 h 4365167"/>
                  <a:gd name="connsiteX8" fmla="*/ 197318 w 213750"/>
                  <a:gd name="connsiteY8" fmla="*/ 3927970 h 4365167"/>
                  <a:gd name="connsiteX9" fmla="*/ 162103 w 213750"/>
                  <a:gd name="connsiteY9" fmla="*/ 3973538 h 4365167"/>
                  <a:gd name="connsiteX10" fmla="*/ 118500 w 213750"/>
                  <a:gd name="connsiteY10" fmla="*/ 4003931 h 4365167"/>
                  <a:gd name="connsiteX11" fmla="*/ 85636 w 213750"/>
                  <a:gd name="connsiteY11" fmla="*/ 4059510 h 4365167"/>
                  <a:gd name="connsiteX12" fmla="*/ 81930 w 213750"/>
                  <a:gd name="connsiteY12" fmla="*/ 4343307 h 4365167"/>
                  <a:gd name="connsiteX13" fmla="*/ 5254 w 213750"/>
                  <a:gd name="connsiteY13" fmla="*/ 4347080 h 4365167"/>
                  <a:gd name="connsiteX14" fmla="*/ 0 w 213750"/>
                  <a:gd name="connsiteY14" fmla="*/ 0 h 4365167"/>
                  <a:gd name="connsiteX15" fmla="*/ 70875 w 213750"/>
                  <a:gd name="connsiteY15" fmla="*/ 6131 h 4365167"/>
                  <a:gd name="connsiteX0" fmla="*/ 70875 w 213750"/>
                  <a:gd name="connsiteY0" fmla="*/ 6131 h 4347080"/>
                  <a:gd name="connsiteX1" fmla="*/ 70875 w 213750"/>
                  <a:gd name="connsiteY1" fmla="*/ 125685 h 4347080"/>
                  <a:gd name="connsiteX2" fmla="*/ 89925 w 213750"/>
                  <a:gd name="connsiteY2" fmla="*/ 163785 h 4347080"/>
                  <a:gd name="connsiteX3" fmla="*/ 128025 w 213750"/>
                  <a:gd name="connsiteY3" fmla="*/ 211410 h 4347080"/>
                  <a:gd name="connsiteX4" fmla="*/ 166125 w 213750"/>
                  <a:gd name="connsiteY4" fmla="*/ 230460 h 4347080"/>
                  <a:gd name="connsiteX5" fmla="*/ 194700 w 213750"/>
                  <a:gd name="connsiteY5" fmla="*/ 268560 h 4347080"/>
                  <a:gd name="connsiteX6" fmla="*/ 213750 w 213750"/>
                  <a:gd name="connsiteY6" fmla="*/ 344760 h 4347080"/>
                  <a:gd name="connsiteX7" fmla="*/ 213750 w 213750"/>
                  <a:gd name="connsiteY7" fmla="*/ 3830910 h 4347080"/>
                  <a:gd name="connsiteX8" fmla="*/ 197318 w 213750"/>
                  <a:gd name="connsiteY8" fmla="*/ 3927970 h 4347080"/>
                  <a:gd name="connsiteX9" fmla="*/ 162103 w 213750"/>
                  <a:gd name="connsiteY9" fmla="*/ 3973538 h 4347080"/>
                  <a:gd name="connsiteX10" fmla="*/ 118500 w 213750"/>
                  <a:gd name="connsiteY10" fmla="*/ 4003931 h 4347080"/>
                  <a:gd name="connsiteX11" fmla="*/ 85636 w 213750"/>
                  <a:gd name="connsiteY11" fmla="*/ 4059510 h 4347080"/>
                  <a:gd name="connsiteX12" fmla="*/ 75066 w 213750"/>
                  <a:gd name="connsiteY12" fmla="*/ 4177767 h 4347080"/>
                  <a:gd name="connsiteX13" fmla="*/ 5254 w 213750"/>
                  <a:gd name="connsiteY13" fmla="*/ 4347080 h 4347080"/>
                  <a:gd name="connsiteX14" fmla="*/ 0 w 213750"/>
                  <a:gd name="connsiteY14" fmla="*/ 0 h 4347080"/>
                  <a:gd name="connsiteX15" fmla="*/ 70875 w 213750"/>
                  <a:gd name="connsiteY15" fmla="*/ 6131 h 4347080"/>
                  <a:gd name="connsiteX0" fmla="*/ 70875 w 213750"/>
                  <a:gd name="connsiteY0" fmla="*/ 6131 h 4187390"/>
                  <a:gd name="connsiteX1" fmla="*/ 70875 w 213750"/>
                  <a:gd name="connsiteY1" fmla="*/ 125685 h 4187390"/>
                  <a:gd name="connsiteX2" fmla="*/ 89925 w 213750"/>
                  <a:gd name="connsiteY2" fmla="*/ 163785 h 4187390"/>
                  <a:gd name="connsiteX3" fmla="*/ 128025 w 213750"/>
                  <a:gd name="connsiteY3" fmla="*/ 211410 h 4187390"/>
                  <a:gd name="connsiteX4" fmla="*/ 166125 w 213750"/>
                  <a:gd name="connsiteY4" fmla="*/ 230460 h 4187390"/>
                  <a:gd name="connsiteX5" fmla="*/ 194700 w 213750"/>
                  <a:gd name="connsiteY5" fmla="*/ 268560 h 4187390"/>
                  <a:gd name="connsiteX6" fmla="*/ 213750 w 213750"/>
                  <a:gd name="connsiteY6" fmla="*/ 344760 h 4187390"/>
                  <a:gd name="connsiteX7" fmla="*/ 213750 w 213750"/>
                  <a:gd name="connsiteY7" fmla="*/ 3830910 h 4187390"/>
                  <a:gd name="connsiteX8" fmla="*/ 197318 w 213750"/>
                  <a:gd name="connsiteY8" fmla="*/ 3927970 h 4187390"/>
                  <a:gd name="connsiteX9" fmla="*/ 162103 w 213750"/>
                  <a:gd name="connsiteY9" fmla="*/ 3973538 h 4187390"/>
                  <a:gd name="connsiteX10" fmla="*/ 118500 w 213750"/>
                  <a:gd name="connsiteY10" fmla="*/ 4003931 h 4187390"/>
                  <a:gd name="connsiteX11" fmla="*/ 85636 w 213750"/>
                  <a:gd name="connsiteY11" fmla="*/ 4059510 h 4187390"/>
                  <a:gd name="connsiteX12" fmla="*/ 75066 w 213750"/>
                  <a:gd name="connsiteY12" fmla="*/ 4177767 h 4187390"/>
                  <a:gd name="connsiteX13" fmla="*/ 5254 w 213750"/>
                  <a:gd name="connsiteY13" fmla="*/ 4181540 h 4187390"/>
                  <a:gd name="connsiteX14" fmla="*/ 0 w 213750"/>
                  <a:gd name="connsiteY14" fmla="*/ 0 h 4187390"/>
                  <a:gd name="connsiteX15" fmla="*/ 70875 w 213750"/>
                  <a:gd name="connsiteY15" fmla="*/ 6131 h 4187390"/>
                  <a:gd name="connsiteX0" fmla="*/ 70875 w 213750"/>
                  <a:gd name="connsiteY0" fmla="*/ 6131 h 4227397"/>
                  <a:gd name="connsiteX1" fmla="*/ 70875 w 213750"/>
                  <a:gd name="connsiteY1" fmla="*/ 125685 h 4227397"/>
                  <a:gd name="connsiteX2" fmla="*/ 89925 w 213750"/>
                  <a:gd name="connsiteY2" fmla="*/ 163785 h 4227397"/>
                  <a:gd name="connsiteX3" fmla="*/ 128025 w 213750"/>
                  <a:gd name="connsiteY3" fmla="*/ 211410 h 4227397"/>
                  <a:gd name="connsiteX4" fmla="*/ 166125 w 213750"/>
                  <a:gd name="connsiteY4" fmla="*/ 230460 h 4227397"/>
                  <a:gd name="connsiteX5" fmla="*/ 194700 w 213750"/>
                  <a:gd name="connsiteY5" fmla="*/ 268560 h 4227397"/>
                  <a:gd name="connsiteX6" fmla="*/ 213750 w 213750"/>
                  <a:gd name="connsiteY6" fmla="*/ 344760 h 4227397"/>
                  <a:gd name="connsiteX7" fmla="*/ 213750 w 213750"/>
                  <a:gd name="connsiteY7" fmla="*/ 3830910 h 4227397"/>
                  <a:gd name="connsiteX8" fmla="*/ 197318 w 213750"/>
                  <a:gd name="connsiteY8" fmla="*/ 3927970 h 4227397"/>
                  <a:gd name="connsiteX9" fmla="*/ 162103 w 213750"/>
                  <a:gd name="connsiteY9" fmla="*/ 3973538 h 4227397"/>
                  <a:gd name="connsiteX10" fmla="*/ 118500 w 213750"/>
                  <a:gd name="connsiteY10" fmla="*/ 4003931 h 4227397"/>
                  <a:gd name="connsiteX11" fmla="*/ 85636 w 213750"/>
                  <a:gd name="connsiteY11" fmla="*/ 4059510 h 4227397"/>
                  <a:gd name="connsiteX12" fmla="*/ 72698 w 213750"/>
                  <a:gd name="connsiteY12" fmla="*/ 4223410 h 4227397"/>
                  <a:gd name="connsiteX13" fmla="*/ 5254 w 213750"/>
                  <a:gd name="connsiteY13" fmla="*/ 4181540 h 4227397"/>
                  <a:gd name="connsiteX14" fmla="*/ 0 w 213750"/>
                  <a:gd name="connsiteY14" fmla="*/ 0 h 4227397"/>
                  <a:gd name="connsiteX15" fmla="*/ 70875 w 213750"/>
                  <a:gd name="connsiteY15" fmla="*/ 6131 h 4227397"/>
                  <a:gd name="connsiteX0" fmla="*/ 70875 w 213750"/>
                  <a:gd name="connsiteY0" fmla="*/ 6131 h 4235680"/>
                  <a:gd name="connsiteX1" fmla="*/ 70875 w 213750"/>
                  <a:gd name="connsiteY1" fmla="*/ 125685 h 4235680"/>
                  <a:gd name="connsiteX2" fmla="*/ 89925 w 213750"/>
                  <a:gd name="connsiteY2" fmla="*/ 163785 h 4235680"/>
                  <a:gd name="connsiteX3" fmla="*/ 128025 w 213750"/>
                  <a:gd name="connsiteY3" fmla="*/ 211410 h 4235680"/>
                  <a:gd name="connsiteX4" fmla="*/ 166125 w 213750"/>
                  <a:gd name="connsiteY4" fmla="*/ 230460 h 4235680"/>
                  <a:gd name="connsiteX5" fmla="*/ 194700 w 213750"/>
                  <a:gd name="connsiteY5" fmla="*/ 268560 h 4235680"/>
                  <a:gd name="connsiteX6" fmla="*/ 213750 w 213750"/>
                  <a:gd name="connsiteY6" fmla="*/ 344760 h 4235680"/>
                  <a:gd name="connsiteX7" fmla="*/ 213750 w 213750"/>
                  <a:gd name="connsiteY7" fmla="*/ 3830910 h 4235680"/>
                  <a:gd name="connsiteX8" fmla="*/ 197318 w 213750"/>
                  <a:gd name="connsiteY8" fmla="*/ 3927970 h 4235680"/>
                  <a:gd name="connsiteX9" fmla="*/ 162103 w 213750"/>
                  <a:gd name="connsiteY9" fmla="*/ 3973538 h 4235680"/>
                  <a:gd name="connsiteX10" fmla="*/ 118500 w 213750"/>
                  <a:gd name="connsiteY10" fmla="*/ 4003931 h 4235680"/>
                  <a:gd name="connsiteX11" fmla="*/ 85636 w 213750"/>
                  <a:gd name="connsiteY11" fmla="*/ 4059510 h 4235680"/>
                  <a:gd name="connsiteX12" fmla="*/ 72698 w 213750"/>
                  <a:gd name="connsiteY12" fmla="*/ 4223410 h 4235680"/>
                  <a:gd name="connsiteX13" fmla="*/ 5254 w 213750"/>
                  <a:gd name="connsiteY13" fmla="*/ 4225109 h 4235680"/>
                  <a:gd name="connsiteX14" fmla="*/ 0 w 213750"/>
                  <a:gd name="connsiteY14" fmla="*/ 0 h 4235680"/>
                  <a:gd name="connsiteX15" fmla="*/ 70875 w 213750"/>
                  <a:gd name="connsiteY15" fmla="*/ 6131 h 4235680"/>
                  <a:gd name="connsiteX0" fmla="*/ 70875 w 213750"/>
                  <a:gd name="connsiteY0" fmla="*/ 6131 h 4227615"/>
                  <a:gd name="connsiteX1" fmla="*/ 70875 w 213750"/>
                  <a:gd name="connsiteY1" fmla="*/ 125685 h 4227615"/>
                  <a:gd name="connsiteX2" fmla="*/ 89925 w 213750"/>
                  <a:gd name="connsiteY2" fmla="*/ 163785 h 4227615"/>
                  <a:gd name="connsiteX3" fmla="*/ 128025 w 213750"/>
                  <a:gd name="connsiteY3" fmla="*/ 211410 h 4227615"/>
                  <a:gd name="connsiteX4" fmla="*/ 166125 w 213750"/>
                  <a:gd name="connsiteY4" fmla="*/ 230460 h 4227615"/>
                  <a:gd name="connsiteX5" fmla="*/ 194700 w 213750"/>
                  <a:gd name="connsiteY5" fmla="*/ 268560 h 4227615"/>
                  <a:gd name="connsiteX6" fmla="*/ 213750 w 213750"/>
                  <a:gd name="connsiteY6" fmla="*/ 344760 h 4227615"/>
                  <a:gd name="connsiteX7" fmla="*/ 213750 w 213750"/>
                  <a:gd name="connsiteY7" fmla="*/ 3830910 h 4227615"/>
                  <a:gd name="connsiteX8" fmla="*/ 197318 w 213750"/>
                  <a:gd name="connsiteY8" fmla="*/ 3927970 h 4227615"/>
                  <a:gd name="connsiteX9" fmla="*/ 162103 w 213750"/>
                  <a:gd name="connsiteY9" fmla="*/ 3973538 h 4227615"/>
                  <a:gd name="connsiteX10" fmla="*/ 118500 w 213750"/>
                  <a:gd name="connsiteY10" fmla="*/ 4003931 h 4227615"/>
                  <a:gd name="connsiteX11" fmla="*/ 85636 w 213750"/>
                  <a:gd name="connsiteY11" fmla="*/ 4059510 h 4227615"/>
                  <a:gd name="connsiteX12" fmla="*/ 72698 w 213750"/>
                  <a:gd name="connsiteY12" fmla="*/ 4223410 h 4227615"/>
                  <a:gd name="connsiteX13" fmla="*/ 5254 w 213750"/>
                  <a:gd name="connsiteY13" fmla="*/ 4183615 h 4227615"/>
                  <a:gd name="connsiteX14" fmla="*/ 0 w 213750"/>
                  <a:gd name="connsiteY14" fmla="*/ 0 h 4227615"/>
                  <a:gd name="connsiteX15" fmla="*/ 70875 w 213750"/>
                  <a:gd name="connsiteY15" fmla="*/ 6131 h 4227615"/>
                  <a:gd name="connsiteX0" fmla="*/ 70875 w 213750"/>
                  <a:gd name="connsiteY0" fmla="*/ 6131 h 4197649"/>
                  <a:gd name="connsiteX1" fmla="*/ 70875 w 213750"/>
                  <a:gd name="connsiteY1" fmla="*/ 125685 h 4197649"/>
                  <a:gd name="connsiteX2" fmla="*/ 89925 w 213750"/>
                  <a:gd name="connsiteY2" fmla="*/ 163785 h 4197649"/>
                  <a:gd name="connsiteX3" fmla="*/ 128025 w 213750"/>
                  <a:gd name="connsiteY3" fmla="*/ 211410 h 4197649"/>
                  <a:gd name="connsiteX4" fmla="*/ 166125 w 213750"/>
                  <a:gd name="connsiteY4" fmla="*/ 230460 h 4197649"/>
                  <a:gd name="connsiteX5" fmla="*/ 194700 w 213750"/>
                  <a:gd name="connsiteY5" fmla="*/ 268560 h 4197649"/>
                  <a:gd name="connsiteX6" fmla="*/ 213750 w 213750"/>
                  <a:gd name="connsiteY6" fmla="*/ 344760 h 4197649"/>
                  <a:gd name="connsiteX7" fmla="*/ 213750 w 213750"/>
                  <a:gd name="connsiteY7" fmla="*/ 3830910 h 4197649"/>
                  <a:gd name="connsiteX8" fmla="*/ 197318 w 213750"/>
                  <a:gd name="connsiteY8" fmla="*/ 3927970 h 4197649"/>
                  <a:gd name="connsiteX9" fmla="*/ 162103 w 213750"/>
                  <a:gd name="connsiteY9" fmla="*/ 3973538 h 4197649"/>
                  <a:gd name="connsiteX10" fmla="*/ 118500 w 213750"/>
                  <a:gd name="connsiteY10" fmla="*/ 4003931 h 4197649"/>
                  <a:gd name="connsiteX11" fmla="*/ 85636 w 213750"/>
                  <a:gd name="connsiteY11" fmla="*/ 4059510 h 4197649"/>
                  <a:gd name="connsiteX12" fmla="*/ 63228 w 213750"/>
                  <a:gd name="connsiteY12" fmla="*/ 4190215 h 4197649"/>
                  <a:gd name="connsiteX13" fmla="*/ 5254 w 213750"/>
                  <a:gd name="connsiteY13" fmla="*/ 4183615 h 4197649"/>
                  <a:gd name="connsiteX14" fmla="*/ 0 w 213750"/>
                  <a:gd name="connsiteY14" fmla="*/ 0 h 4197649"/>
                  <a:gd name="connsiteX15" fmla="*/ 70875 w 213750"/>
                  <a:gd name="connsiteY15" fmla="*/ 6131 h 4197649"/>
                  <a:gd name="connsiteX0" fmla="*/ 70875 w 213750"/>
                  <a:gd name="connsiteY0" fmla="*/ 6131 h 4191114"/>
                  <a:gd name="connsiteX1" fmla="*/ 70875 w 213750"/>
                  <a:gd name="connsiteY1" fmla="*/ 125685 h 4191114"/>
                  <a:gd name="connsiteX2" fmla="*/ 89925 w 213750"/>
                  <a:gd name="connsiteY2" fmla="*/ 163785 h 4191114"/>
                  <a:gd name="connsiteX3" fmla="*/ 128025 w 213750"/>
                  <a:gd name="connsiteY3" fmla="*/ 211410 h 4191114"/>
                  <a:gd name="connsiteX4" fmla="*/ 166125 w 213750"/>
                  <a:gd name="connsiteY4" fmla="*/ 230460 h 4191114"/>
                  <a:gd name="connsiteX5" fmla="*/ 194700 w 213750"/>
                  <a:gd name="connsiteY5" fmla="*/ 268560 h 4191114"/>
                  <a:gd name="connsiteX6" fmla="*/ 213750 w 213750"/>
                  <a:gd name="connsiteY6" fmla="*/ 344760 h 4191114"/>
                  <a:gd name="connsiteX7" fmla="*/ 213750 w 213750"/>
                  <a:gd name="connsiteY7" fmla="*/ 3830910 h 4191114"/>
                  <a:gd name="connsiteX8" fmla="*/ 197318 w 213750"/>
                  <a:gd name="connsiteY8" fmla="*/ 3927970 h 4191114"/>
                  <a:gd name="connsiteX9" fmla="*/ 162103 w 213750"/>
                  <a:gd name="connsiteY9" fmla="*/ 3973538 h 4191114"/>
                  <a:gd name="connsiteX10" fmla="*/ 118500 w 213750"/>
                  <a:gd name="connsiteY10" fmla="*/ 4003931 h 4191114"/>
                  <a:gd name="connsiteX11" fmla="*/ 85636 w 213750"/>
                  <a:gd name="connsiteY11" fmla="*/ 4059510 h 4191114"/>
                  <a:gd name="connsiteX12" fmla="*/ 101111 w 213750"/>
                  <a:gd name="connsiteY12" fmla="*/ 4181917 h 4191114"/>
                  <a:gd name="connsiteX13" fmla="*/ 5254 w 213750"/>
                  <a:gd name="connsiteY13" fmla="*/ 4183615 h 4191114"/>
                  <a:gd name="connsiteX14" fmla="*/ 0 w 213750"/>
                  <a:gd name="connsiteY14" fmla="*/ 0 h 4191114"/>
                  <a:gd name="connsiteX15" fmla="*/ 70875 w 213750"/>
                  <a:gd name="connsiteY15" fmla="*/ 6131 h 4191114"/>
                  <a:gd name="connsiteX0" fmla="*/ 70875 w 213750"/>
                  <a:gd name="connsiteY0" fmla="*/ 6131 h 4199792"/>
                  <a:gd name="connsiteX1" fmla="*/ 70875 w 213750"/>
                  <a:gd name="connsiteY1" fmla="*/ 125685 h 4199792"/>
                  <a:gd name="connsiteX2" fmla="*/ 89925 w 213750"/>
                  <a:gd name="connsiteY2" fmla="*/ 163785 h 4199792"/>
                  <a:gd name="connsiteX3" fmla="*/ 128025 w 213750"/>
                  <a:gd name="connsiteY3" fmla="*/ 211410 h 4199792"/>
                  <a:gd name="connsiteX4" fmla="*/ 166125 w 213750"/>
                  <a:gd name="connsiteY4" fmla="*/ 230460 h 4199792"/>
                  <a:gd name="connsiteX5" fmla="*/ 194700 w 213750"/>
                  <a:gd name="connsiteY5" fmla="*/ 268560 h 4199792"/>
                  <a:gd name="connsiteX6" fmla="*/ 213750 w 213750"/>
                  <a:gd name="connsiteY6" fmla="*/ 344760 h 4199792"/>
                  <a:gd name="connsiteX7" fmla="*/ 213750 w 213750"/>
                  <a:gd name="connsiteY7" fmla="*/ 3830910 h 4199792"/>
                  <a:gd name="connsiteX8" fmla="*/ 197318 w 213750"/>
                  <a:gd name="connsiteY8" fmla="*/ 3927970 h 4199792"/>
                  <a:gd name="connsiteX9" fmla="*/ 162103 w 213750"/>
                  <a:gd name="connsiteY9" fmla="*/ 3973538 h 4199792"/>
                  <a:gd name="connsiteX10" fmla="*/ 118500 w 213750"/>
                  <a:gd name="connsiteY10" fmla="*/ 4003931 h 4199792"/>
                  <a:gd name="connsiteX11" fmla="*/ 85636 w 213750"/>
                  <a:gd name="connsiteY11" fmla="*/ 4059510 h 4199792"/>
                  <a:gd name="connsiteX12" fmla="*/ 82295 w 213750"/>
                  <a:gd name="connsiteY12" fmla="*/ 4192773 h 4199792"/>
                  <a:gd name="connsiteX13" fmla="*/ 5254 w 213750"/>
                  <a:gd name="connsiteY13" fmla="*/ 4183615 h 4199792"/>
                  <a:gd name="connsiteX14" fmla="*/ 0 w 213750"/>
                  <a:gd name="connsiteY14" fmla="*/ 0 h 4199792"/>
                  <a:gd name="connsiteX15" fmla="*/ 70875 w 213750"/>
                  <a:gd name="connsiteY15" fmla="*/ 6131 h 41997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Lst>
                <a:rect l="l" t="t" r="r" b="b"/>
                <a:pathLst>
                  <a:path w="213750" h="4199792">
                    <a:moveTo>
                      <a:pt x="70875" y="6131"/>
                    </a:moveTo>
                    <a:lnTo>
                      <a:pt x="70875" y="125685"/>
                    </a:lnTo>
                    <a:lnTo>
                      <a:pt x="89925" y="163785"/>
                    </a:lnTo>
                    <a:lnTo>
                      <a:pt x="128025" y="211410"/>
                    </a:lnTo>
                    <a:lnTo>
                      <a:pt x="166125" y="230460"/>
                    </a:lnTo>
                    <a:lnTo>
                      <a:pt x="194700" y="268560"/>
                    </a:lnTo>
                    <a:lnTo>
                      <a:pt x="213750" y="344760"/>
                    </a:lnTo>
                    <a:lnTo>
                      <a:pt x="213750" y="3830910"/>
                    </a:lnTo>
                    <a:lnTo>
                      <a:pt x="197318" y="3927970"/>
                    </a:lnTo>
                    <a:cubicBezTo>
                      <a:pt x="187604" y="3937493"/>
                      <a:pt x="171817" y="3964015"/>
                      <a:pt x="162103" y="3973538"/>
                    </a:cubicBezTo>
                    <a:lnTo>
                      <a:pt x="118500" y="4003931"/>
                    </a:lnTo>
                    <a:lnTo>
                      <a:pt x="85636" y="4059510"/>
                    </a:lnTo>
                    <a:cubicBezTo>
                      <a:pt x="85636" y="4084910"/>
                      <a:pt x="95692" y="4172089"/>
                      <a:pt x="82295" y="4192773"/>
                    </a:cubicBezTo>
                    <a:cubicBezTo>
                      <a:pt x="68898" y="4213457"/>
                      <a:pt x="60086" y="4181651"/>
                      <a:pt x="5254" y="4183615"/>
                    </a:cubicBezTo>
                    <a:cubicBezTo>
                      <a:pt x="1591" y="2688544"/>
                      <a:pt x="3663" y="1495071"/>
                      <a:pt x="0" y="0"/>
                    </a:cubicBezTo>
                    <a:lnTo>
                      <a:pt x="70875" y="6131"/>
                    </a:lnTo>
                    <a:close/>
                  </a:path>
                </a:pathLst>
              </a:custGeom>
              <a:solidFill>
                <a:schemeClr val="bg2">
                  <a:lumMod val="75000"/>
                </a:schemeClr>
              </a:solidFill>
              <a:ln w="12700">
                <a:solidFill>
                  <a:schemeClr val="bg2">
                    <a:lumMod val="25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64" name="Straight Connector 63"/>
              <xdr:cNvCxnSpPr>
                <a:endCxn id="52" idx="0"/>
              </xdr:cNvCxnSpPr>
            </xdr:nvCxnSpPr>
            <xdr:spPr>
              <a:xfrm>
                <a:off x="8216656" y="7346237"/>
                <a:ext cx="298694" cy="0"/>
              </a:xfrm>
              <a:prstGeom prst="line">
                <a:avLst/>
              </a:prstGeom>
              <a:ln w="19050"/>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xdr:cNvCxnSpPr>
                <a:endCxn id="61" idx="2"/>
              </xdr:cNvCxnSpPr>
            </xdr:nvCxnSpPr>
            <xdr:spPr>
              <a:xfrm>
                <a:off x="8201758" y="11714599"/>
                <a:ext cx="313592" cy="4951"/>
              </a:xfrm>
              <a:prstGeom prst="line">
                <a:avLst/>
              </a:prstGeom>
              <a:ln w="19050"/>
            </xdr:spPr>
            <xdr:style>
              <a:lnRef idx="1">
                <a:schemeClr val="accent1"/>
              </a:lnRef>
              <a:fillRef idx="0">
                <a:schemeClr val="accent1"/>
              </a:fillRef>
              <a:effectRef idx="0">
                <a:schemeClr val="accent1"/>
              </a:effectRef>
              <a:fontRef idx="minor">
                <a:schemeClr val="tx1"/>
              </a:fontRef>
            </xdr:style>
          </xdr:cxnSp>
        </xdr:grpSp>
        <xdr:grpSp>
          <xdr:nvGrpSpPr>
            <xdr:cNvPr id="15" name="Group 14"/>
            <xdr:cNvGrpSpPr/>
          </xdr:nvGrpSpPr>
          <xdr:grpSpPr>
            <a:xfrm flipV="1">
              <a:off x="8319239" y="6899455"/>
              <a:ext cx="529486" cy="5248253"/>
              <a:chOff x="7995389" y="6918505"/>
              <a:chExt cx="529486" cy="5248253"/>
            </a:xfrm>
          </xdr:grpSpPr>
          <xdr:sp macro="" textlink="">
            <xdr:nvSpPr>
              <xdr:cNvPr id="16" name="Rectangle 15"/>
              <xdr:cNvSpPr/>
            </xdr:nvSpPr>
            <xdr:spPr>
              <a:xfrm>
                <a:off x="8458689" y="7553687"/>
                <a:ext cx="66186" cy="355778"/>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Rectangle 16"/>
              <xdr:cNvSpPr/>
            </xdr:nvSpPr>
            <xdr:spPr>
              <a:xfrm>
                <a:off x="8458689" y="8013496"/>
                <a:ext cx="66186" cy="353428"/>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Rectangle 17"/>
              <xdr:cNvSpPr/>
            </xdr:nvSpPr>
            <xdr:spPr>
              <a:xfrm>
                <a:off x="8458689" y="8460391"/>
                <a:ext cx="66186" cy="356938"/>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xdr:cNvSpPr/>
            </xdr:nvSpPr>
            <xdr:spPr>
              <a:xfrm>
                <a:off x="8456308" y="8920199"/>
                <a:ext cx="66186" cy="353428"/>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xdr:cNvSpPr/>
            </xdr:nvSpPr>
            <xdr:spPr>
              <a:xfrm>
                <a:off x="8458689" y="9362658"/>
                <a:ext cx="66186" cy="356675"/>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Rectangle 20"/>
              <xdr:cNvSpPr/>
            </xdr:nvSpPr>
            <xdr:spPr>
              <a:xfrm>
                <a:off x="8458689" y="9824817"/>
                <a:ext cx="66186" cy="353429"/>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Rectangle 21"/>
              <xdr:cNvSpPr/>
            </xdr:nvSpPr>
            <xdr:spPr>
              <a:xfrm>
                <a:off x="8458689" y="10272871"/>
                <a:ext cx="66186" cy="355778"/>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Rectangle 22"/>
              <xdr:cNvSpPr/>
            </xdr:nvSpPr>
            <xdr:spPr>
              <a:xfrm>
                <a:off x="8458689" y="10724469"/>
                <a:ext cx="66186" cy="354588"/>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 name="Rectangle 23"/>
              <xdr:cNvSpPr/>
            </xdr:nvSpPr>
            <xdr:spPr>
              <a:xfrm>
                <a:off x="8453438" y="11174875"/>
                <a:ext cx="71437" cy="353429"/>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 name="Freeform 24"/>
              <xdr:cNvSpPr/>
            </xdr:nvSpPr>
            <xdr:spPr>
              <a:xfrm flipH="1" flipV="1">
                <a:off x="8262328" y="11872348"/>
                <a:ext cx="257850" cy="294410"/>
              </a:xfrm>
              <a:custGeom>
                <a:avLst/>
                <a:gdLst>
                  <a:gd name="connsiteX0" fmla="*/ 0 w 266700"/>
                  <a:gd name="connsiteY0" fmla="*/ 0 h 295275"/>
                  <a:gd name="connsiteX1" fmla="*/ 266700 w 266700"/>
                  <a:gd name="connsiteY1" fmla="*/ 0 h 295275"/>
                  <a:gd name="connsiteX2" fmla="*/ 266700 w 266700"/>
                  <a:gd name="connsiteY2" fmla="*/ 295275 h 295275"/>
                  <a:gd name="connsiteX0" fmla="*/ 0 w 461372"/>
                  <a:gd name="connsiteY0" fmla="*/ 6046 h 295275"/>
                  <a:gd name="connsiteX1" fmla="*/ 461372 w 461372"/>
                  <a:gd name="connsiteY1" fmla="*/ 0 h 295275"/>
                  <a:gd name="connsiteX2" fmla="*/ 461372 w 461372"/>
                  <a:gd name="connsiteY2" fmla="*/ 295275 h 295275"/>
                </a:gdLst>
                <a:ahLst/>
                <a:cxnLst>
                  <a:cxn ang="0">
                    <a:pos x="connsiteX0" y="connsiteY0"/>
                  </a:cxn>
                  <a:cxn ang="0">
                    <a:pos x="connsiteX1" y="connsiteY1"/>
                  </a:cxn>
                  <a:cxn ang="0">
                    <a:pos x="connsiteX2" y="connsiteY2"/>
                  </a:cxn>
                </a:cxnLst>
                <a:rect l="l" t="t" r="r" b="b"/>
                <a:pathLst>
                  <a:path w="461372" h="295275">
                    <a:moveTo>
                      <a:pt x="0" y="6046"/>
                    </a:moveTo>
                    <a:lnTo>
                      <a:pt x="461372" y="0"/>
                    </a:lnTo>
                    <a:lnTo>
                      <a:pt x="461372" y="295275"/>
                    </a:lnTo>
                  </a:path>
                </a:pathLst>
              </a:custGeom>
              <a:noFill/>
              <a:ln>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26" name="Straight Connector 25"/>
              <xdr:cNvCxnSpPr/>
            </xdr:nvCxnSpPr>
            <xdr:spPr>
              <a:xfrm flipH="1">
                <a:off x="8210550" y="7346237"/>
                <a:ext cx="0" cy="4370968"/>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sp macro="" textlink="">
            <xdr:nvSpPr>
              <xdr:cNvPr id="27" name="Freeform 26"/>
              <xdr:cNvSpPr/>
            </xdr:nvSpPr>
            <xdr:spPr>
              <a:xfrm flipH="1">
                <a:off x="8448675" y="7346237"/>
                <a:ext cx="66675" cy="579683"/>
              </a:xfrm>
              <a:custGeom>
                <a:avLst/>
                <a:gdLst>
                  <a:gd name="connsiteX0" fmla="*/ 0 w 66675"/>
                  <a:gd name="connsiteY0" fmla="*/ 0 h 581025"/>
                  <a:gd name="connsiteX1" fmla="*/ 0 w 66675"/>
                  <a:gd name="connsiteY1" fmla="*/ 200025 h 581025"/>
                  <a:gd name="connsiteX2" fmla="*/ 66675 w 66675"/>
                  <a:gd name="connsiteY2" fmla="*/ 200025 h 581025"/>
                  <a:gd name="connsiteX3" fmla="*/ 66675 w 66675"/>
                  <a:gd name="connsiteY3" fmla="*/ 581025 h 581025"/>
                  <a:gd name="connsiteX4" fmla="*/ 66675 w 66675"/>
                  <a:gd name="connsiteY4" fmla="*/ 581025 h 581025"/>
                  <a:gd name="connsiteX5" fmla="*/ 66675 w 66675"/>
                  <a:gd name="connsiteY5" fmla="*/ 581025 h 581025"/>
                  <a:gd name="connsiteX6" fmla="*/ 66675 w 66675"/>
                  <a:gd name="connsiteY6" fmla="*/ 581025 h 581025"/>
                  <a:gd name="connsiteX7" fmla="*/ 66675 w 66675"/>
                  <a:gd name="connsiteY7" fmla="*/ 581025 h 5810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66675" h="581025">
                    <a:moveTo>
                      <a:pt x="0" y="0"/>
                    </a:moveTo>
                    <a:lnTo>
                      <a:pt x="0" y="200025"/>
                    </a:lnTo>
                    <a:lnTo>
                      <a:pt x="66675" y="200025"/>
                    </a:lnTo>
                    <a:lnTo>
                      <a:pt x="66675" y="581025"/>
                    </a:lnTo>
                    <a:lnTo>
                      <a:pt x="66675" y="581025"/>
                    </a:lnTo>
                    <a:lnTo>
                      <a:pt x="66675" y="581025"/>
                    </a:lnTo>
                    <a:lnTo>
                      <a:pt x="66675" y="581025"/>
                    </a:lnTo>
                    <a:lnTo>
                      <a:pt x="66675" y="581025"/>
                    </a:lnTo>
                  </a:path>
                </a:pathLst>
              </a:custGeom>
              <a:noFill/>
              <a:ln w="190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Freeform 27"/>
              <xdr:cNvSpPr/>
            </xdr:nvSpPr>
            <xdr:spPr>
              <a:xfrm flipH="1">
                <a:off x="8448675" y="7916517"/>
                <a:ext cx="66675" cy="459808"/>
              </a:xfrm>
              <a:custGeom>
                <a:avLst/>
                <a:gdLst>
                  <a:gd name="connsiteX0" fmla="*/ 66675 w 66675"/>
                  <a:gd name="connsiteY0" fmla="*/ 0 h 459581"/>
                  <a:gd name="connsiteX1" fmla="*/ 0 w 66675"/>
                  <a:gd name="connsiteY1" fmla="*/ 0 h 459581"/>
                  <a:gd name="connsiteX2" fmla="*/ 0 w 66675"/>
                  <a:gd name="connsiteY2" fmla="*/ 92868 h 459581"/>
                  <a:gd name="connsiteX3" fmla="*/ 66675 w 66675"/>
                  <a:gd name="connsiteY3" fmla="*/ 92868 h 459581"/>
                  <a:gd name="connsiteX4" fmla="*/ 66675 w 66675"/>
                  <a:gd name="connsiteY4" fmla="*/ 459581 h 459581"/>
                  <a:gd name="connsiteX5" fmla="*/ 66675 w 66675"/>
                  <a:gd name="connsiteY5" fmla="*/ 459581 h 45958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66675" h="459581">
                    <a:moveTo>
                      <a:pt x="66675" y="0"/>
                    </a:moveTo>
                    <a:lnTo>
                      <a:pt x="0" y="0"/>
                    </a:lnTo>
                    <a:lnTo>
                      <a:pt x="0" y="92868"/>
                    </a:lnTo>
                    <a:lnTo>
                      <a:pt x="66675" y="92868"/>
                    </a:lnTo>
                    <a:lnTo>
                      <a:pt x="66675" y="459581"/>
                    </a:lnTo>
                    <a:lnTo>
                      <a:pt x="66675" y="459581"/>
                    </a:lnTo>
                  </a:path>
                </a:pathLst>
              </a:custGeom>
              <a:noFill/>
              <a:ln w="190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9" name="Freeform 28"/>
              <xdr:cNvSpPr/>
            </xdr:nvSpPr>
            <xdr:spPr>
              <a:xfrm flipH="1">
                <a:off x="8448675" y="8369273"/>
                <a:ext cx="66675" cy="459808"/>
              </a:xfrm>
              <a:custGeom>
                <a:avLst/>
                <a:gdLst>
                  <a:gd name="connsiteX0" fmla="*/ 66675 w 66675"/>
                  <a:gd name="connsiteY0" fmla="*/ 0 h 459581"/>
                  <a:gd name="connsiteX1" fmla="*/ 0 w 66675"/>
                  <a:gd name="connsiteY1" fmla="*/ 0 h 459581"/>
                  <a:gd name="connsiteX2" fmla="*/ 0 w 66675"/>
                  <a:gd name="connsiteY2" fmla="*/ 92868 h 459581"/>
                  <a:gd name="connsiteX3" fmla="*/ 66675 w 66675"/>
                  <a:gd name="connsiteY3" fmla="*/ 92868 h 459581"/>
                  <a:gd name="connsiteX4" fmla="*/ 66675 w 66675"/>
                  <a:gd name="connsiteY4" fmla="*/ 459581 h 459581"/>
                  <a:gd name="connsiteX5" fmla="*/ 66675 w 66675"/>
                  <a:gd name="connsiteY5" fmla="*/ 459581 h 45958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66675" h="459581">
                    <a:moveTo>
                      <a:pt x="66675" y="0"/>
                    </a:moveTo>
                    <a:lnTo>
                      <a:pt x="0" y="0"/>
                    </a:lnTo>
                    <a:lnTo>
                      <a:pt x="0" y="92868"/>
                    </a:lnTo>
                    <a:lnTo>
                      <a:pt x="66675" y="92868"/>
                    </a:lnTo>
                    <a:lnTo>
                      <a:pt x="66675" y="459581"/>
                    </a:lnTo>
                    <a:lnTo>
                      <a:pt x="66675" y="459581"/>
                    </a:lnTo>
                  </a:path>
                </a:pathLst>
              </a:custGeom>
              <a:noFill/>
              <a:ln w="190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0" name="Freeform 29"/>
              <xdr:cNvSpPr/>
            </xdr:nvSpPr>
            <xdr:spPr>
              <a:xfrm flipH="1">
                <a:off x="8448675" y="8819679"/>
                <a:ext cx="66675" cy="458648"/>
              </a:xfrm>
              <a:custGeom>
                <a:avLst/>
                <a:gdLst>
                  <a:gd name="connsiteX0" fmla="*/ 66675 w 66675"/>
                  <a:gd name="connsiteY0" fmla="*/ 0 h 459581"/>
                  <a:gd name="connsiteX1" fmla="*/ 0 w 66675"/>
                  <a:gd name="connsiteY1" fmla="*/ 0 h 459581"/>
                  <a:gd name="connsiteX2" fmla="*/ 0 w 66675"/>
                  <a:gd name="connsiteY2" fmla="*/ 92868 h 459581"/>
                  <a:gd name="connsiteX3" fmla="*/ 66675 w 66675"/>
                  <a:gd name="connsiteY3" fmla="*/ 92868 h 459581"/>
                  <a:gd name="connsiteX4" fmla="*/ 66675 w 66675"/>
                  <a:gd name="connsiteY4" fmla="*/ 459581 h 459581"/>
                  <a:gd name="connsiteX5" fmla="*/ 66675 w 66675"/>
                  <a:gd name="connsiteY5" fmla="*/ 459581 h 45958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66675" h="459581">
                    <a:moveTo>
                      <a:pt x="66675" y="0"/>
                    </a:moveTo>
                    <a:lnTo>
                      <a:pt x="0" y="0"/>
                    </a:lnTo>
                    <a:lnTo>
                      <a:pt x="0" y="92868"/>
                    </a:lnTo>
                    <a:lnTo>
                      <a:pt x="66675" y="92868"/>
                    </a:lnTo>
                    <a:lnTo>
                      <a:pt x="66675" y="459581"/>
                    </a:lnTo>
                    <a:lnTo>
                      <a:pt x="66675" y="459581"/>
                    </a:lnTo>
                  </a:path>
                </a:pathLst>
              </a:custGeom>
              <a:noFill/>
              <a:ln w="190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Freeform 30"/>
              <xdr:cNvSpPr/>
            </xdr:nvSpPr>
            <xdr:spPr>
              <a:xfrm flipH="1">
                <a:off x="8448675" y="9271275"/>
                <a:ext cx="66675" cy="459808"/>
              </a:xfrm>
              <a:custGeom>
                <a:avLst/>
                <a:gdLst>
                  <a:gd name="connsiteX0" fmla="*/ 66675 w 66675"/>
                  <a:gd name="connsiteY0" fmla="*/ 0 h 459581"/>
                  <a:gd name="connsiteX1" fmla="*/ 0 w 66675"/>
                  <a:gd name="connsiteY1" fmla="*/ 0 h 459581"/>
                  <a:gd name="connsiteX2" fmla="*/ 0 w 66675"/>
                  <a:gd name="connsiteY2" fmla="*/ 92868 h 459581"/>
                  <a:gd name="connsiteX3" fmla="*/ 66675 w 66675"/>
                  <a:gd name="connsiteY3" fmla="*/ 92868 h 459581"/>
                  <a:gd name="connsiteX4" fmla="*/ 66675 w 66675"/>
                  <a:gd name="connsiteY4" fmla="*/ 459581 h 459581"/>
                  <a:gd name="connsiteX5" fmla="*/ 66675 w 66675"/>
                  <a:gd name="connsiteY5" fmla="*/ 459581 h 45958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66675" h="459581">
                    <a:moveTo>
                      <a:pt x="66675" y="0"/>
                    </a:moveTo>
                    <a:lnTo>
                      <a:pt x="0" y="0"/>
                    </a:lnTo>
                    <a:lnTo>
                      <a:pt x="0" y="92868"/>
                    </a:lnTo>
                    <a:lnTo>
                      <a:pt x="66675" y="92868"/>
                    </a:lnTo>
                    <a:lnTo>
                      <a:pt x="66675" y="459581"/>
                    </a:lnTo>
                    <a:lnTo>
                      <a:pt x="66675" y="459581"/>
                    </a:lnTo>
                  </a:path>
                </a:pathLst>
              </a:custGeom>
              <a:noFill/>
              <a:ln w="190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Freeform 31"/>
              <xdr:cNvSpPr/>
            </xdr:nvSpPr>
            <xdr:spPr>
              <a:xfrm flipH="1">
                <a:off x="8448675" y="9724097"/>
                <a:ext cx="66675" cy="458912"/>
              </a:xfrm>
              <a:custGeom>
                <a:avLst/>
                <a:gdLst>
                  <a:gd name="connsiteX0" fmla="*/ 66675 w 66675"/>
                  <a:gd name="connsiteY0" fmla="*/ 0 h 459581"/>
                  <a:gd name="connsiteX1" fmla="*/ 0 w 66675"/>
                  <a:gd name="connsiteY1" fmla="*/ 0 h 459581"/>
                  <a:gd name="connsiteX2" fmla="*/ 0 w 66675"/>
                  <a:gd name="connsiteY2" fmla="*/ 92868 h 459581"/>
                  <a:gd name="connsiteX3" fmla="*/ 66675 w 66675"/>
                  <a:gd name="connsiteY3" fmla="*/ 92868 h 459581"/>
                  <a:gd name="connsiteX4" fmla="*/ 66675 w 66675"/>
                  <a:gd name="connsiteY4" fmla="*/ 459581 h 459581"/>
                  <a:gd name="connsiteX5" fmla="*/ 66675 w 66675"/>
                  <a:gd name="connsiteY5" fmla="*/ 459581 h 45958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66675" h="459581">
                    <a:moveTo>
                      <a:pt x="66675" y="0"/>
                    </a:moveTo>
                    <a:lnTo>
                      <a:pt x="0" y="0"/>
                    </a:lnTo>
                    <a:lnTo>
                      <a:pt x="0" y="92868"/>
                    </a:lnTo>
                    <a:lnTo>
                      <a:pt x="66675" y="92868"/>
                    </a:lnTo>
                    <a:lnTo>
                      <a:pt x="66675" y="459581"/>
                    </a:lnTo>
                    <a:lnTo>
                      <a:pt x="66675" y="459581"/>
                    </a:lnTo>
                  </a:path>
                </a:pathLst>
              </a:custGeom>
              <a:noFill/>
              <a:ln w="190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3" name="Freeform 32"/>
              <xdr:cNvSpPr/>
            </xdr:nvSpPr>
            <xdr:spPr>
              <a:xfrm flipH="1">
                <a:off x="8448675" y="10175958"/>
                <a:ext cx="66675" cy="459807"/>
              </a:xfrm>
              <a:custGeom>
                <a:avLst/>
                <a:gdLst>
                  <a:gd name="connsiteX0" fmla="*/ 66675 w 66675"/>
                  <a:gd name="connsiteY0" fmla="*/ 0 h 459581"/>
                  <a:gd name="connsiteX1" fmla="*/ 0 w 66675"/>
                  <a:gd name="connsiteY1" fmla="*/ 0 h 459581"/>
                  <a:gd name="connsiteX2" fmla="*/ 0 w 66675"/>
                  <a:gd name="connsiteY2" fmla="*/ 92868 h 459581"/>
                  <a:gd name="connsiteX3" fmla="*/ 66675 w 66675"/>
                  <a:gd name="connsiteY3" fmla="*/ 92868 h 459581"/>
                  <a:gd name="connsiteX4" fmla="*/ 66675 w 66675"/>
                  <a:gd name="connsiteY4" fmla="*/ 459581 h 459581"/>
                  <a:gd name="connsiteX5" fmla="*/ 66675 w 66675"/>
                  <a:gd name="connsiteY5" fmla="*/ 459581 h 45958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66675" h="459581">
                    <a:moveTo>
                      <a:pt x="66675" y="0"/>
                    </a:moveTo>
                    <a:lnTo>
                      <a:pt x="0" y="0"/>
                    </a:lnTo>
                    <a:lnTo>
                      <a:pt x="0" y="92868"/>
                    </a:lnTo>
                    <a:lnTo>
                      <a:pt x="66675" y="92868"/>
                    </a:lnTo>
                    <a:lnTo>
                      <a:pt x="66675" y="459581"/>
                    </a:lnTo>
                    <a:lnTo>
                      <a:pt x="66675" y="459581"/>
                    </a:lnTo>
                  </a:path>
                </a:pathLst>
              </a:custGeom>
              <a:noFill/>
              <a:ln w="190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 name="Freeform 33"/>
              <xdr:cNvSpPr/>
            </xdr:nvSpPr>
            <xdr:spPr>
              <a:xfrm flipH="1">
                <a:off x="8448675" y="10626362"/>
                <a:ext cx="66675" cy="459808"/>
              </a:xfrm>
              <a:custGeom>
                <a:avLst/>
                <a:gdLst>
                  <a:gd name="connsiteX0" fmla="*/ 66675 w 66675"/>
                  <a:gd name="connsiteY0" fmla="*/ 0 h 459581"/>
                  <a:gd name="connsiteX1" fmla="*/ 0 w 66675"/>
                  <a:gd name="connsiteY1" fmla="*/ 0 h 459581"/>
                  <a:gd name="connsiteX2" fmla="*/ 0 w 66675"/>
                  <a:gd name="connsiteY2" fmla="*/ 92868 h 459581"/>
                  <a:gd name="connsiteX3" fmla="*/ 66675 w 66675"/>
                  <a:gd name="connsiteY3" fmla="*/ 92868 h 459581"/>
                  <a:gd name="connsiteX4" fmla="*/ 66675 w 66675"/>
                  <a:gd name="connsiteY4" fmla="*/ 459581 h 459581"/>
                  <a:gd name="connsiteX5" fmla="*/ 66675 w 66675"/>
                  <a:gd name="connsiteY5" fmla="*/ 459581 h 45958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66675" h="459581">
                    <a:moveTo>
                      <a:pt x="66675" y="0"/>
                    </a:moveTo>
                    <a:lnTo>
                      <a:pt x="0" y="0"/>
                    </a:lnTo>
                    <a:lnTo>
                      <a:pt x="0" y="92868"/>
                    </a:lnTo>
                    <a:lnTo>
                      <a:pt x="66675" y="92868"/>
                    </a:lnTo>
                    <a:lnTo>
                      <a:pt x="66675" y="459581"/>
                    </a:lnTo>
                    <a:lnTo>
                      <a:pt x="66675" y="459581"/>
                    </a:lnTo>
                  </a:path>
                </a:pathLst>
              </a:custGeom>
              <a:noFill/>
              <a:ln w="190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5" name="Freeform 34"/>
              <xdr:cNvSpPr/>
            </xdr:nvSpPr>
            <xdr:spPr>
              <a:xfrm flipH="1">
                <a:off x="8448675" y="11079118"/>
                <a:ext cx="66675" cy="458649"/>
              </a:xfrm>
              <a:custGeom>
                <a:avLst/>
                <a:gdLst>
                  <a:gd name="connsiteX0" fmla="*/ 66675 w 66675"/>
                  <a:gd name="connsiteY0" fmla="*/ 0 h 459581"/>
                  <a:gd name="connsiteX1" fmla="*/ 0 w 66675"/>
                  <a:gd name="connsiteY1" fmla="*/ 0 h 459581"/>
                  <a:gd name="connsiteX2" fmla="*/ 0 w 66675"/>
                  <a:gd name="connsiteY2" fmla="*/ 92868 h 459581"/>
                  <a:gd name="connsiteX3" fmla="*/ 66675 w 66675"/>
                  <a:gd name="connsiteY3" fmla="*/ 92868 h 459581"/>
                  <a:gd name="connsiteX4" fmla="*/ 66675 w 66675"/>
                  <a:gd name="connsiteY4" fmla="*/ 459581 h 459581"/>
                  <a:gd name="connsiteX5" fmla="*/ 66675 w 66675"/>
                  <a:gd name="connsiteY5" fmla="*/ 459581 h 45958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66675" h="459581">
                    <a:moveTo>
                      <a:pt x="66675" y="0"/>
                    </a:moveTo>
                    <a:lnTo>
                      <a:pt x="0" y="0"/>
                    </a:lnTo>
                    <a:lnTo>
                      <a:pt x="0" y="92868"/>
                    </a:lnTo>
                    <a:lnTo>
                      <a:pt x="66675" y="92868"/>
                    </a:lnTo>
                    <a:lnTo>
                      <a:pt x="66675" y="459581"/>
                    </a:lnTo>
                    <a:lnTo>
                      <a:pt x="66675" y="459581"/>
                    </a:lnTo>
                  </a:path>
                </a:pathLst>
              </a:custGeom>
              <a:noFill/>
              <a:ln w="190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6" name="Freeform 35"/>
              <xdr:cNvSpPr/>
            </xdr:nvSpPr>
            <xdr:spPr>
              <a:xfrm flipH="1">
                <a:off x="8448675" y="11528297"/>
                <a:ext cx="66675" cy="191253"/>
              </a:xfrm>
              <a:custGeom>
                <a:avLst/>
                <a:gdLst>
                  <a:gd name="connsiteX0" fmla="*/ 66675 w 66675"/>
                  <a:gd name="connsiteY0" fmla="*/ 0 h 190500"/>
                  <a:gd name="connsiteX1" fmla="*/ 0 w 66675"/>
                  <a:gd name="connsiteY1" fmla="*/ 2381 h 190500"/>
                  <a:gd name="connsiteX2" fmla="*/ 0 w 66675"/>
                  <a:gd name="connsiteY2" fmla="*/ 190500 h 190500"/>
                  <a:gd name="connsiteX3" fmla="*/ 0 w 66675"/>
                  <a:gd name="connsiteY3" fmla="*/ 190500 h 190500"/>
                </a:gdLst>
                <a:ahLst/>
                <a:cxnLst>
                  <a:cxn ang="0">
                    <a:pos x="connsiteX0" y="connsiteY0"/>
                  </a:cxn>
                  <a:cxn ang="0">
                    <a:pos x="connsiteX1" y="connsiteY1"/>
                  </a:cxn>
                  <a:cxn ang="0">
                    <a:pos x="connsiteX2" y="connsiteY2"/>
                  </a:cxn>
                  <a:cxn ang="0">
                    <a:pos x="connsiteX3" y="connsiteY3"/>
                  </a:cxn>
                </a:cxnLst>
                <a:rect l="l" t="t" r="r" b="b"/>
                <a:pathLst>
                  <a:path w="66675" h="190500">
                    <a:moveTo>
                      <a:pt x="66675" y="0"/>
                    </a:moveTo>
                    <a:lnTo>
                      <a:pt x="0" y="2381"/>
                    </a:lnTo>
                    <a:lnTo>
                      <a:pt x="0" y="190500"/>
                    </a:lnTo>
                    <a:lnTo>
                      <a:pt x="0" y="190500"/>
                    </a:lnTo>
                  </a:path>
                </a:pathLst>
              </a:custGeom>
              <a:noFill/>
              <a:ln w="190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7" name="Freeform 36"/>
              <xdr:cNvSpPr/>
            </xdr:nvSpPr>
            <xdr:spPr>
              <a:xfrm>
                <a:off x="7995389" y="6918505"/>
                <a:ext cx="266205" cy="292676"/>
              </a:xfrm>
              <a:custGeom>
                <a:avLst/>
                <a:gdLst>
                  <a:gd name="connsiteX0" fmla="*/ 0 w 266700"/>
                  <a:gd name="connsiteY0" fmla="*/ 0 h 295275"/>
                  <a:gd name="connsiteX1" fmla="*/ 266700 w 266700"/>
                  <a:gd name="connsiteY1" fmla="*/ 0 h 295275"/>
                  <a:gd name="connsiteX2" fmla="*/ 266700 w 266700"/>
                  <a:gd name="connsiteY2" fmla="*/ 295275 h 295275"/>
                  <a:gd name="connsiteX0" fmla="*/ 0 w 382286"/>
                  <a:gd name="connsiteY0" fmla="*/ 0 h 295275"/>
                  <a:gd name="connsiteX1" fmla="*/ 382286 w 382286"/>
                  <a:gd name="connsiteY1" fmla="*/ 0 h 295275"/>
                  <a:gd name="connsiteX2" fmla="*/ 382286 w 382286"/>
                  <a:gd name="connsiteY2" fmla="*/ 295275 h 295275"/>
                </a:gdLst>
                <a:ahLst/>
                <a:cxnLst>
                  <a:cxn ang="0">
                    <a:pos x="connsiteX0" y="connsiteY0"/>
                  </a:cxn>
                  <a:cxn ang="0">
                    <a:pos x="connsiteX1" y="connsiteY1"/>
                  </a:cxn>
                  <a:cxn ang="0">
                    <a:pos x="connsiteX2" y="connsiteY2"/>
                  </a:cxn>
                </a:cxnLst>
                <a:rect l="l" t="t" r="r" b="b"/>
                <a:pathLst>
                  <a:path w="382286" h="295275">
                    <a:moveTo>
                      <a:pt x="0" y="0"/>
                    </a:moveTo>
                    <a:lnTo>
                      <a:pt x="382286" y="0"/>
                    </a:lnTo>
                    <a:lnTo>
                      <a:pt x="382286" y="295275"/>
                    </a:lnTo>
                  </a:path>
                </a:pathLst>
              </a:custGeom>
              <a:noFill/>
              <a:ln>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8" name="Freeform 37"/>
              <xdr:cNvSpPr/>
            </xdr:nvSpPr>
            <xdr:spPr>
              <a:xfrm>
                <a:off x="8222697" y="7154468"/>
                <a:ext cx="214972" cy="4817758"/>
              </a:xfrm>
              <a:custGeom>
                <a:avLst/>
                <a:gdLst>
                  <a:gd name="connsiteX0" fmla="*/ 57150 w 200025"/>
                  <a:gd name="connsiteY0" fmla="*/ 0 h 4467225"/>
                  <a:gd name="connsiteX1" fmla="*/ 57150 w 200025"/>
                  <a:gd name="connsiteY1" fmla="*/ 266700 h 4467225"/>
                  <a:gd name="connsiteX2" fmla="*/ 76200 w 200025"/>
                  <a:gd name="connsiteY2" fmla="*/ 304800 h 4467225"/>
                  <a:gd name="connsiteX3" fmla="*/ 114300 w 200025"/>
                  <a:gd name="connsiteY3" fmla="*/ 352425 h 4467225"/>
                  <a:gd name="connsiteX4" fmla="*/ 152400 w 200025"/>
                  <a:gd name="connsiteY4" fmla="*/ 371475 h 4467225"/>
                  <a:gd name="connsiteX5" fmla="*/ 180975 w 200025"/>
                  <a:gd name="connsiteY5" fmla="*/ 409575 h 4467225"/>
                  <a:gd name="connsiteX6" fmla="*/ 200025 w 200025"/>
                  <a:gd name="connsiteY6" fmla="*/ 485775 h 4467225"/>
                  <a:gd name="connsiteX7" fmla="*/ 200025 w 200025"/>
                  <a:gd name="connsiteY7" fmla="*/ 3971925 h 4467225"/>
                  <a:gd name="connsiteX8" fmla="*/ 171450 w 200025"/>
                  <a:gd name="connsiteY8" fmla="*/ 4057650 h 4467225"/>
                  <a:gd name="connsiteX9" fmla="*/ 104775 w 200025"/>
                  <a:gd name="connsiteY9" fmla="*/ 4105275 h 4467225"/>
                  <a:gd name="connsiteX10" fmla="*/ 47625 w 200025"/>
                  <a:gd name="connsiteY10" fmla="*/ 4200525 h 4467225"/>
                  <a:gd name="connsiteX11" fmla="*/ 47625 w 200025"/>
                  <a:gd name="connsiteY11" fmla="*/ 4276725 h 4467225"/>
                  <a:gd name="connsiteX12" fmla="*/ 47625 w 200025"/>
                  <a:gd name="connsiteY12" fmla="*/ 4467225 h 4467225"/>
                  <a:gd name="connsiteX13" fmla="*/ 0 w 200025"/>
                  <a:gd name="connsiteY13" fmla="*/ 0 h 4467225"/>
                  <a:gd name="connsiteX14" fmla="*/ 57150 w 200025"/>
                  <a:gd name="connsiteY14" fmla="*/ 0 h 4467225"/>
                  <a:gd name="connsiteX0" fmla="*/ 57150 w 200025"/>
                  <a:gd name="connsiteY0" fmla="*/ 0 h 4485212"/>
                  <a:gd name="connsiteX1" fmla="*/ 57150 w 200025"/>
                  <a:gd name="connsiteY1" fmla="*/ 266700 h 4485212"/>
                  <a:gd name="connsiteX2" fmla="*/ 76200 w 200025"/>
                  <a:gd name="connsiteY2" fmla="*/ 304800 h 4485212"/>
                  <a:gd name="connsiteX3" fmla="*/ 114300 w 200025"/>
                  <a:gd name="connsiteY3" fmla="*/ 352425 h 4485212"/>
                  <a:gd name="connsiteX4" fmla="*/ 152400 w 200025"/>
                  <a:gd name="connsiteY4" fmla="*/ 371475 h 4485212"/>
                  <a:gd name="connsiteX5" fmla="*/ 180975 w 200025"/>
                  <a:gd name="connsiteY5" fmla="*/ 409575 h 4485212"/>
                  <a:gd name="connsiteX6" fmla="*/ 200025 w 200025"/>
                  <a:gd name="connsiteY6" fmla="*/ 485775 h 4485212"/>
                  <a:gd name="connsiteX7" fmla="*/ 200025 w 200025"/>
                  <a:gd name="connsiteY7" fmla="*/ 3971925 h 4485212"/>
                  <a:gd name="connsiteX8" fmla="*/ 171450 w 200025"/>
                  <a:gd name="connsiteY8" fmla="*/ 4057650 h 4485212"/>
                  <a:gd name="connsiteX9" fmla="*/ 104775 w 200025"/>
                  <a:gd name="connsiteY9" fmla="*/ 4105275 h 4485212"/>
                  <a:gd name="connsiteX10" fmla="*/ 47625 w 200025"/>
                  <a:gd name="connsiteY10" fmla="*/ 4200525 h 4485212"/>
                  <a:gd name="connsiteX11" fmla="*/ 47625 w 200025"/>
                  <a:gd name="connsiteY11" fmla="*/ 4276725 h 4485212"/>
                  <a:gd name="connsiteX12" fmla="*/ 10990 w 200025"/>
                  <a:gd name="connsiteY12" fmla="*/ 4485212 h 4485212"/>
                  <a:gd name="connsiteX13" fmla="*/ 0 w 200025"/>
                  <a:gd name="connsiteY13" fmla="*/ 0 h 4485212"/>
                  <a:gd name="connsiteX14" fmla="*/ 57150 w 200025"/>
                  <a:gd name="connsiteY14" fmla="*/ 0 h 4485212"/>
                  <a:gd name="connsiteX0" fmla="*/ 57150 w 200025"/>
                  <a:gd name="connsiteY0" fmla="*/ 0 h 4498149"/>
                  <a:gd name="connsiteX1" fmla="*/ 57150 w 200025"/>
                  <a:gd name="connsiteY1" fmla="*/ 266700 h 4498149"/>
                  <a:gd name="connsiteX2" fmla="*/ 76200 w 200025"/>
                  <a:gd name="connsiteY2" fmla="*/ 304800 h 4498149"/>
                  <a:gd name="connsiteX3" fmla="*/ 114300 w 200025"/>
                  <a:gd name="connsiteY3" fmla="*/ 352425 h 4498149"/>
                  <a:gd name="connsiteX4" fmla="*/ 152400 w 200025"/>
                  <a:gd name="connsiteY4" fmla="*/ 371475 h 4498149"/>
                  <a:gd name="connsiteX5" fmla="*/ 180975 w 200025"/>
                  <a:gd name="connsiteY5" fmla="*/ 409575 h 4498149"/>
                  <a:gd name="connsiteX6" fmla="*/ 200025 w 200025"/>
                  <a:gd name="connsiteY6" fmla="*/ 485775 h 4498149"/>
                  <a:gd name="connsiteX7" fmla="*/ 200025 w 200025"/>
                  <a:gd name="connsiteY7" fmla="*/ 3971925 h 4498149"/>
                  <a:gd name="connsiteX8" fmla="*/ 171450 w 200025"/>
                  <a:gd name="connsiteY8" fmla="*/ 4057650 h 4498149"/>
                  <a:gd name="connsiteX9" fmla="*/ 104775 w 200025"/>
                  <a:gd name="connsiteY9" fmla="*/ 4105275 h 4498149"/>
                  <a:gd name="connsiteX10" fmla="*/ 47625 w 200025"/>
                  <a:gd name="connsiteY10" fmla="*/ 4200525 h 4498149"/>
                  <a:gd name="connsiteX11" fmla="*/ 47625 w 200025"/>
                  <a:gd name="connsiteY11" fmla="*/ 4486572 h 4498149"/>
                  <a:gd name="connsiteX12" fmla="*/ 10990 w 200025"/>
                  <a:gd name="connsiteY12" fmla="*/ 4485212 h 4498149"/>
                  <a:gd name="connsiteX13" fmla="*/ 0 w 200025"/>
                  <a:gd name="connsiteY13" fmla="*/ 0 h 4498149"/>
                  <a:gd name="connsiteX14" fmla="*/ 57150 w 200025"/>
                  <a:gd name="connsiteY14" fmla="*/ 0 h 4498149"/>
                  <a:gd name="connsiteX0" fmla="*/ 57150 w 200025"/>
                  <a:gd name="connsiteY0" fmla="*/ 0 h 4498149"/>
                  <a:gd name="connsiteX1" fmla="*/ 57150 w 200025"/>
                  <a:gd name="connsiteY1" fmla="*/ 266700 h 4498149"/>
                  <a:gd name="connsiteX2" fmla="*/ 76200 w 200025"/>
                  <a:gd name="connsiteY2" fmla="*/ 304800 h 4498149"/>
                  <a:gd name="connsiteX3" fmla="*/ 114300 w 200025"/>
                  <a:gd name="connsiteY3" fmla="*/ 352425 h 4498149"/>
                  <a:gd name="connsiteX4" fmla="*/ 152400 w 200025"/>
                  <a:gd name="connsiteY4" fmla="*/ 371475 h 4498149"/>
                  <a:gd name="connsiteX5" fmla="*/ 180975 w 200025"/>
                  <a:gd name="connsiteY5" fmla="*/ 409575 h 4498149"/>
                  <a:gd name="connsiteX6" fmla="*/ 200025 w 200025"/>
                  <a:gd name="connsiteY6" fmla="*/ 485775 h 4498149"/>
                  <a:gd name="connsiteX7" fmla="*/ 200025 w 200025"/>
                  <a:gd name="connsiteY7" fmla="*/ 3971925 h 4498149"/>
                  <a:gd name="connsiteX8" fmla="*/ 171450 w 200025"/>
                  <a:gd name="connsiteY8" fmla="*/ 4057650 h 4498149"/>
                  <a:gd name="connsiteX9" fmla="*/ 104775 w 200025"/>
                  <a:gd name="connsiteY9" fmla="*/ 4105275 h 4498149"/>
                  <a:gd name="connsiteX10" fmla="*/ 47625 w 200025"/>
                  <a:gd name="connsiteY10" fmla="*/ 4200525 h 4498149"/>
                  <a:gd name="connsiteX11" fmla="*/ 65838 w 200025"/>
                  <a:gd name="connsiteY11" fmla="*/ 4486572 h 4498149"/>
                  <a:gd name="connsiteX12" fmla="*/ 10990 w 200025"/>
                  <a:gd name="connsiteY12" fmla="*/ 4485212 h 4498149"/>
                  <a:gd name="connsiteX13" fmla="*/ 0 w 200025"/>
                  <a:gd name="connsiteY13" fmla="*/ 0 h 4498149"/>
                  <a:gd name="connsiteX14" fmla="*/ 57150 w 200025"/>
                  <a:gd name="connsiteY14" fmla="*/ 0 h 4498149"/>
                  <a:gd name="connsiteX0" fmla="*/ 57150 w 200025"/>
                  <a:gd name="connsiteY0" fmla="*/ 0 h 4498149"/>
                  <a:gd name="connsiteX1" fmla="*/ 57150 w 200025"/>
                  <a:gd name="connsiteY1" fmla="*/ 266700 h 4498149"/>
                  <a:gd name="connsiteX2" fmla="*/ 76200 w 200025"/>
                  <a:gd name="connsiteY2" fmla="*/ 304800 h 4498149"/>
                  <a:gd name="connsiteX3" fmla="*/ 114300 w 200025"/>
                  <a:gd name="connsiteY3" fmla="*/ 352425 h 4498149"/>
                  <a:gd name="connsiteX4" fmla="*/ 152400 w 200025"/>
                  <a:gd name="connsiteY4" fmla="*/ 371475 h 4498149"/>
                  <a:gd name="connsiteX5" fmla="*/ 180975 w 200025"/>
                  <a:gd name="connsiteY5" fmla="*/ 409575 h 4498149"/>
                  <a:gd name="connsiteX6" fmla="*/ 200025 w 200025"/>
                  <a:gd name="connsiteY6" fmla="*/ 485775 h 4498149"/>
                  <a:gd name="connsiteX7" fmla="*/ 200025 w 200025"/>
                  <a:gd name="connsiteY7" fmla="*/ 3971925 h 4498149"/>
                  <a:gd name="connsiteX8" fmla="*/ 171450 w 200025"/>
                  <a:gd name="connsiteY8" fmla="*/ 4057650 h 4498149"/>
                  <a:gd name="connsiteX9" fmla="*/ 104775 w 200025"/>
                  <a:gd name="connsiteY9" fmla="*/ 4105275 h 4498149"/>
                  <a:gd name="connsiteX10" fmla="*/ 77980 w 200025"/>
                  <a:gd name="connsiteY10" fmla="*/ 4200525 h 4498149"/>
                  <a:gd name="connsiteX11" fmla="*/ 65838 w 200025"/>
                  <a:gd name="connsiteY11" fmla="*/ 4486572 h 4498149"/>
                  <a:gd name="connsiteX12" fmla="*/ 10990 w 200025"/>
                  <a:gd name="connsiteY12" fmla="*/ 4485212 h 4498149"/>
                  <a:gd name="connsiteX13" fmla="*/ 0 w 200025"/>
                  <a:gd name="connsiteY13" fmla="*/ 0 h 4498149"/>
                  <a:gd name="connsiteX14" fmla="*/ 57150 w 200025"/>
                  <a:gd name="connsiteY14" fmla="*/ 0 h 4498149"/>
                  <a:gd name="connsiteX0" fmla="*/ 57150 w 200025"/>
                  <a:gd name="connsiteY0" fmla="*/ 0 h 4498149"/>
                  <a:gd name="connsiteX1" fmla="*/ 57150 w 200025"/>
                  <a:gd name="connsiteY1" fmla="*/ 266700 h 4498149"/>
                  <a:gd name="connsiteX2" fmla="*/ 76200 w 200025"/>
                  <a:gd name="connsiteY2" fmla="*/ 304800 h 4498149"/>
                  <a:gd name="connsiteX3" fmla="*/ 114300 w 200025"/>
                  <a:gd name="connsiteY3" fmla="*/ 352425 h 4498149"/>
                  <a:gd name="connsiteX4" fmla="*/ 152400 w 200025"/>
                  <a:gd name="connsiteY4" fmla="*/ 371475 h 4498149"/>
                  <a:gd name="connsiteX5" fmla="*/ 180975 w 200025"/>
                  <a:gd name="connsiteY5" fmla="*/ 409575 h 4498149"/>
                  <a:gd name="connsiteX6" fmla="*/ 200025 w 200025"/>
                  <a:gd name="connsiteY6" fmla="*/ 485775 h 4498149"/>
                  <a:gd name="connsiteX7" fmla="*/ 200025 w 200025"/>
                  <a:gd name="connsiteY7" fmla="*/ 3971925 h 4498149"/>
                  <a:gd name="connsiteX8" fmla="*/ 171450 w 200025"/>
                  <a:gd name="connsiteY8" fmla="*/ 4057650 h 4498149"/>
                  <a:gd name="connsiteX9" fmla="*/ 104775 w 200025"/>
                  <a:gd name="connsiteY9" fmla="*/ 4105275 h 4498149"/>
                  <a:gd name="connsiteX10" fmla="*/ 59767 w 200025"/>
                  <a:gd name="connsiteY10" fmla="*/ 4200525 h 4498149"/>
                  <a:gd name="connsiteX11" fmla="*/ 65838 w 200025"/>
                  <a:gd name="connsiteY11" fmla="*/ 4486572 h 4498149"/>
                  <a:gd name="connsiteX12" fmla="*/ 10990 w 200025"/>
                  <a:gd name="connsiteY12" fmla="*/ 4485212 h 4498149"/>
                  <a:gd name="connsiteX13" fmla="*/ 0 w 200025"/>
                  <a:gd name="connsiteY13" fmla="*/ 0 h 4498149"/>
                  <a:gd name="connsiteX14" fmla="*/ 57150 w 200025"/>
                  <a:gd name="connsiteY14" fmla="*/ 0 h 4498149"/>
                  <a:gd name="connsiteX0" fmla="*/ 57150 w 200025"/>
                  <a:gd name="connsiteY0" fmla="*/ 0 h 4498149"/>
                  <a:gd name="connsiteX1" fmla="*/ 57150 w 200025"/>
                  <a:gd name="connsiteY1" fmla="*/ 266700 h 4498149"/>
                  <a:gd name="connsiteX2" fmla="*/ 76200 w 200025"/>
                  <a:gd name="connsiteY2" fmla="*/ 304800 h 4498149"/>
                  <a:gd name="connsiteX3" fmla="*/ 114300 w 200025"/>
                  <a:gd name="connsiteY3" fmla="*/ 352425 h 4498149"/>
                  <a:gd name="connsiteX4" fmla="*/ 152400 w 200025"/>
                  <a:gd name="connsiteY4" fmla="*/ 371475 h 4498149"/>
                  <a:gd name="connsiteX5" fmla="*/ 180975 w 200025"/>
                  <a:gd name="connsiteY5" fmla="*/ 409575 h 4498149"/>
                  <a:gd name="connsiteX6" fmla="*/ 200025 w 200025"/>
                  <a:gd name="connsiteY6" fmla="*/ 485775 h 4498149"/>
                  <a:gd name="connsiteX7" fmla="*/ 200025 w 200025"/>
                  <a:gd name="connsiteY7" fmla="*/ 3971925 h 4498149"/>
                  <a:gd name="connsiteX8" fmla="*/ 171450 w 200025"/>
                  <a:gd name="connsiteY8" fmla="*/ 4057650 h 4498149"/>
                  <a:gd name="connsiteX9" fmla="*/ 104775 w 200025"/>
                  <a:gd name="connsiteY9" fmla="*/ 4144946 h 4498149"/>
                  <a:gd name="connsiteX10" fmla="*/ 59767 w 200025"/>
                  <a:gd name="connsiteY10" fmla="*/ 4200525 h 4498149"/>
                  <a:gd name="connsiteX11" fmla="*/ 65838 w 200025"/>
                  <a:gd name="connsiteY11" fmla="*/ 4486572 h 4498149"/>
                  <a:gd name="connsiteX12" fmla="*/ 10990 w 200025"/>
                  <a:gd name="connsiteY12" fmla="*/ 4485212 h 4498149"/>
                  <a:gd name="connsiteX13" fmla="*/ 0 w 200025"/>
                  <a:gd name="connsiteY13" fmla="*/ 0 h 4498149"/>
                  <a:gd name="connsiteX14" fmla="*/ 57150 w 200025"/>
                  <a:gd name="connsiteY14" fmla="*/ 0 h 4498149"/>
                  <a:gd name="connsiteX0" fmla="*/ 57150 w 200025"/>
                  <a:gd name="connsiteY0" fmla="*/ 0 h 4498149"/>
                  <a:gd name="connsiteX1" fmla="*/ 57150 w 200025"/>
                  <a:gd name="connsiteY1" fmla="*/ 266700 h 4498149"/>
                  <a:gd name="connsiteX2" fmla="*/ 76200 w 200025"/>
                  <a:gd name="connsiteY2" fmla="*/ 304800 h 4498149"/>
                  <a:gd name="connsiteX3" fmla="*/ 114300 w 200025"/>
                  <a:gd name="connsiteY3" fmla="*/ 352425 h 4498149"/>
                  <a:gd name="connsiteX4" fmla="*/ 152400 w 200025"/>
                  <a:gd name="connsiteY4" fmla="*/ 371475 h 4498149"/>
                  <a:gd name="connsiteX5" fmla="*/ 180975 w 200025"/>
                  <a:gd name="connsiteY5" fmla="*/ 409575 h 4498149"/>
                  <a:gd name="connsiteX6" fmla="*/ 200025 w 200025"/>
                  <a:gd name="connsiteY6" fmla="*/ 485775 h 4498149"/>
                  <a:gd name="connsiteX7" fmla="*/ 200025 w 200025"/>
                  <a:gd name="connsiteY7" fmla="*/ 3971925 h 4498149"/>
                  <a:gd name="connsiteX8" fmla="*/ 171450 w 200025"/>
                  <a:gd name="connsiteY8" fmla="*/ 4057650 h 4498149"/>
                  <a:gd name="connsiteX9" fmla="*/ 154449 w 200025"/>
                  <a:gd name="connsiteY9" fmla="*/ 4154223 h 4498149"/>
                  <a:gd name="connsiteX10" fmla="*/ 104775 w 200025"/>
                  <a:gd name="connsiteY10" fmla="*/ 4144946 h 4498149"/>
                  <a:gd name="connsiteX11" fmla="*/ 59767 w 200025"/>
                  <a:gd name="connsiteY11" fmla="*/ 4200525 h 4498149"/>
                  <a:gd name="connsiteX12" fmla="*/ 65838 w 200025"/>
                  <a:gd name="connsiteY12" fmla="*/ 4486572 h 4498149"/>
                  <a:gd name="connsiteX13" fmla="*/ 10990 w 200025"/>
                  <a:gd name="connsiteY13" fmla="*/ 4485212 h 4498149"/>
                  <a:gd name="connsiteX14" fmla="*/ 0 w 200025"/>
                  <a:gd name="connsiteY14" fmla="*/ 0 h 4498149"/>
                  <a:gd name="connsiteX15" fmla="*/ 57150 w 200025"/>
                  <a:gd name="connsiteY15" fmla="*/ 0 h 4498149"/>
                  <a:gd name="connsiteX0" fmla="*/ 57150 w 200025"/>
                  <a:gd name="connsiteY0" fmla="*/ 0 h 4498149"/>
                  <a:gd name="connsiteX1" fmla="*/ 57150 w 200025"/>
                  <a:gd name="connsiteY1" fmla="*/ 266700 h 4498149"/>
                  <a:gd name="connsiteX2" fmla="*/ 76200 w 200025"/>
                  <a:gd name="connsiteY2" fmla="*/ 304800 h 4498149"/>
                  <a:gd name="connsiteX3" fmla="*/ 114300 w 200025"/>
                  <a:gd name="connsiteY3" fmla="*/ 352425 h 4498149"/>
                  <a:gd name="connsiteX4" fmla="*/ 152400 w 200025"/>
                  <a:gd name="connsiteY4" fmla="*/ 371475 h 4498149"/>
                  <a:gd name="connsiteX5" fmla="*/ 180975 w 200025"/>
                  <a:gd name="connsiteY5" fmla="*/ 409575 h 4498149"/>
                  <a:gd name="connsiteX6" fmla="*/ 200025 w 200025"/>
                  <a:gd name="connsiteY6" fmla="*/ 485775 h 4498149"/>
                  <a:gd name="connsiteX7" fmla="*/ 200025 w 200025"/>
                  <a:gd name="connsiteY7" fmla="*/ 3971925 h 4498149"/>
                  <a:gd name="connsiteX8" fmla="*/ 171450 w 200025"/>
                  <a:gd name="connsiteY8" fmla="*/ 4057650 h 4498149"/>
                  <a:gd name="connsiteX9" fmla="*/ 148378 w 200025"/>
                  <a:gd name="connsiteY9" fmla="*/ 4114553 h 4498149"/>
                  <a:gd name="connsiteX10" fmla="*/ 104775 w 200025"/>
                  <a:gd name="connsiteY10" fmla="*/ 4144946 h 4498149"/>
                  <a:gd name="connsiteX11" fmla="*/ 59767 w 200025"/>
                  <a:gd name="connsiteY11" fmla="*/ 4200525 h 4498149"/>
                  <a:gd name="connsiteX12" fmla="*/ 65838 w 200025"/>
                  <a:gd name="connsiteY12" fmla="*/ 4486572 h 4498149"/>
                  <a:gd name="connsiteX13" fmla="*/ 10990 w 200025"/>
                  <a:gd name="connsiteY13" fmla="*/ 4485212 h 4498149"/>
                  <a:gd name="connsiteX14" fmla="*/ 0 w 200025"/>
                  <a:gd name="connsiteY14" fmla="*/ 0 h 4498149"/>
                  <a:gd name="connsiteX15" fmla="*/ 57150 w 200025"/>
                  <a:gd name="connsiteY15" fmla="*/ 0 h 4498149"/>
                  <a:gd name="connsiteX0" fmla="*/ 57150 w 200025"/>
                  <a:gd name="connsiteY0" fmla="*/ 0 h 4497810"/>
                  <a:gd name="connsiteX1" fmla="*/ 57150 w 200025"/>
                  <a:gd name="connsiteY1" fmla="*/ 266700 h 4497810"/>
                  <a:gd name="connsiteX2" fmla="*/ 76200 w 200025"/>
                  <a:gd name="connsiteY2" fmla="*/ 304800 h 4497810"/>
                  <a:gd name="connsiteX3" fmla="*/ 114300 w 200025"/>
                  <a:gd name="connsiteY3" fmla="*/ 352425 h 4497810"/>
                  <a:gd name="connsiteX4" fmla="*/ 152400 w 200025"/>
                  <a:gd name="connsiteY4" fmla="*/ 371475 h 4497810"/>
                  <a:gd name="connsiteX5" fmla="*/ 180975 w 200025"/>
                  <a:gd name="connsiteY5" fmla="*/ 409575 h 4497810"/>
                  <a:gd name="connsiteX6" fmla="*/ 200025 w 200025"/>
                  <a:gd name="connsiteY6" fmla="*/ 485775 h 4497810"/>
                  <a:gd name="connsiteX7" fmla="*/ 200025 w 200025"/>
                  <a:gd name="connsiteY7" fmla="*/ 3971925 h 4497810"/>
                  <a:gd name="connsiteX8" fmla="*/ 171450 w 200025"/>
                  <a:gd name="connsiteY8" fmla="*/ 4057650 h 4497810"/>
                  <a:gd name="connsiteX9" fmla="*/ 148378 w 200025"/>
                  <a:gd name="connsiteY9" fmla="*/ 4114553 h 4497810"/>
                  <a:gd name="connsiteX10" fmla="*/ 104775 w 200025"/>
                  <a:gd name="connsiteY10" fmla="*/ 4144946 h 4497810"/>
                  <a:gd name="connsiteX11" fmla="*/ 77981 w 200025"/>
                  <a:gd name="connsiteY11" fmla="*/ 4206192 h 4497810"/>
                  <a:gd name="connsiteX12" fmla="*/ 65838 w 200025"/>
                  <a:gd name="connsiteY12" fmla="*/ 4486572 h 4497810"/>
                  <a:gd name="connsiteX13" fmla="*/ 10990 w 200025"/>
                  <a:gd name="connsiteY13" fmla="*/ 4485212 h 4497810"/>
                  <a:gd name="connsiteX14" fmla="*/ 0 w 200025"/>
                  <a:gd name="connsiteY14" fmla="*/ 0 h 4497810"/>
                  <a:gd name="connsiteX15" fmla="*/ 57150 w 200025"/>
                  <a:gd name="connsiteY15" fmla="*/ 0 h 4497810"/>
                  <a:gd name="connsiteX0" fmla="*/ 57150 w 200025"/>
                  <a:gd name="connsiteY0" fmla="*/ 0 h 4497810"/>
                  <a:gd name="connsiteX1" fmla="*/ 57150 w 200025"/>
                  <a:gd name="connsiteY1" fmla="*/ 266700 h 4497810"/>
                  <a:gd name="connsiteX2" fmla="*/ 76200 w 200025"/>
                  <a:gd name="connsiteY2" fmla="*/ 304800 h 4497810"/>
                  <a:gd name="connsiteX3" fmla="*/ 114300 w 200025"/>
                  <a:gd name="connsiteY3" fmla="*/ 352425 h 4497810"/>
                  <a:gd name="connsiteX4" fmla="*/ 152400 w 200025"/>
                  <a:gd name="connsiteY4" fmla="*/ 371475 h 4497810"/>
                  <a:gd name="connsiteX5" fmla="*/ 180975 w 200025"/>
                  <a:gd name="connsiteY5" fmla="*/ 409575 h 4497810"/>
                  <a:gd name="connsiteX6" fmla="*/ 200025 w 200025"/>
                  <a:gd name="connsiteY6" fmla="*/ 485775 h 4497810"/>
                  <a:gd name="connsiteX7" fmla="*/ 200025 w 200025"/>
                  <a:gd name="connsiteY7" fmla="*/ 3971925 h 4497810"/>
                  <a:gd name="connsiteX8" fmla="*/ 171450 w 200025"/>
                  <a:gd name="connsiteY8" fmla="*/ 4057650 h 4497810"/>
                  <a:gd name="connsiteX9" fmla="*/ 148378 w 200025"/>
                  <a:gd name="connsiteY9" fmla="*/ 4114553 h 4497810"/>
                  <a:gd name="connsiteX10" fmla="*/ 104775 w 200025"/>
                  <a:gd name="connsiteY10" fmla="*/ 4144946 h 4497810"/>
                  <a:gd name="connsiteX11" fmla="*/ 65840 w 200025"/>
                  <a:gd name="connsiteY11" fmla="*/ 4206192 h 4497810"/>
                  <a:gd name="connsiteX12" fmla="*/ 65838 w 200025"/>
                  <a:gd name="connsiteY12" fmla="*/ 4486572 h 4497810"/>
                  <a:gd name="connsiteX13" fmla="*/ 10990 w 200025"/>
                  <a:gd name="connsiteY13" fmla="*/ 4485212 h 4497810"/>
                  <a:gd name="connsiteX14" fmla="*/ 0 w 200025"/>
                  <a:gd name="connsiteY14" fmla="*/ 0 h 4497810"/>
                  <a:gd name="connsiteX15" fmla="*/ 57150 w 200025"/>
                  <a:gd name="connsiteY15" fmla="*/ 0 h 4497810"/>
                  <a:gd name="connsiteX0" fmla="*/ 57150 w 200025"/>
                  <a:gd name="connsiteY0" fmla="*/ 0 h 4498149"/>
                  <a:gd name="connsiteX1" fmla="*/ 57150 w 200025"/>
                  <a:gd name="connsiteY1" fmla="*/ 266700 h 4498149"/>
                  <a:gd name="connsiteX2" fmla="*/ 76200 w 200025"/>
                  <a:gd name="connsiteY2" fmla="*/ 304800 h 4498149"/>
                  <a:gd name="connsiteX3" fmla="*/ 114300 w 200025"/>
                  <a:gd name="connsiteY3" fmla="*/ 352425 h 4498149"/>
                  <a:gd name="connsiteX4" fmla="*/ 152400 w 200025"/>
                  <a:gd name="connsiteY4" fmla="*/ 371475 h 4498149"/>
                  <a:gd name="connsiteX5" fmla="*/ 180975 w 200025"/>
                  <a:gd name="connsiteY5" fmla="*/ 409575 h 4498149"/>
                  <a:gd name="connsiteX6" fmla="*/ 200025 w 200025"/>
                  <a:gd name="connsiteY6" fmla="*/ 485775 h 4498149"/>
                  <a:gd name="connsiteX7" fmla="*/ 200025 w 200025"/>
                  <a:gd name="connsiteY7" fmla="*/ 3971925 h 4498149"/>
                  <a:gd name="connsiteX8" fmla="*/ 171450 w 200025"/>
                  <a:gd name="connsiteY8" fmla="*/ 4057650 h 4498149"/>
                  <a:gd name="connsiteX9" fmla="*/ 148378 w 200025"/>
                  <a:gd name="connsiteY9" fmla="*/ 4114553 h 4498149"/>
                  <a:gd name="connsiteX10" fmla="*/ 104775 w 200025"/>
                  <a:gd name="connsiteY10" fmla="*/ 4144946 h 4498149"/>
                  <a:gd name="connsiteX11" fmla="*/ 71911 w 200025"/>
                  <a:gd name="connsiteY11" fmla="*/ 4200525 h 4498149"/>
                  <a:gd name="connsiteX12" fmla="*/ 65838 w 200025"/>
                  <a:gd name="connsiteY12" fmla="*/ 4486572 h 4498149"/>
                  <a:gd name="connsiteX13" fmla="*/ 10990 w 200025"/>
                  <a:gd name="connsiteY13" fmla="*/ 4485212 h 4498149"/>
                  <a:gd name="connsiteX14" fmla="*/ 0 w 200025"/>
                  <a:gd name="connsiteY14" fmla="*/ 0 h 4498149"/>
                  <a:gd name="connsiteX15" fmla="*/ 57150 w 200025"/>
                  <a:gd name="connsiteY15" fmla="*/ 0 h 4498149"/>
                  <a:gd name="connsiteX0" fmla="*/ 57150 w 200025"/>
                  <a:gd name="connsiteY0" fmla="*/ 0 h 4498149"/>
                  <a:gd name="connsiteX1" fmla="*/ 57150 w 200025"/>
                  <a:gd name="connsiteY1" fmla="*/ 266700 h 4498149"/>
                  <a:gd name="connsiteX2" fmla="*/ 76200 w 200025"/>
                  <a:gd name="connsiteY2" fmla="*/ 304800 h 4498149"/>
                  <a:gd name="connsiteX3" fmla="*/ 114300 w 200025"/>
                  <a:gd name="connsiteY3" fmla="*/ 352425 h 4498149"/>
                  <a:gd name="connsiteX4" fmla="*/ 152400 w 200025"/>
                  <a:gd name="connsiteY4" fmla="*/ 371475 h 4498149"/>
                  <a:gd name="connsiteX5" fmla="*/ 180975 w 200025"/>
                  <a:gd name="connsiteY5" fmla="*/ 409575 h 4498149"/>
                  <a:gd name="connsiteX6" fmla="*/ 200025 w 200025"/>
                  <a:gd name="connsiteY6" fmla="*/ 485775 h 4498149"/>
                  <a:gd name="connsiteX7" fmla="*/ 200025 w 200025"/>
                  <a:gd name="connsiteY7" fmla="*/ 3971925 h 4498149"/>
                  <a:gd name="connsiteX8" fmla="*/ 195735 w 200025"/>
                  <a:gd name="connsiteY8" fmla="*/ 4051983 h 4498149"/>
                  <a:gd name="connsiteX9" fmla="*/ 148378 w 200025"/>
                  <a:gd name="connsiteY9" fmla="*/ 4114553 h 4498149"/>
                  <a:gd name="connsiteX10" fmla="*/ 104775 w 200025"/>
                  <a:gd name="connsiteY10" fmla="*/ 4144946 h 4498149"/>
                  <a:gd name="connsiteX11" fmla="*/ 71911 w 200025"/>
                  <a:gd name="connsiteY11" fmla="*/ 4200525 h 4498149"/>
                  <a:gd name="connsiteX12" fmla="*/ 65838 w 200025"/>
                  <a:gd name="connsiteY12" fmla="*/ 4486572 h 4498149"/>
                  <a:gd name="connsiteX13" fmla="*/ 10990 w 200025"/>
                  <a:gd name="connsiteY13" fmla="*/ 4485212 h 4498149"/>
                  <a:gd name="connsiteX14" fmla="*/ 0 w 200025"/>
                  <a:gd name="connsiteY14" fmla="*/ 0 h 4498149"/>
                  <a:gd name="connsiteX15" fmla="*/ 57150 w 200025"/>
                  <a:gd name="connsiteY15" fmla="*/ 0 h 4498149"/>
                  <a:gd name="connsiteX0" fmla="*/ 57150 w 200025"/>
                  <a:gd name="connsiteY0" fmla="*/ 0 h 4498149"/>
                  <a:gd name="connsiteX1" fmla="*/ 57150 w 200025"/>
                  <a:gd name="connsiteY1" fmla="*/ 266700 h 4498149"/>
                  <a:gd name="connsiteX2" fmla="*/ 76200 w 200025"/>
                  <a:gd name="connsiteY2" fmla="*/ 304800 h 4498149"/>
                  <a:gd name="connsiteX3" fmla="*/ 114300 w 200025"/>
                  <a:gd name="connsiteY3" fmla="*/ 352425 h 4498149"/>
                  <a:gd name="connsiteX4" fmla="*/ 152400 w 200025"/>
                  <a:gd name="connsiteY4" fmla="*/ 371475 h 4498149"/>
                  <a:gd name="connsiteX5" fmla="*/ 180975 w 200025"/>
                  <a:gd name="connsiteY5" fmla="*/ 409575 h 4498149"/>
                  <a:gd name="connsiteX6" fmla="*/ 200025 w 200025"/>
                  <a:gd name="connsiteY6" fmla="*/ 485775 h 4498149"/>
                  <a:gd name="connsiteX7" fmla="*/ 200025 w 200025"/>
                  <a:gd name="connsiteY7" fmla="*/ 3971925 h 4498149"/>
                  <a:gd name="connsiteX8" fmla="*/ 183593 w 200025"/>
                  <a:gd name="connsiteY8" fmla="*/ 4068985 h 4498149"/>
                  <a:gd name="connsiteX9" fmla="*/ 148378 w 200025"/>
                  <a:gd name="connsiteY9" fmla="*/ 4114553 h 4498149"/>
                  <a:gd name="connsiteX10" fmla="*/ 104775 w 200025"/>
                  <a:gd name="connsiteY10" fmla="*/ 4144946 h 4498149"/>
                  <a:gd name="connsiteX11" fmla="*/ 71911 w 200025"/>
                  <a:gd name="connsiteY11" fmla="*/ 4200525 h 4498149"/>
                  <a:gd name="connsiteX12" fmla="*/ 65838 w 200025"/>
                  <a:gd name="connsiteY12" fmla="*/ 4486572 h 4498149"/>
                  <a:gd name="connsiteX13" fmla="*/ 10990 w 200025"/>
                  <a:gd name="connsiteY13" fmla="*/ 4485212 h 4498149"/>
                  <a:gd name="connsiteX14" fmla="*/ 0 w 200025"/>
                  <a:gd name="connsiteY14" fmla="*/ 0 h 4498149"/>
                  <a:gd name="connsiteX15" fmla="*/ 57150 w 200025"/>
                  <a:gd name="connsiteY15" fmla="*/ 0 h 4498149"/>
                  <a:gd name="connsiteX0" fmla="*/ 57150 w 200025"/>
                  <a:gd name="connsiteY0" fmla="*/ 0 h 4499506"/>
                  <a:gd name="connsiteX1" fmla="*/ 57150 w 200025"/>
                  <a:gd name="connsiteY1" fmla="*/ 266700 h 4499506"/>
                  <a:gd name="connsiteX2" fmla="*/ 76200 w 200025"/>
                  <a:gd name="connsiteY2" fmla="*/ 304800 h 4499506"/>
                  <a:gd name="connsiteX3" fmla="*/ 114300 w 200025"/>
                  <a:gd name="connsiteY3" fmla="*/ 352425 h 4499506"/>
                  <a:gd name="connsiteX4" fmla="*/ 152400 w 200025"/>
                  <a:gd name="connsiteY4" fmla="*/ 371475 h 4499506"/>
                  <a:gd name="connsiteX5" fmla="*/ 180975 w 200025"/>
                  <a:gd name="connsiteY5" fmla="*/ 409575 h 4499506"/>
                  <a:gd name="connsiteX6" fmla="*/ 200025 w 200025"/>
                  <a:gd name="connsiteY6" fmla="*/ 485775 h 4499506"/>
                  <a:gd name="connsiteX7" fmla="*/ 200025 w 200025"/>
                  <a:gd name="connsiteY7" fmla="*/ 3971925 h 4499506"/>
                  <a:gd name="connsiteX8" fmla="*/ 183593 w 200025"/>
                  <a:gd name="connsiteY8" fmla="*/ 4068985 h 4499506"/>
                  <a:gd name="connsiteX9" fmla="*/ 148378 w 200025"/>
                  <a:gd name="connsiteY9" fmla="*/ 4114553 h 4499506"/>
                  <a:gd name="connsiteX10" fmla="*/ 104775 w 200025"/>
                  <a:gd name="connsiteY10" fmla="*/ 4144946 h 4499506"/>
                  <a:gd name="connsiteX11" fmla="*/ 71911 w 200025"/>
                  <a:gd name="connsiteY11" fmla="*/ 4200525 h 4499506"/>
                  <a:gd name="connsiteX12" fmla="*/ 65838 w 200025"/>
                  <a:gd name="connsiteY12" fmla="*/ 4486572 h 4499506"/>
                  <a:gd name="connsiteX13" fmla="*/ 10990 w 200025"/>
                  <a:gd name="connsiteY13" fmla="*/ 4494217 h 4499506"/>
                  <a:gd name="connsiteX14" fmla="*/ 0 w 200025"/>
                  <a:gd name="connsiteY14" fmla="*/ 0 h 4499506"/>
                  <a:gd name="connsiteX15" fmla="*/ 57150 w 200025"/>
                  <a:gd name="connsiteY15" fmla="*/ 0 h 4499506"/>
                  <a:gd name="connsiteX0" fmla="*/ 57150 w 200025"/>
                  <a:gd name="connsiteY0" fmla="*/ 0 h 4509997"/>
                  <a:gd name="connsiteX1" fmla="*/ 57150 w 200025"/>
                  <a:gd name="connsiteY1" fmla="*/ 266700 h 4509997"/>
                  <a:gd name="connsiteX2" fmla="*/ 76200 w 200025"/>
                  <a:gd name="connsiteY2" fmla="*/ 304800 h 4509997"/>
                  <a:gd name="connsiteX3" fmla="*/ 114300 w 200025"/>
                  <a:gd name="connsiteY3" fmla="*/ 352425 h 4509997"/>
                  <a:gd name="connsiteX4" fmla="*/ 152400 w 200025"/>
                  <a:gd name="connsiteY4" fmla="*/ 371475 h 4509997"/>
                  <a:gd name="connsiteX5" fmla="*/ 180975 w 200025"/>
                  <a:gd name="connsiteY5" fmla="*/ 409575 h 4509997"/>
                  <a:gd name="connsiteX6" fmla="*/ 200025 w 200025"/>
                  <a:gd name="connsiteY6" fmla="*/ 485775 h 4509997"/>
                  <a:gd name="connsiteX7" fmla="*/ 200025 w 200025"/>
                  <a:gd name="connsiteY7" fmla="*/ 3971925 h 4509997"/>
                  <a:gd name="connsiteX8" fmla="*/ 183593 w 200025"/>
                  <a:gd name="connsiteY8" fmla="*/ 4068985 h 4509997"/>
                  <a:gd name="connsiteX9" fmla="*/ 148378 w 200025"/>
                  <a:gd name="connsiteY9" fmla="*/ 4114553 h 4509997"/>
                  <a:gd name="connsiteX10" fmla="*/ 104775 w 200025"/>
                  <a:gd name="connsiteY10" fmla="*/ 4144946 h 4509997"/>
                  <a:gd name="connsiteX11" fmla="*/ 71911 w 200025"/>
                  <a:gd name="connsiteY11" fmla="*/ 4200525 h 4509997"/>
                  <a:gd name="connsiteX12" fmla="*/ 65838 w 200025"/>
                  <a:gd name="connsiteY12" fmla="*/ 4486572 h 4509997"/>
                  <a:gd name="connsiteX13" fmla="*/ 10990 w 200025"/>
                  <a:gd name="connsiteY13" fmla="*/ 4494217 h 4509997"/>
                  <a:gd name="connsiteX14" fmla="*/ 0 w 200025"/>
                  <a:gd name="connsiteY14" fmla="*/ 0 h 4509997"/>
                  <a:gd name="connsiteX15" fmla="*/ 57150 w 200025"/>
                  <a:gd name="connsiteY15" fmla="*/ 0 h 4509997"/>
                  <a:gd name="connsiteX0" fmla="*/ 57150 w 200025"/>
                  <a:gd name="connsiteY0" fmla="*/ 0 h 4509998"/>
                  <a:gd name="connsiteX1" fmla="*/ 57150 w 200025"/>
                  <a:gd name="connsiteY1" fmla="*/ 266700 h 4509998"/>
                  <a:gd name="connsiteX2" fmla="*/ 76200 w 200025"/>
                  <a:gd name="connsiteY2" fmla="*/ 304800 h 4509998"/>
                  <a:gd name="connsiteX3" fmla="*/ 114300 w 200025"/>
                  <a:gd name="connsiteY3" fmla="*/ 352425 h 4509998"/>
                  <a:gd name="connsiteX4" fmla="*/ 152400 w 200025"/>
                  <a:gd name="connsiteY4" fmla="*/ 371475 h 4509998"/>
                  <a:gd name="connsiteX5" fmla="*/ 180975 w 200025"/>
                  <a:gd name="connsiteY5" fmla="*/ 409575 h 4509998"/>
                  <a:gd name="connsiteX6" fmla="*/ 200025 w 200025"/>
                  <a:gd name="connsiteY6" fmla="*/ 485775 h 4509998"/>
                  <a:gd name="connsiteX7" fmla="*/ 200025 w 200025"/>
                  <a:gd name="connsiteY7" fmla="*/ 3971925 h 4509998"/>
                  <a:gd name="connsiteX8" fmla="*/ 183593 w 200025"/>
                  <a:gd name="connsiteY8" fmla="*/ 4068985 h 4509998"/>
                  <a:gd name="connsiteX9" fmla="*/ 148378 w 200025"/>
                  <a:gd name="connsiteY9" fmla="*/ 4114553 h 4509998"/>
                  <a:gd name="connsiteX10" fmla="*/ 104775 w 200025"/>
                  <a:gd name="connsiteY10" fmla="*/ 4144946 h 4509998"/>
                  <a:gd name="connsiteX11" fmla="*/ 71911 w 200025"/>
                  <a:gd name="connsiteY11" fmla="*/ 4200525 h 4509998"/>
                  <a:gd name="connsiteX12" fmla="*/ 65838 w 200025"/>
                  <a:gd name="connsiteY12" fmla="*/ 4486572 h 4509998"/>
                  <a:gd name="connsiteX13" fmla="*/ 10990 w 200025"/>
                  <a:gd name="connsiteY13" fmla="*/ 4494217 h 4509998"/>
                  <a:gd name="connsiteX14" fmla="*/ 0 w 200025"/>
                  <a:gd name="connsiteY14" fmla="*/ 0 h 4509998"/>
                  <a:gd name="connsiteX15" fmla="*/ 57150 w 200025"/>
                  <a:gd name="connsiteY15" fmla="*/ 0 h 4509998"/>
                  <a:gd name="connsiteX0" fmla="*/ 57150 w 200025"/>
                  <a:gd name="connsiteY0" fmla="*/ 0 h 4508446"/>
                  <a:gd name="connsiteX1" fmla="*/ 57150 w 200025"/>
                  <a:gd name="connsiteY1" fmla="*/ 266700 h 4508446"/>
                  <a:gd name="connsiteX2" fmla="*/ 76200 w 200025"/>
                  <a:gd name="connsiteY2" fmla="*/ 304800 h 4508446"/>
                  <a:gd name="connsiteX3" fmla="*/ 114300 w 200025"/>
                  <a:gd name="connsiteY3" fmla="*/ 352425 h 4508446"/>
                  <a:gd name="connsiteX4" fmla="*/ 152400 w 200025"/>
                  <a:gd name="connsiteY4" fmla="*/ 371475 h 4508446"/>
                  <a:gd name="connsiteX5" fmla="*/ 180975 w 200025"/>
                  <a:gd name="connsiteY5" fmla="*/ 409575 h 4508446"/>
                  <a:gd name="connsiteX6" fmla="*/ 200025 w 200025"/>
                  <a:gd name="connsiteY6" fmla="*/ 485775 h 4508446"/>
                  <a:gd name="connsiteX7" fmla="*/ 200025 w 200025"/>
                  <a:gd name="connsiteY7" fmla="*/ 3971925 h 4508446"/>
                  <a:gd name="connsiteX8" fmla="*/ 183593 w 200025"/>
                  <a:gd name="connsiteY8" fmla="*/ 4068985 h 4508446"/>
                  <a:gd name="connsiteX9" fmla="*/ 148378 w 200025"/>
                  <a:gd name="connsiteY9" fmla="*/ 4114553 h 4508446"/>
                  <a:gd name="connsiteX10" fmla="*/ 104775 w 200025"/>
                  <a:gd name="connsiteY10" fmla="*/ 4144946 h 4508446"/>
                  <a:gd name="connsiteX11" fmla="*/ 71911 w 200025"/>
                  <a:gd name="connsiteY11" fmla="*/ 4200525 h 4508446"/>
                  <a:gd name="connsiteX12" fmla="*/ 68205 w 200025"/>
                  <a:gd name="connsiteY12" fmla="*/ 4484322 h 4508446"/>
                  <a:gd name="connsiteX13" fmla="*/ 10990 w 200025"/>
                  <a:gd name="connsiteY13" fmla="*/ 4494217 h 4508446"/>
                  <a:gd name="connsiteX14" fmla="*/ 0 w 200025"/>
                  <a:gd name="connsiteY14" fmla="*/ 0 h 4508446"/>
                  <a:gd name="connsiteX15" fmla="*/ 57150 w 200025"/>
                  <a:gd name="connsiteY15" fmla="*/ 0 h 4508446"/>
                  <a:gd name="connsiteX0" fmla="*/ 57150 w 200025"/>
                  <a:gd name="connsiteY0" fmla="*/ 0 h 4497757"/>
                  <a:gd name="connsiteX1" fmla="*/ 57150 w 200025"/>
                  <a:gd name="connsiteY1" fmla="*/ 266700 h 4497757"/>
                  <a:gd name="connsiteX2" fmla="*/ 76200 w 200025"/>
                  <a:gd name="connsiteY2" fmla="*/ 304800 h 4497757"/>
                  <a:gd name="connsiteX3" fmla="*/ 114300 w 200025"/>
                  <a:gd name="connsiteY3" fmla="*/ 352425 h 4497757"/>
                  <a:gd name="connsiteX4" fmla="*/ 152400 w 200025"/>
                  <a:gd name="connsiteY4" fmla="*/ 371475 h 4497757"/>
                  <a:gd name="connsiteX5" fmla="*/ 180975 w 200025"/>
                  <a:gd name="connsiteY5" fmla="*/ 409575 h 4497757"/>
                  <a:gd name="connsiteX6" fmla="*/ 200025 w 200025"/>
                  <a:gd name="connsiteY6" fmla="*/ 485775 h 4497757"/>
                  <a:gd name="connsiteX7" fmla="*/ 200025 w 200025"/>
                  <a:gd name="connsiteY7" fmla="*/ 3971925 h 4497757"/>
                  <a:gd name="connsiteX8" fmla="*/ 183593 w 200025"/>
                  <a:gd name="connsiteY8" fmla="*/ 4068985 h 4497757"/>
                  <a:gd name="connsiteX9" fmla="*/ 148378 w 200025"/>
                  <a:gd name="connsiteY9" fmla="*/ 4114553 h 4497757"/>
                  <a:gd name="connsiteX10" fmla="*/ 104775 w 200025"/>
                  <a:gd name="connsiteY10" fmla="*/ 4144946 h 4497757"/>
                  <a:gd name="connsiteX11" fmla="*/ 71911 w 200025"/>
                  <a:gd name="connsiteY11" fmla="*/ 4200525 h 4497757"/>
                  <a:gd name="connsiteX12" fmla="*/ 68205 w 200025"/>
                  <a:gd name="connsiteY12" fmla="*/ 4484322 h 4497757"/>
                  <a:gd name="connsiteX13" fmla="*/ 10990 w 200025"/>
                  <a:gd name="connsiteY13" fmla="*/ 4494217 h 4497757"/>
                  <a:gd name="connsiteX14" fmla="*/ 0 w 200025"/>
                  <a:gd name="connsiteY14" fmla="*/ 0 h 4497757"/>
                  <a:gd name="connsiteX15" fmla="*/ 57150 w 200025"/>
                  <a:gd name="connsiteY15" fmla="*/ 0 h 4497757"/>
                  <a:gd name="connsiteX0" fmla="*/ 57150 w 200025"/>
                  <a:gd name="connsiteY0" fmla="*/ 0 h 4498002"/>
                  <a:gd name="connsiteX1" fmla="*/ 57150 w 200025"/>
                  <a:gd name="connsiteY1" fmla="*/ 266700 h 4498002"/>
                  <a:gd name="connsiteX2" fmla="*/ 76200 w 200025"/>
                  <a:gd name="connsiteY2" fmla="*/ 304800 h 4498002"/>
                  <a:gd name="connsiteX3" fmla="*/ 114300 w 200025"/>
                  <a:gd name="connsiteY3" fmla="*/ 352425 h 4498002"/>
                  <a:gd name="connsiteX4" fmla="*/ 152400 w 200025"/>
                  <a:gd name="connsiteY4" fmla="*/ 371475 h 4498002"/>
                  <a:gd name="connsiteX5" fmla="*/ 180975 w 200025"/>
                  <a:gd name="connsiteY5" fmla="*/ 409575 h 4498002"/>
                  <a:gd name="connsiteX6" fmla="*/ 200025 w 200025"/>
                  <a:gd name="connsiteY6" fmla="*/ 485775 h 4498002"/>
                  <a:gd name="connsiteX7" fmla="*/ 200025 w 200025"/>
                  <a:gd name="connsiteY7" fmla="*/ 3971925 h 4498002"/>
                  <a:gd name="connsiteX8" fmla="*/ 183593 w 200025"/>
                  <a:gd name="connsiteY8" fmla="*/ 4068985 h 4498002"/>
                  <a:gd name="connsiteX9" fmla="*/ 148378 w 200025"/>
                  <a:gd name="connsiteY9" fmla="*/ 4114553 h 4498002"/>
                  <a:gd name="connsiteX10" fmla="*/ 104775 w 200025"/>
                  <a:gd name="connsiteY10" fmla="*/ 4144946 h 4498002"/>
                  <a:gd name="connsiteX11" fmla="*/ 71911 w 200025"/>
                  <a:gd name="connsiteY11" fmla="*/ 4200525 h 4498002"/>
                  <a:gd name="connsiteX12" fmla="*/ 68205 w 200025"/>
                  <a:gd name="connsiteY12" fmla="*/ 4484322 h 4498002"/>
                  <a:gd name="connsiteX13" fmla="*/ 10990 w 200025"/>
                  <a:gd name="connsiteY13" fmla="*/ 4494217 h 4498002"/>
                  <a:gd name="connsiteX14" fmla="*/ 0 w 200025"/>
                  <a:gd name="connsiteY14" fmla="*/ 0 h 4498002"/>
                  <a:gd name="connsiteX15" fmla="*/ 57150 w 200025"/>
                  <a:gd name="connsiteY15" fmla="*/ 0 h 4498002"/>
                  <a:gd name="connsiteX0" fmla="*/ 57150 w 200025"/>
                  <a:gd name="connsiteY0" fmla="*/ 0 h 4494217"/>
                  <a:gd name="connsiteX1" fmla="*/ 57150 w 200025"/>
                  <a:gd name="connsiteY1" fmla="*/ 266700 h 4494217"/>
                  <a:gd name="connsiteX2" fmla="*/ 76200 w 200025"/>
                  <a:gd name="connsiteY2" fmla="*/ 304800 h 4494217"/>
                  <a:gd name="connsiteX3" fmla="*/ 114300 w 200025"/>
                  <a:gd name="connsiteY3" fmla="*/ 352425 h 4494217"/>
                  <a:gd name="connsiteX4" fmla="*/ 152400 w 200025"/>
                  <a:gd name="connsiteY4" fmla="*/ 371475 h 4494217"/>
                  <a:gd name="connsiteX5" fmla="*/ 180975 w 200025"/>
                  <a:gd name="connsiteY5" fmla="*/ 409575 h 4494217"/>
                  <a:gd name="connsiteX6" fmla="*/ 200025 w 200025"/>
                  <a:gd name="connsiteY6" fmla="*/ 485775 h 4494217"/>
                  <a:gd name="connsiteX7" fmla="*/ 200025 w 200025"/>
                  <a:gd name="connsiteY7" fmla="*/ 3971925 h 4494217"/>
                  <a:gd name="connsiteX8" fmla="*/ 183593 w 200025"/>
                  <a:gd name="connsiteY8" fmla="*/ 4068985 h 4494217"/>
                  <a:gd name="connsiteX9" fmla="*/ 148378 w 200025"/>
                  <a:gd name="connsiteY9" fmla="*/ 4114553 h 4494217"/>
                  <a:gd name="connsiteX10" fmla="*/ 104775 w 200025"/>
                  <a:gd name="connsiteY10" fmla="*/ 4144946 h 4494217"/>
                  <a:gd name="connsiteX11" fmla="*/ 71911 w 200025"/>
                  <a:gd name="connsiteY11" fmla="*/ 4200525 h 4494217"/>
                  <a:gd name="connsiteX12" fmla="*/ 68205 w 200025"/>
                  <a:gd name="connsiteY12" fmla="*/ 4484322 h 4494217"/>
                  <a:gd name="connsiteX13" fmla="*/ 10990 w 200025"/>
                  <a:gd name="connsiteY13" fmla="*/ 4494217 h 4494217"/>
                  <a:gd name="connsiteX14" fmla="*/ 0 w 200025"/>
                  <a:gd name="connsiteY14" fmla="*/ 0 h 4494217"/>
                  <a:gd name="connsiteX15" fmla="*/ 57150 w 200025"/>
                  <a:gd name="connsiteY15" fmla="*/ 0 h 4494217"/>
                  <a:gd name="connsiteX0" fmla="*/ 57150 w 200025"/>
                  <a:gd name="connsiteY0" fmla="*/ 0 h 4494217"/>
                  <a:gd name="connsiteX1" fmla="*/ 57150 w 200025"/>
                  <a:gd name="connsiteY1" fmla="*/ 266700 h 4494217"/>
                  <a:gd name="connsiteX2" fmla="*/ 76200 w 200025"/>
                  <a:gd name="connsiteY2" fmla="*/ 304800 h 4494217"/>
                  <a:gd name="connsiteX3" fmla="*/ 114300 w 200025"/>
                  <a:gd name="connsiteY3" fmla="*/ 352425 h 4494217"/>
                  <a:gd name="connsiteX4" fmla="*/ 152400 w 200025"/>
                  <a:gd name="connsiteY4" fmla="*/ 371475 h 4494217"/>
                  <a:gd name="connsiteX5" fmla="*/ 180975 w 200025"/>
                  <a:gd name="connsiteY5" fmla="*/ 409575 h 4494217"/>
                  <a:gd name="connsiteX6" fmla="*/ 200025 w 200025"/>
                  <a:gd name="connsiteY6" fmla="*/ 485775 h 4494217"/>
                  <a:gd name="connsiteX7" fmla="*/ 200025 w 200025"/>
                  <a:gd name="connsiteY7" fmla="*/ 3971925 h 4494217"/>
                  <a:gd name="connsiteX8" fmla="*/ 183593 w 200025"/>
                  <a:gd name="connsiteY8" fmla="*/ 4068985 h 4494217"/>
                  <a:gd name="connsiteX9" fmla="*/ 148378 w 200025"/>
                  <a:gd name="connsiteY9" fmla="*/ 4114553 h 4494217"/>
                  <a:gd name="connsiteX10" fmla="*/ 104775 w 200025"/>
                  <a:gd name="connsiteY10" fmla="*/ 4144946 h 4494217"/>
                  <a:gd name="connsiteX11" fmla="*/ 71911 w 200025"/>
                  <a:gd name="connsiteY11" fmla="*/ 4200525 h 4494217"/>
                  <a:gd name="connsiteX12" fmla="*/ 68205 w 200025"/>
                  <a:gd name="connsiteY12" fmla="*/ 4484322 h 4494217"/>
                  <a:gd name="connsiteX13" fmla="*/ 10990 w 200025"/>
                  <a:gd name="connsiteY13" fmla="*/ 4494217 h 4494217"/>
                  <a:gd name="connsiteX14" fmla="*/ 0 w 200025"/>
                  <a:gd name="connsiteY14" fmla="*/ 0 h 4494217"/>
                  <a:gd name="connsiteX15" fmla="*/ 57150 w 200025"/>
                  <a:gd name="connsiteY15" fmla="*/ 0 h 4494217"/>
                  <a:gd name="connsiteX0" fmla="*/ 66176 w 209051"/>
                  <a:gd name="connsiteY0" fmla="*/ 0 h 4506182"/>
                  <a:gd name="connsiteX1" fmla="*/ 66176 w 209051"/>
                  <a:gd name="connsiteY1" fmla="*/ 266700 h 4506182"/>
                  <a:gd name="connsiteX2" fmla="*/ 85226 w 209051"/>
                  <a:gd name="connsiteY2" fmla="*/ 304800 h 4506182"/>
                  <a:gd name="connsiteX3" fmla="*/ 123326 w 209051"/>
                  <a:gd name="connsiteY3" fmla="*/ 352425 h 4506182"/>
                  <a:gd name="connsiteX4" fmla="*/ 161426 w 209051"/>
                  <a:gd name="connsiteY4" fmla="*/ 371475 h 4506182"/>
                  <a:gd name="connsiteX5" fmla="*/ 190001 w 209051"/>
                  <a:gd name="connsiteY5" fmla="*/ 409575 h 4506182"/>
                  <a:gd name="connsiteX6" fmla="*/ 209051 w 209051"/>
                  <a:gd name="connsiteY6" fmla="*/ 485775 h 4506182"/>
                  <a:gd name="connsiteX7" fmla="*/ 209051 w 209051"/>
                  <a:gd name="connsiteY7" fmla="*/ 3971925 h 4506182"/>
                  <a:gd name="connsiteX8" fmla="*/ 192619 w 209051"/>
                  <a:gd name="connsiteY8" fmla="*/ 4068985 h 4506182"/>
                  <a:gd name="connsiteX9" fmla="*/ 157404 w 209051"/>
                  <a:gd name="connsiteY9" fmla="*/ 4114553 h 4506182"/>
                  <a:gd name="connsiteX10" fmla="*/ 113801 w 209051"/>
                  <a:gd name="connsiteY10" fmla="*/ 4144946 h 4506182"/>
                  <a:gd name="connsiteX11" fmla="*/ 80937 w 209051"/>
                  <a:gd name="connsiteY11" fmla="*/ 4200525 h 4506182"/>
                  <a:gd name="connsiteX12" fmla="*/ 77231 w 209051"/>
                  <a:gd name="connsiteY12" fmla="*/ 4484322 h 4506182"/>
                  <a:gd name="connsiteX13" fmla="*/ 555 w 209051"/>
                  <a:gd name="connsiteY13" fmla="*/ 4488095 h 4506182"/>
                  <a:gd name="connsiteX14" fmla="*/ 9026 w 209051"/>
                  <a:gd name="connsiteY14" fmla="*/ 0 h 4506182"/>
                  <a:gd name="connsiteX15" fmla="*/ 66176 w 209051"/>
                  <a:gd name="connsiteY15" fmla="*/ 0 h 4506182"/>
                  <a:gd name="connsiteX0" fmla="*/ 70875 w 213750"/>
                  <a:gd name="connsiteY0" fmla="*/ 0 h 4506182"/>
                  <a:gd name="connsiteX1" fmla="*/ 70875 w 213750"/>
                  <a:gd name="connsiteY1" fmla="*/ 266700 h 4506182"/>
                  <a:gd name="connsiteX2" fmla="*/ 89925 w 213750"/>
                  <a:gd name="connsiteY2" fmla="*/ 304800 h 4506182"/>
                  <a:gd name="connsiteX3" fmla="*/ 128025 w 213750"/>
                  <a:gd name="connsiteY3" fmla="*/ 352425 h 4506182"/>
                  <a:gd name="connsiteX4" fmla="*/ 166125 w 213750"/>
                  <a:gd name="connsiteY4" fmla="*/ 371475 h 4506182"/>
                  <a:gd name="connsiteX5" fmla="*/ 194700 w 213750"/>
                  <a:gd name="connsiteY5" fmla="*/ 409575 h 4506182"/>
                  <a:gd name="connsiteX6" fmla="*/ 213750 w 213750"/>
                  <a:gd name="connsiteY6" fmla="*/ 485775 h 4506182"/>
                  <a:gd name="connsiteX7" fmla="*/ 213750 w 213750"/>
                  <a:gd name="connsiteY7" fmla="*/ 3971925 h 4506182"/>
                  <a:gd name="connsiteX8" fmla="*/ 197318 w 213750"/>
                  <a:gd name="connsiteY8" fmla="*/ 4068985 h 4506182"/>
                  <a:gd name="connsiteX9" fmla="*/ 162103 w 213750"/>
                  <a:gd name="connsiteY9" fmla="*/ 4114553 h 4506182"/>
                  <a:gd name="connsiteX10" fmla="*/ 118500 w 213750"/>
                  <a:gd name="connsiteY10" fmla="*/ 4144946 h 4506182"/>
                  <a:gd name="connsiteX11" fmla="*/ 85636 w 213750"/>
                  <a:gd name="connsiteY11" fmla="*/ 4200525 h 4506182"/>
                  <a:gd name="connsiteX12" fmla="*/ 81930 w 213750"/>
                  <a:gd name="connsiteY12" fmla="*/ 4484322 h 4506182"/>
                  <a:gd name="connsiteX13" fmla="*/ 5254 w 213750"/>
                  <a:gd name="connsiteY13" fmla="*/ 4488095 h 4506182"/>
                  <a:gd name="connsiteX14" fmla="*/ 0 w 213750"/>
                  <a:gd name="connsiteY14" fmla="*/ 0 h 4506182"/>
                  <a:gd name="connsiteX15" fmla="*/ 70875 w 213750"/>
                  <a:gd name="connsiteY15" fmla="*/ 0 h 4506182"/>
                  <a:gd name="connsiteX0" fmla="*/ 70875 w 213750"/>
                  <a:gd name="connsiteY0" fmla="*/ 159408 h 4506182"/>
                  <a:gd name="connsiteX1" fmla="*/ 70875 w 213750"/>
                  <a:gd name="connsiteY1" fmla="*/ 266700 h 4506182"/>
                  <a:gd name="connsiteX2" fmla="*/ 89925 w 213750"/>
                  <a:gd name="connsiteY2" fmla="*/ 304800 h 4506182"/>
                  <a:gd name="connsiteX3" fmla="*/ 128025 w 213750"/>
                  <a:gd name="connsiteY3" fmla="*/ 352425 h 4506182"/>
                  <a:gd name="connsiteX4" fmla="*/ 166125 w 213750"/>
                  <a:gd name="connsiteY4" fmla="*/ 371475 h 4506182"/>
                  <a:gd name="connsiteX5" fmla="*/ 194700 w 213750"/>
                  <a:gd name="connsiteY5" fmla="*/ 409575 h 4506182"/>
                  <a:gd name="connsiteX6" fmla="*/ 213750 w 213750"/>
                  <a:gd name="connsiteY6" fmla="*/ 485775 h 4506182"/>
                  <a:gd name="connsiteX7" fmla="*/ 213750 w 213750"/>
                  <a:gd name="connsiteY7" fmla="*/ 3971925 h 4506182"/>
                  <a:gd name="connsiteX8" fmla="*/ 197318 w 213750"/>
                  <a:gd name="connsiteY8" fmla="*/ 4068985 h 4506182"/>
                  <a:gd name="connsiteX9" fmla="*/ 162103 w 213750"/>
                  <a:gd name="connsiteY9" fmla="*/ 4114553 h 4506182"/>
                  <a:gd name="connsiteX10" fmla="*/ 118500 w 213750"/>
                  <a:gd name="connsiteY10" fmla="*/ 4144946 h 4506182"/>
                  <a:gd name="connsiteX11" fmla="*/ 85636 w 213750"/>
                  <a:gd name="connsiteY11" fmla="*/ 4200525 h 4506182"/>
                  <a:gd name="connsiteX12" fmla="*/ 81930 w 213750"/>
                  <a:gd name="connsiteY12" fmla="*/ 4484322 h 4506182"/>
                  <a:gd name="connsiteX13" fmla="*/ 5254 w 213750"/>
                  <a:gd name="connsiteY13" fmla="*/ 4488095 h 4506182"/>
                  <a:gd name="connsiteX14" fmla="*/ 0 w 213750"/>
                  <a:gd name="connsiteY14" fmla="*/ 0 h 4506182"/>
                  <a:gd name="connsiteX15" fmla="*/ 70875 w 213750"/>
                  <a:gd name="connsiteY15" fmla="*/ 159408 h 4506182"/>
                  <a:gd name="connsiteX0" fmla="*/ 70875 w 213750"/>
                  <a:gd name="connsiteY0" fmla="*/ 18393 h 4365167"/>
                  <a:gd name="connsiteX1" fmla="*/ 70875 w 213750"/>
                  <a:gd name="connsiteY1" fmla="*/ 125685 h 4365167"/>
                  <a:gd name="connsiteX2" fmla="*/ 89925 w 213750"/>
                  <a:gd name="connsiteY2" fmla="*/ 163785 h 4365167"/>
                  <a:gd name="connsiteX3" fmla="*/ 128025 w 213750"/>
                  <a:gd name="connsiteY3" fmla="*/ 211410 h 4365167"/>
                  <a:gd name="connsiteX4" fmla="*/ 166125 w 213750"/>
                  <a:gd name="connsiteY4" fmla="*/ 230460 h 4365167"/>
                  <a:gd name="connsiteX5" fmla="*/ 194700 w 213750"/>
                  <a:gd name="connsiteY5" fmla="*/ 268560 h 4365167"/>
                  <a:gd name="connsiteX6" fmla="*/ 213750 w 213750"/>
                  <a:gd name="connsiteY6" fmla="*/ 344760 h 4365167"/>
                  <a:gd name="connsiteX7" fmla="*/ 213750 w 213750"/>
                  <a:gd name="connsiteY7" fmla="*/ 3830910 h 4365167"/>
                  <a:gd name="connsiteX8" fmla="*/ 197318 w 213750"/>
                  <a:gd name="connsiteY8" fmla="*/ 3927970 h 4365167"/>
                  <a:gd name="connsiteX9" fmla="*/ 162103 w 213750"/>
                  <a:gd name="connsiteY9" fmla="*/ 3973538 h 4365167"/>
                  <a:gd name="connsiteX10" fmla="*/ 118500 w 213750"/>
                  <a:gd name="connsiteY10" fmla="*/ 4003931 h 4365167"/>
                  <a:gd name="connsiteX11" fmla="*/ 85636 w 213750"/>
                  <a:gd name="connsiteY11" fmla="*/ 4059510 h 4365167"/>
                  <a:gd name="connsiteX12" fmla="*/ 81930 w 213750"/>
                  <a:gd name="connsiteY12" fmla="*/ 4343307 h 4365167"/>
                  <a:gd name="connsiteX13" fmla="*/ 5254 w 213750"/>
                  <a:gd name="connsiteY13" fmla="*/ 4347080 h 4365167"/>
                  <a:gd name="connsiteX14" fmla="*/ 0 w 213750"/>
                  <a:gd name="connsiteY14" fmla="*/ 0 h 4365167"/>
                  <a:gd name="connsiteX15" fmla="*/ 70875 w 213750"/>
                  <a:gd name="connsiteY15" fmla="*/ 18393 h 4365167"/>
                  <a:gd name="connsiteX0" fmla="*/ 70875 w 213750"/>
                  <a:gd name="connsiteY0" fmla="*/ 0 h 4371298"/>
                  <a:gd name="connsiteX1" fmla="*/ 70875 w 213750"/>
                  <a:gd name="connsiteY1" fmla="*/ 131816 h 4371298"/>
                  <a:gd name="connsiteX2" fmla="*/ 89925 w 213750"/>
                  <a:gd name="connsiteY2" fmla="*/ 169916 h 4371298"/>
                  <a:gd name="connsiteX3" fmla="*/ 128025 w 213750"/>
                  <a:gd name="connsiteY3" fmla="*/ 217541 h 4371298"/>
                  <a:gd name="connsiteX4" fmla="*/ 166125 w 213750"/>
                  <a:gd name="connsiteY4" fmla="*/ 236591 h 4371298"/>
                  <a:gd name="connsiteX5" fmla="*/ 194700 w 213750"/>
                  <a:gd name="connsiteY5" fmla="*/ 274691 h 4371298"/>
                  <a:gd name="connsiteX6" fmla="*/ 213750 w 213750"/>
                  <a:gd name="connsiteY6" fmla="*/ 350891 h 4371298"/>
                  <a:gd name="connsiteX7" fmla="*/ 213750 w 213750"/>
                  <a:gd name="connsiteY7" fmla="*/ 3837041 h 4371298"/>
                  <a:gd name="connsiteX8" fmla="*/ 197318 w 213750"/>
                  <a:gd name="connsiteY8" fmla="*/ 3934101 h 4371298"/>
                  <a:gd name="connsiteX9" fmla="*/ 162103 w 213750"/>
                  <a:gd name="connsiteY9" fmla="*/ 3979669 h 4371298"/>
                  <a:gd name="connsiteX10" fmla="*/ 118500 w 213750"/>
                  <a:gd name="connsiteY10" fmla="*/ 4010062 h 4371298"/>
                  <a:gd name="connsiteX11" fmla="*/ 85636 w 213750"/>
                  <a:gd name="connsiteY11" fmla="*/ 4065641 h 4371298"/>
                  <a:gd name="connsiteX12" fmla="*/ 81930 w 213750"/>
                  <a:gd name="connsiteY12" fmla="*/ 4349438 h 4371298"/>
                  <a:gd name="connsiteX13" fmla="*/ 5254 w 213750"/>
                  <a:gd name="connsiteY13" fmla="*/ 4353211 h 4371298"/>
                  <a:gd name="connsiteX14" fmla="*/ 0 w 213750"/>
                  <a:gd name="connsiteY14" fmla="*/ 6131 h 4371298"/>
                  <a:gd name="connsiteX15" fmla="*/ 70875 w 213750"/>
                  <a:gd name="connsiteY15" fmla="*/ 0 h 4371298"/>
                  <a:gd name="connsiteX0" fmla="*/ 70875 w 213750"/>
                  <a:gd name="connsiteY0" fmla="*/ 6131 h 4365167"/>
                  <a:gd name="connsiteX1" fmla="*/ 70875 w 213750"/>
                  <a:gd name="connsiteY1" fmla="*/ 125685 h 4365167"/>
                  <a:gd name="connsiteX2" fmla="*/ 89925 w 213750"/>
                  <a:gd name="connsiteY2" fmla="*/ 163785 h 4365167"/>
                  <a:gd name="connsiteX3" fmla="*/ 128025 w 213750"/>
                  <a:gd name="connsiteY3" fmla="*/ 211410 h 4365167"/>
                  <a:gd name="connsiteX4" fmla="*/ 166125 w 213750"/>
                  <a:gd name="connsiteY4" fmla="*/ 230460 h 4365167"/>
                  <a:gd name="connsiteX5" fmla="*/ 194700 w 213750"/>
                  <a:gd name="connsiteY5" fmla="*/ 268560 h 4365167"/>
                  <a:gd name="connsiteX6" fmla="*/ 213750 w 213750"/>
                  <a:gd name="connsiteY6" fmla="*/ 344760 h 4365167"/>
                  <a:gd name="connsiteX7" fmla="*/ 213750 w 213750"/>
                  <a:gd name="connsiteY7" fmla="*/ 3830910 h 4365167"/>
                  <a:gd name="connsiteX8" fmla="*/ 197318 w 213750"/>
                  <a:gd name="connsiteY8" fmla="*/ 3927970 h 4365167"/>
                  <a:gd name="connsiteX9" fmla="*/ 162103 w 213750"/>
                  <a:gd name="connsiteY9" fmla="*/ 3973538 h 4365167"/>
                  <a:gd name="connsiteX10" fmla="*/ 118500 w 213750"/>
                  <a:gd name="connsiteY10" fmla="*/ 4003931 h 4365167"/>
                  <a:gd name="connsiteX11" fmla="*/ 85636 w 213750"/>
                  <a:gd name="connsiteY11" fmla="*/ 4059510 h 4365167"/>
                  <a:gd name="connsiteX12" fmla="*/ 81930 w 213750"/>
                  <a:gd name="connsiteY12" fmla="*/ 4343307 h 4365167"/>
                  <a:gd name="connsiteX13" fmla="*/ 5254 w 213750"/>
                  <a:gd name="connsiteY13" fmla="*/ 4347080 h 4365167"/>
                  <a:gd name="connsiteX14" fmla="*/ 0 w 213750"/>
                  <a:gd name="connsiteY14" fmla="*/ 0 h 4365167"/>
                  <a:gd name="connsiteX15" fmla="*/ 70875 w 213750"/>
                  <a:gd name="connsiteY15" fmla="*/ 6131 h 4365167"/>
                  <a:gd name="connsiteX0" fmla="*/ 70875 w 213750"/>
                  <a:gd name="connsiteY0" fmla="*/ 6131 h 4347080"/>
                  <a:gd name="connsiteX1" fmla="*/ 70875 w 213750"/>
                  <a:gd name="connsiteY1" fmla="*/ 125685 h 4347080"/>
                  <a:gd name="connsiteX2" fmla="*/ 89925 w 213750"/>
                  <a:gd name="connsiteY2" fmla="*/ 163785 h 4347080"/>
                  <a:gd name="connsiteX3" fmla="*/ 128025 w 213750"/>
                  <a:gd name="connsiteY3" fmla="*/ 211410 h 4347080"/>
                  <a:gd name="connsiteX4" fmla="*/ 166125 w 213750"/>
                  <a:gd name="connsiteY4" fmla="*/ 230460 h 4347080"/>
                  <a:gd name="connsiteX5" fmla="*/ 194700 w 213750"/>
                  <a:gd name="connsiteY5" fmla="*/ 268560 h 4347080"/>
                  <a:gd name="connsiteX6" fmla="*/ 213750 w 213750"/>
                  <a:gd name="connsiteY6" fmla="*/ 344760 h 4347080"/>
                  <a:gd name="connsiteX7" fmla="*/ 213750 w 213750"/>
                  <a:gd name="connsiteY7" fmla="*/ 3830910 h 4347080"/>
                  <a:gd name="connsiteX8" fmla="*/ 197318 w 213750"/>
                  <a:gd name="connsiteY8" fmla="*/ 3927970 h 4347080"/>
                  <a:gd name="connsiteX9" fmla="*/ 162103 w 213750"/>
                  <a:gd name="connsiteY9" fmla="*/ 3973538 h 4347080"/>
                  <a:gd name="connsiteX10" fmla="*/ 118500 w 213750"/>
                  <a:gd name="connsiteY10" fmla="*/ 4003931 h 4347080"/>
                  <a:gd name="connsiteX11" fmla="*/ 85636 w 213750"/>
                  <a:gd name="connsiteY11" fmla="*/ 4059510 h 4347080"/>
                  <a:gd name="connsiteX12" fmla="*/ 75066 w 213750"/>
                  <a:gd name="connsiteY12" fmla="*/ 4177767 h 4347080"/>
                  <a:gd name="connsiteX13" fmla="*/ 5254 w 213750"/>
                  <a:gd name="connsiteY13" fmla="*/ 4347080 h 4347080"/>
                  <a:gd name="connsiteX14" fmla="*/ 0 w 213750"/>
                  <a:gd name="connsiteY14" fmla="*/ 0 h 4347080"/>
                  <a:gd name="connsiteX15" fmla="*/ 70875 w 213750"/>
                  <a:gd name="connsiteY15" fmla="*/ 6131 h 4347080"/>
                  <a:gd name="connsiteX0" fmla="*/ 70875 w 213750"/>
                  <a:gd name="connsiteY0" fmla="*/ 6131 h 4187390"/>
                  <a:gd name="connsiteX1" fmla="*/ 70875 w 213750"/>
                  <a:gd name="connsiteY1" fmla="*/ 125685 h 4187390"/>
                  <a:gd name="connsiteX2" fmla="*/ 89925 w 213750"/>
                  <a:gd name="connsiteY2" fmla="*/ 163785 h 4187390"/>
                  <a:gd name="connsiteX3" fmla="*/ 128025 w 213750"/>
                  <a:gd name="connsiteY3" fmla="*/ 211410 h 4187390"/>
                  <a:gd name="connsiteX4" fmla="*/ 166125 w 213750"/>
                  <a:gd name="connsiteY4" fmla="*/ 230460 h 4187390"/>
                  <a:gd name="connsiteX5" fmla="*/ 194700 w 213750"/>
                  <a:gd name="connsiteY5" fmla="*/ 268560 h 4187390"/>
                  <a:gd name="connsiteX6" fmla="*/ 213750 w 213750"/>
                  <a:gd name="connsiteY6" fmla="*/ 344760 h 4187390"/>
                  <a:gd name="connsiteX7" fmla="*/ 213750 w 213750"/>
                  <a:gd name="connsiteY7" fmla="*/ 3830910 h 4187390"/>
                  <a:gd name="connsiteX8" fmla="*/ 197318 w 213750"/>
                  <a:gd name="connsiteY8" fmla="*/ 3927970 h 4187390"/>
                  <a:gd name="connsiteX9" fmla="*/ 162103 w 213750"/>
                  <a:gd name="connsiteY9" fmla="*/ 3973538 h 4187390"/>
                  <a:gd name="connsiteX10" fmla="*/ 118500 w 213750"/>
                  <a:gd name="connsiteY10" fmla="*/ 4003931 h 4187390"/>
                  <a:gd name="connsiteX11" fmla="*/ 85636 w 213750"/>
                  <a:gd name="connsiteY11" fmla="*/ 4059510 h 4187390"/>
                  <a:gd name="connsiteX12" fmla="*/ 75066 w 213750"/>
                  <a:gd name="connsiteY12" fmla="*/ 4177767 h 4187390"/>
                  <a:gd name="connsiteX13" fmla="*/ 5254 w 213750"/>
                  <a:gd name="connsiteY13" fmla="*/ 4181540 h 4187390"/>
                  <a:gd name="connsiteX14" fmla="*/ 0 w 213750"/>
                  <a:gd name="connsiteY14" fmla="*/ 0 h 4187390"/>
                  <a:gd name="connsiteX15" fmla="*/ 70875 w 213750"/>
                  <a:gd name="connsiteY15" fmla="*/ 6131 h 4187390"/>
                  <a:gd name="connsiteX0" fmla="*/ 70875 w 213750"/>
                  <a:gd name="connsiteY0" fmla="*/ 6131 h 4227397"/>
                  <a:gd name="connsiteX1" fmla="*/ 70875 w 213750"/>
                  <a:gd name="connsiteY1" fmla="*/ 125685 h 4227397"/>
                  <a:gd name="connsiteX2" fmla="*/ 89925 w 213750"/>
                  <a:gd name="connsiteY2" fmla="*/ 163785 h 4227397"/>
                  <a:gd name="connsiteX3" fmla="*/ 128025 w 213750"/>
                  <a:gd name="connsiteY3" fmla="*/ 211410 h 4227397"/>
                  <a:gd name="connsiteX4" fmla="*/ 166125 w 213750"/>
                  <a:gd name="connsiteY4" fmla="*/ 230460 h 4227397"/>
                  <a:gd name="connsiteX5" fmla="*/ 194700 w 213750"/>
                  <a:gd name="connsiteY5" fmla="*/ 268560 h 4227397"/>
                  <a:gd name="connsiteX6" fmla="*/ 213750 w 213750"/>
                  <a:gd name="connsiteY6" fmla="*/ 344760 h 4227397"/>
                  <a:gd name="connsiteX7" fmla="*/ 213750 w 213750"/>
                  <a:gd name="connsiteY7" fmla="*/ 3830910 h 4227397"/>
                  <a:gd name="connsiteX8" fmla="*/ 197318 w 213750"/>
                  <a:gd name="connsiteY8" fmla="*/ 3927970 h 4227397"/>
                  <a:gd name="connsiteX9" fmla="*/ 162103 w 213750"/>
                  <a:gd name="connsiteY9" fmla="*/ 3973538 h 4227397"/>
                  <a:gd name="connsiteX10" fmla="*/ 118500 w 213750"/>
                  <a:gd name="connsiteY10" fmla="*/ 4003931 h 4227397"/>
                  <a:gd name="connsiteX11" fmla="*/ 85636 w 213750"/>
                  <a:gd name="connsiteY11" fmla="*/ 4059510 h 4227397"/>
                  <a:gd name="connsiteX12" fmla="*/ 72698 w 213750"/>
                  <a:gd name="connsiteY12" fmla="*/ 4223410 h 4227397"/>
                  <a:gd name="connsiteX13" fmla="*/ 5254 w 213750"/>
                  <a:gd name="connsiteY13" fmla="*/ 4181540 h 4227397"/>
                  <a:gd name="connsiteX14" fmla="*/ 0 w 213750"/>
                  <a:gd name="connsiteY14" fmla="*/ 0 h 4227397"/>
                  <a:gd name="connsiteX15" fmla="*/ 70875 w 213750"/>
                  <a:gd name="connsiteY15" fmla="*/ 6131 h 4227397"/>
                  <a:gd name="connsiteX0" fmla="*/ 70875 w 213750"/>
                  <a:gd name="connsiteY0" fmla="*/ 6131 h 4235680"/>
                  <a:gd name="connsiteX1" fmla="*/ 70875 w 213750"/>
                  <a:gd name="connsiteY1" fmla="*/ 125685 h 4235680"/>
                  <a:gd name="connsiteX2" fmla="*/ 89925 w 213750"/>
                  <a:gd name="connsiteY2" fmla="*/ 163785 h 4235680"/>
                  <a:gd name="connsiteX3" fmla="*/ 128025 w 213750"/>
                  <a:gd name="connsiteY3" fmla="*/ 211410 h 4235680"/>
                  <a:gd name="connsiteX4" fmla="*/ 166125 w 213750"/>
                  <a:gd name="connsiteY4" fmla="*/ 230460 h 4235680"/>
                  <a:gd name="connsiteX5" fmla="*/ 194700 w 213750"/>
                  <a:gd name="connsiteY5" fmla="*/ 268560 h 4235680"/>
                  <a:gd name="connsiteX6" fmla="*/ 213750 w 213750"/>
                  <a:gd name="connsiteY6" fmla="*/ 344760 h 4235680"/>
                  <a:gd name="connsiteX7" fmla="*/ 213750 w 213750"/>
                  <a:gd name="connsiteY7" fmla="*/ 3830910 h 4235680"/>
                  <a:gd name="connsiteX8" fmla="*/ 197318 w 213750"/>
                  <a:gd name="connsiteY8" fmla="*/ 3927970 h 4235680"/>
                  <a:gd name="connsiteX9" fmla="*/ 162103 w 213750"/>
                  <a:gd name="connsiteY9" fmla="*/ 3973538 h 4235680"/>
                  <a:gd name="connsiteX10" fmla="*/ 118500 w 213750"/>
                  <a:gd name="connsiteY10" fmla="*/ 4003931 h 4235680"/>
                  <a:gd name="connsiteX11" fmla="*/ 85636 w 213750"/>
                  <a:gd name="connsiteY11" fmla="*/ 4059510 h 4235680"/>
                  <a:gd name="connsiteX12" fmla="*/ 72698 w 213750"/>
                  <a:gd name="connsiteY12" fmla="*/ 4223410 h 4235680"/>
                  <a:gd name="connsiteX13" fmla="*/ 5254 w 213750"/>
                  <a:gd name="connsiteY13" fmla="*/ 4225109 h 4235680"/>
                  <a:gd name="connsiteX14" fmla="*/ 0 w 213750"/>
                  <a:gd name="connsiteY14" fmla="*/ 0 h 4235680"/>
                  <a:gd name="connsiteX15" fmla="*/ 70875 w 213750"/>
                  <a:gd name="connsiteY15" fmla="*/ 6131 h 4235680"/>
                  <a:gd name="connsiteX0" fmla="*/ 70875 w 213750"/>
                  <a:gd name="connsiteY0" fmla="*/ 6131 h 4227615"/>
                  <a:gd name="connsiteX1" fmla="*/ 70875 w 213750"/>
                  <a:gd name="connsiteY1" fmla="*/ 125685 h 4227615"/>
                  <a:gd name="connsiteX2" fmla="*/ 89925 w 213750"/>
                  <a:gd name="connsiteY2" fmla="*/ 163785 h 4227615"/>
                  <a:gd name="connsiteX3" fmla="*/ 128025 w 213750"/>
                  <a:gd name="connsiteY3" fmla="*/ 211410 h 4227615"/>
                  <a:gd name="connsiteX4" fmla="*/ 166125 w 213750"/>
                  <a:gd name="connsiteY4" fmla="*/ 230460 h 4227615"/>
                  <a:gd name="connsiteX5" fmla="*/ 194700 w 213750"/>
                  <a:gd name="connsiteY5" fmla="*/ 268560 h 4227615"/>
                  <a:gd name="connsiteX6" fmla="*/ 213750 w 213750"/>
                  <a:gd name="connsiteY6" fmla="*/ 344760 h 4227615"/>
                  <a:gd name="connsiteX7" fmla="*/ 213750 w 213750"/>
                  <a:gd name="connsiteY7" fmla="*/ 3830910 h 4227615"/>
                  <a:gd name="connsiteX8" fmla="*/ 197318 w 213750"/>
                  <a:gd name="connsiteY8" fmla="*/ 3927970 h 4227615"/>
                  <a:gd name="connsiteX9" fmla="*/ 162103 w 213750"/>
                  <a:gd name="connsiteY9" fmla="*/ 3973538 h 4227615"/>
                  <a:gd name="connsiteX10" fmla="*/ 118500 w 213750"/>
                  <a:gd name="connsiteY10" fmla="*/ 4003931 h 4227615"/>
                  <a:gd name="connsiteX11" fmla="*/ 85636 w 213750"/>
                  <a:gd name="connsiteY11" fmla="*/ 4059510 h 4227615"/>
                  <a:gd name="connsiteX12" fmla="*/ 72698 w 213750"/>
                  <a:gd name="connsiteY12" fmla="*/ 4223410 h 4227615"/>
                  <a:gd name="connsiteX13" fmla="*/ 5254 w 213750"/>
                  <a:gd name="connsiteY13" fmla="*/ 4183615 h 4227615"/>
                  <a:gd name="connsiteX14" fmla="*/ 0 w 213750"/>
                  <a:gd name="connsiteY14" fmla="*/ 0 h 4227615"/>
                  <a:gd name="connsiteX15" fmla="*/ 70875 w 213750"/>
                  <a:gd name="connsiteY15" fmla="*/ 6131 h 4227615"/>
                  <a:gd name="connsiteX0" fmla="*/ 70875 w 213750"/>
                  <a:gd name="connsiteY0" fmla="*/ 6131 h 4197649"/>
                  <a:gd name="connsiteX1" fmla="*/ 70875 w 213750"/>
                  <a:gd name="connsiteY1" fmla="*/ 125685 h 4197649"/>
                  <a:gd name="connsiteX2" fmla="*/ 89925 w 213750"/>
                  <a:gd name="connsiteY2" fmla="*/ 163785 h 4197649"/>
                  <a:gd name="connsiteX3" fmla="*/ 128025 w 213750"/>
                  <a:gd name="connsiteY3" fmla="*/ 211410 h 4197649"/>
                  <a:gd name="connsiteX4" fmla="*/ 166125 w 213750"/>
                  <a:gd name="connsiteY4" fmla="*/ 230460 h 4197649"/>
                  <a:gd name="connsiteX5" fmla="*/ 194700 w 213750"/>
                  <a:gd name="connsiteY5" fmla="*/ 268560 h 4197649"/>
                  <a:gd name="connsiteX6" fmla="*/ 213750 w 213750"/>
                  <a:gd name="connsiteY6" fmla="*/ 344760 h 4197649"/>
                  <a:gd name="connsiteX7" fmla="*/ 213750 w 213750"/>
                  <a:gd name="connsiteY7" fmla="*/ 3830910 h 4197649"/>
                  <a:gd name="connsiteX8" fmla="*/ 197318 w 213750"/>
                  <a:gd name="connsiteY8" fmla="*/ 3927970 h 4197649"/>
                  <a:gd name="connsiteX9" fmla="*/ 162103 w 213750"/>
                  <a:gd name="connsiteY9" fmla="*/ 3973538 h 4197649"/>
                  <a:gd name="connsiteX10" fmla="*/ 118500 w 213750"/>
                  <a:gd name="connsiteY10" fmla="*/ 4003931 h 4197649"/>
                  <a:gd name="connsiteX11" fmla="*/ 85636 w 213750"/>
                  <a:gd name="connsiteY11" fmla="*/ 4059510 h 4197649"/>
                  <a:gd name="connsiteX12" fmla="*/ 63228 w 213750"/>
                  <a:gd name="connsiteY12" fmla="*/ 4190215 h 4197649"/>
                  <a:gd name="connsiteX13" fmla="*/ 5254 w 213750"/>
                  <a:gd name="connsiteY13" fmla="*/ 4183615 h 4197649"/>
                  <a:gd name="connsiteX14" fmla="*/ 0 w 213750"/>
                  <a:gd name="connsiteY14" fmla="*/ 0 h 4197649"/>
                  <a:gd name="connsiteX15" fmla="*/ 70875 w 213750"/>
                  <a:gd name="connsiteY15" fmla="*/ 6131 h 4197649"/>
                  <a:gd name="connsiteX0" fmla="*/ 70875 w 213750"/>
                  <a:gd name="connsiteY0" fmla="*/ 6131 h 4191114"/>
                  <a:gd name="connsiteX1" fmla="*/ 70875 w 213750"/>
                  <a:gd name="connsiteY1" fmla="*/ 125685 h 4191114"/>
                  <a:gd name="connsiteX2" fmla="*/ 89925 w 213750"/>
                  <a:gd name="connsiteY2" fmla="*/ 163785 h 4191114"/>
                  <a:gd name="connsiteX3" fmla="*/ 128025 w 213750"/>
                  <a:gd name="connsiteY3" fmla="*/ 211410 h 4191114"/>
                  <a:gd name="connsiteX4" fmla="*/ 166125 w 213750"/>
                  <a:gd name="connsiteY4" fmla="*/ 230460 h 4191114"/>
                  <a:gd name="connsiteX5" fmla="*/ 194700 w 213750"/>
                  <a:gd name="connsiteY5" fmla="*/ 268560 h 4191114"/>
                  <a:gd name="connsiteX6" fmla="*/ 213750 w 213750"/>
                  <a:gd name="connsiteY6" fmla="*/ 344760 h 4191114"/>
                  <a:gd name="connsiteX7" fmla="*/ 213750 w 213750"/>
                  <a:gd name="connsiteY7" fmla="*/ 3830910 h 4191114"/>
                  <a:gd name="connsiteX8" fmla="*/ 197318 w 213750"/>
                  <a:gd name="connsiteY8" fmla="*/ 3927970 h 4191114"/>
                  <a:gd name="connsiteX9" fmla="*/ 162103 w 213750"/>
                  <a:gd name="connsiteY9" fmla="*/ 3973538 h 4191114"/>
                  <a:gd name="connsiteX10" fmla="*/ 118500 w 213750"/>
                  <a:gd name="connsiteY10" fmla="*/ 4003931 h 4191114"/>
                  <a:gd name="connsiteX11" fmla="*/ 85636 w 213750"/>
                  <a:gd name="connsiteY11" fmla="*/ 4059510 h 4191114"/>
                  <a:gd name="connsiteX12" fmla="*/ 101111 w 213750"/>
                  <a:gd name="connsiteY12" fmla="*/ 4181917 h 4191114"/>
                  <a:gd name="connsiteX13" fmla="*/ 5254 w 213750"/>
                  <a:gd name="connsiteY13" fmla="*/ 4183615 h 4191114"/>
                  <a:gd name="connsiteX14" fmla="*/ 0 w 213750"/>
                  <a:gd name="connsiteY14" fmla="*/ 0 h 4191114"/>
                  <a:gd name="connsiteX15" fmla="*/ 70875 w 213750"/>
                  <a:gd name="connsiteY15" fmla="*/ 6131 h 4191114"/>
                  <a:gd name="connsiteX0" fmla="*/ 70875 w 213750"/>
                  <a:gd name="connsiteY0" fmla="*/ 6131 h 4199792"/>
                  <a:gd name="connsiteX1" fmla="*/ 70875 w 213750"/>
                  <a:gd name="connsiteY1" fmla="*/ 125685 h 4199792"/>
                  <a:gd name="connsiteX2" fmla="*/ 89925 w 213750"/>
                  <a:gd name="connsiteY2" fmla="*/ 163785 h 4199792"/>
                  <a:gd name="connsiteX3" fmla="*/ 128025 w 213750"/>
                  <a:gd name="connsiteY3" fmla="*/ 211410 h 4199792"/>
                  <a:gd name="connsiteX4" fmla="*/ 166125 w 213750"/>
                  <a:gd name="connsiteY4" fmla="*/ 230460 h 4199792"/>
                  <a:gd name="connsiteX5" fmla="*/ 194700 w 213750"/>
                  <a:gd name="connsiteY5" fmla="*/ 268560 h 4199792"/>
                  <a:gd name="connsiteX6" fmla="*/ 213750 w 213750"/>
                  <a:gd name="connsiteY6" fmla="*/ 344760 h 4199792"/>
                  <a:gd name="connsiteX7" fmla="*/ 213750 w 213750"/>
                  <a:gd name="connsiteY7" fmla="*/ 3830910 h 4199792"/>
                  <a:gd name="connsiteX8" fmla="*/ 197318 w 213750"/>
                  <a:gd name="connsiteY8" fmla="*/ 3927970 h 4199792"/>
                  <a:gd name="connsiteX9" fmla="*/ 162103 w 213750"/>
                  <a:gd name="connsiteY9" fmla="*/ 3973538 h 4199792"/>
                  <a:gd name="connsiteX10" fmla="*/ 118500 w 213750"/>
                  <a:gd name="connsiteY10" fmla="*/ 4003931 h 4199792"/>
                  <a:gd name="connsiteX11" fmla="*/ 85636 w 213750"/>
                  <a:gd name="connsiteY11" fmla="*/ 4059510 h 4199792"/>
                  <a:gd name="connsiteX12" fmla="*/ 82295 w 213750"/>
                  <a:gd name="connsiteY12" fmla="*/ 4192773 h 4199792"/>
                  <a:gd name="connsiteX13" fmla="*/ 5254 w 213750"/>
                  <a:gd name="connsiteY13" fmla="*/ 4183615 h 4199792"/>
                  <a:gd name="connsiteX14" fmla="*/ 0 w 213750"/>
                  <a:gd name="connsiteY14" fmla="*/ 0 h 4199792"/>
                  <a:gd name="connsiteX15" fmla="*/ 70875 w 213750"/>
                  <a:gd name="connsiteY15" fmla="*/ 6131 h 41997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Lst>
                <a:rect l="l" t="t" r="r" b="b"/>
                <a:pathLst>
                  <a:path w="213750" h="4199792">
                    <a:moveTo>
                      <a:pt x="70875" y="6131"/>
                    </a:moveTo>
                    <a:lnTo>
                      <a:pt x="70875" y="125685"/>
                    </a:lnTo>
                    <a:lnTo>
                      <a:pt x="89925" y="163785"/>
                    </a:lnTo>
                    <a:lnTo>
                      <a:pt x="128025" y="211410"/>
                    </a:lnTo>
                    <a:lnTo>
                      <a:pt x="166125" y="230460"/>
                    </a:lnTo>
                    <a:lnTo>
                      <a:pt x="194700" y="268560"/>
                    </a:lnTo>
                    <a:lnTo>
                      <a:pt x="213750" y="344760"/>
                    </a:lnTo>
                    <a:lnTo>
                      <a:pt x="213750" y="3830910"/>
                    </a:lnTo>
                    <a:lnTo>
                      <a:pt x="197318" y="3927970"/>
                    </a:lnTo>
                    <a:cubicBezTo>
                      <a:pt x="187604" y="3937493"/>
                      <a:pt x="171817" y="3964015"/>
                      <a:pt x="162103" y="3973538"/>
                    </a:cubicBezTo>
                    <a:lnTo>
                      <a:pt x="118500" y="4003931"/>
                    </a:lnTo>
                    <a:lnTo>
                      <a:pt x="85636" y="4059510"/>
                    </a:lnTo>
                    <a:cubicBezTo>
                      <a:pt x="85636" y="4084910"/>
                      <a:pt x="95692" y="4172089"/>
                      <a:pt x="82295" y="4192773"/>
                    </a:cubicBezTo>
                    <a:cubicBezTo>
                      <a:pt x="68898" y="4213457"/>
                      <a:pt x="60086" y="4181651"/>
                      <a:pt x="5254" y="4183615"/>
                    </a:cubicBezTo>
                    <a:cubicBezTo>
                      <a:pt x="1591" y="2688544"/>
                      <a:pt x="3663" y="1495071"/>
                      <a:pt x="0" y="0"/>
                    </a:cubicBezTo>
                    <a:lnTo>
                      <a:pt x="70875" y="6131"/>
                    </a:lnTo>
                    <a:close/>
                  </a:path>
                </a:pathLst>
              </a:custGeom>
              <a:solidFill>
                <a:schemeClr val="bg2">
                  <a:lumMod val="75000"/>
                </a:schemeClr>
              </a:solidFill>
              <a:ln w="12700">
                <a:solidFill>
                  <a:schemeClr val="bg2">
                    <a:lumMod val="25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39" name="Straight Connector 38"/>
              <xdr:cNvCxnSpPr>
                <a:endCxn id="27" idx="0"/>
              </xdr:cNvCxnSpPr>
            </xdr:nvCxnSpPr>
            <xdr:spPr>
              <a:xfrm>
                <a:off x="8216656" y="7346237"/>
                <a:ext cx="298694" cy="0"/>
              </a:xfrm>
              <a:prstGeom prst="line">
                <a:avLst/>
              </a:prstGeom>
              <a:ln w="19050"/>
            </xdr:spPr>
            <xdr:style>
              <a:lnRef idx="1">
                <a:schemeClr val="accent1"/>
              </a:lnRef>
              <a:fillRef idx="0">
                <a:schemeClr val="accent1"/>
              </a:fillRef>
              <a:effectRef idx="0">
                <a:schemeClr val="accent1"/>
              </a:effectRef>
              <a:fontRef idx="minor">
                <a:schemeClr val="tx1"/>
              </a:fontRef>
            </xdr:style>
          </xdr:cxnSp>
          <xdr:cxnSp macro="">
            <xdr:nvCxnSpPr>
              <xdr:cNvPr id="40" name="Straight Connector 39"/>
              <xdr:cNvCxnSpPr>
                <a:endCxn id="36" idx="2"/>
              </xdr:cNvCxnSpPr>
            </xdr:nvCxnSpPr>
            <xdr:spPr>
              <a:xfrm>
                <a:off x="8201758" y="11714599"/>
                <a:ext cx="313592" cy="4951"/>
              </a:xfrm>
              <a:prstGeom prst="line">
                <a:avLst/>
              </a:prstGeom>
              <a:ln w="19050"/>
            </xdr:spPr>
            <xdr:style>
              <a:lnRef idx="1">
                <a:schemeClr val="accent1"/>
              </a:lnRef>
              <a:fillRef idx="0">
                <a:schemeClr val="accent1"/>
              </a:fillRef>
              <a:effectRef idx="0">
                <a:schemeClr val="accent1"/>
              </a:effectRef>
              <a:fontRef idx="minor">
                <a:schemeClr val="tx1"/>
              </a:fontRef>
            </xdr:style>
          </xdr:cxnSp>
        </xdr:grpSp>
      </xdr:grpSp>
      <xdr:sp macro="" textlink="">
        <xdr:nvSpPr>
          <xdr:cNvPr id="8" name="Rectangle 7"/>
          <xdr:cNvSpPr/>
        </xdr:nvSpPr>
        <xdr:spPr>
          <a:xfrm>
            <a:off x="8181975" y="6886575"/>
            <a:ext cx="1714500" cy="542925"/>
          </a:xfrm>
          <a:prstGeom prst="rect">
            <a:avLst/>
          </a:prstGeom>
          <a:solidFill>
            <a:schemeClr val="bg2">
              <a:lumMod val="90000"/>
              <a:alpha val="68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9" name="Straight Connector 8"/>
          <xdr:cNvCxnSpPr/>
        </xdr:nvCxnSpPr>
        <xdr:spPr>
          <a:xfrm>
            <a:off x="7867650" y="6867525"/>
            <a:ext cx="2133600" cy="0"/>
          </a:xfrm>
          <a:prstGeom prst="line">
            <a:avLst/>
          </a:prstGeom>
          <a:ln w="25400">
            <a:solidFill>
              <a:schemeClr val="accent1">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0" name="AutoShape 247"/>
          <xdr:cNvSpPr>
            <a:spLocks/>
          </xdr:cNvSpPr>
        </xdr:nvSpPr>
        <xdr:spPr bwMode="auto">
          <a:xfrm>
            <a:off x="7705725" y="12344400"/>
            <a:ext cx="1781175" cy="371476"/>
          </a:xfrm>
          <a:prstGeom prst="callout2">
            <a:avLst>
              <a:gd name="adj1" fmla="val 15792"/>
              <a:gd name="adj2" fmla="val 104278"/>
              <a:gd name="adj3" fmla="val 15792"/>
              <a:gd name="adj4" fmla="val 117111"/>
              <a:gd name="adj5" fmla="val -174090"/>
              <a:gd name="adj6" fmla="val 110162"/>
            </a:avLst>
          </a:prstGeom>
          <a:solidFill>
            <a:srgbClr val="FFFFFF"/>
          </a:solidFill>
          <a:ln w="9525">
            <a:solidFill>
              <a:srgbClr val="000000"/>
            </a:solidFill>
            <a:miter lim="800000"/>
            <a:headEnd type="none" w="lg" len="lg"/>
            <a:tailEnd type="triangle" w="lg" len="lg"/>
          </a:ln>
        </xdr:spPr>
        <xdr:txBody>
          <a:bodyPr vertOverflow="clip" wrap="square" lIns="0" tIns="41148" rIns="45720" bIns="0" anchor="t" upright="1"/>
          <a:lstStyle/>
          <a:p>
            <a:pPr algn="r" rtl="0">
              <a:defRPr sz="1000"/>
            </a:pPr>
            <a:r>
              <a:rPr lang="en-US" sz="2000" b="1" i="0" u="none" strike="noStrike" baseline="0">
                <a:solidFill>
                  <a:srgbClr val="000000"/>
                </a:solidFill>
                <a:latin typeface="Arial"/>
                <a:cs typeface="Arial"/>
              </a:rPr>
              <a:t>Cell Sleeves</a:t>
            </a:r>
          </a:p>
        </xdr:txBody>
      </xdr:sp>
      <xdr:cxnSp macro="">
        <xdr:nvCxnSpPr>
          <xdr:cNvPr id="11" name="Straight Arrow Connector 10"/>
          <xdr:cNvCxnSpPr/>
        </xdr:nvCxnSpPr>
        <xdr:spPr>
          <a:xfrm flipH="1" flipV="1">
            <a:off x="9344025" y="11734800"/>
            <a:ext cx="447675" cy="676275"/>
          </a:xfrm>
          <a:prstGeom prst="straightConnector1">
            <a:avLst/>
          </a:prstGeom>
          <a:ln>
            <a:solidFill>
              <a:sysClr val="windowText" lastClr="000000"/>
            </a:solidFill>
            <a:headEnd type="none" w="med" len="med"/>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12" name="AutoShape 247"/>
          <xdr:cNvSpPr>
            <a:spLocks/>
          </xdr:cNvSpPr>
        </xdr:nvSpPr>
        <xdr:spPr bwMode="auto">
          <a:xfrm>
            <a:off x="6924675" y="11068049"/>
            <a:ext cx="1209675" cy="733425"/>
          </a:xfrm>
          <a:prstGeom prst="callout2">
            <a:avLst>
              <a:gd name="adj1" fmla="val 15792"/>
              <a:gd name="adj2" fmla="val 104278"/>
              <a:gd name="adj3" fmla="val 15792"/>
              <a:gd name="adj4" fmla="val 117111"/>
              <a:gd name="adj5" fmla="val -20843"/>
              <a:gd name="adj6" fmla="val 147957"/>
            </a:avLst>
          </a:prstGeom>
          <a:solidFill>
            <a:srgbClr val="FFFFFF"/>
          </a:solidFill>
          <a:ln w="9525">
            <a:solidFill>
              <a:srgbClr val="000000"/>
            </a:solidFill>
            <a:miter lim="800000"/>
            <a:headEnd type="none" w="lg" len="lg"/>
            <a:tailEnd type="triangle" w="lg" len="lg"/>
          </a:ln>
        </xdr:spPr>
        <xdr:txBody>
          <a:bodyPr vertOverflow="clip" wrap="square" lIns="0" tIns="41148" rIns="45720" bIns="0" anchor="t" upright="1"/>
          <a:lstStyle/>
          <a:p>
            <a:pPr algn="r" rtl="0">
              <a:defRPr sz="1000"/>
            </a:pPr>
            <a:r>
              <a:rPr lang="en-US" sz="2000" b="1" i="0" u="none" strike="noStrike" baseline="0">
                <a:solidFill>
                  <a:srgbClr val="000000"/>
                </a:solidFill>
                <a:latin typeface="Arial"/>
                <a:cs typeface="Arial"/>
              </a:rPr>
              <a:t>Air Flow Channels</a:t>
            </a:r>
          </a:p>
        </xdr:txBody>
      </xdr:sp>
      <xdr:cxnSp macro="">
        <xdr:nvCxnSpPr>
          <xdr:cNvPr id="13" name="Straight Arrow Connector 12"/>
          <xdr:cNvCxnSpPr/>
        </xdr:nvCxnSpPr>
        <xdr:spPr>
          <a:xfrm flipV="1">
            <a:off x="8343900" y="10344151"/>
            <a:ext cx="714376" cy="838199"/>
          </a:xfrm>
          <a:prstGeom prst="straightConnector1">
            <a:avLst/>
          </a:prstGeom>
          <a:ln>
            <a:solidFill>
              <a:sysClr val="windowText" lastClr="000000"/>
            </a:solidFill>
            <a:headEnd type="none" w="med" len="med"/>
            <a:tailEnd type="triangle" w="lg" len="lg"/>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47626</xdr:colOff>
      <xdr:row>0</xdr:row>
      <xdr:rowOff>152401</xdr:rowOff>
    </xdr:from>
    <xdr:to>
      <xdr:col>22</xdr:col>
      <xdr:colOff>485776</xdr:colOff>
      <xdr:row>44</xdr:row>
      <xdr:rowOff>73024</xdr:rowOff>
    </xdr:to>
    <xdr:grpSp>
      <xdr:nvGrpSpPr>
        <xdr:cNvPr id="176" name="Group 175"/>
        <xdr:cNvGrpSpPr/>
      </xdr:nvGrpSpPr>
      <xdr:grpSpPr>
        <a:xfrm>
          <a:off x="47626" y="152401"/>
          <a:ext cx="13849350" cy="7045323"/>
          <a:chOff x="0" y="95251"/>
          <a:chExt cx="14030325" cy="7043736"/>
        </a:xfrm>
      </xdr:grpSpPr>
      <xdr:sp macro="" textlink="">
        <xdr:nvSpPr>
          <xdr:cNvPr id="177" name="Freeform 3"/>
          <xdr:cNvSpPr>
            <a:spLocks/>
          </xdr:cNvSpPr>
        </xdr:nvSpPr>
        <xdr:spPr bwMode="auto">
          <a:xfrm>
            <a:off x="3429000" y="1943100"/>
            <a:ext cx="2019300" cy="942975"/>
          </a:xfrm>
          <a:custGeom>
            <a:avLst/>
            <a:gdLst>
              <a:gd name="T0" fmla="*/ 0 w 182"/>
              <a:gd name="T1" fmla="*/ 2147483647 h 84"/>
              <a:gd name="T2" fmla="*/ 2147483647 w 182"/>
              <a:gd name="T3" fmla="*/ 2147483647 h 84"/>
              <a:gd name="T4" fmla="*/ 2147483647 w 182"/>
              <a:gd name="T5" fmla="*/ 2147483647 h 84"/>
              <a:gd name="T6" fmla="*/ 2147483647 w 182"/>
              <a:gd name="T7" fmla="*/ 2147483647 h 84"/>
              <a:gd name="T8" fmla="*/ 2147483647 w 182"/>
              <a:gd name="T9" fmla="*/ 0 h 84"/>
              <a:gd name="T10" fmla="*/ 2147483647 w 182"/>
              <a:gd name="T11" fmla="*/ 0 h 84"/>
              <a:gd name="T12" fmla="*/ 2147483647 w 182"/>
              <a:gd name="T13" fmla="*/ 2147483647 h 84"/>
              <a:gd name="T14" fmla="*/ 2147483647 w 182"/>
              <a:gd name="T15" fmla="*/ 2147483647 h 84"/>
              <a:gd name="T16" fmla="*/ 0 w 182"/>
              <a:gd name="T17" fmla="*/ 2147483647 h 84"/>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82"/>
              <a:gd name="T28" fmla="*/ 0 h 84"/>
              <a:gd name="T29" fmla="*/ 182 w 182"/>
              <a:gd name="T30" fmla="*/ 84 h 84"/>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82" h="84">
                <a:moveTo>
                  <a:pt x="0" y="83"/>
                </a:moveTo>
                <a:lnTo>
                  <a:pt x="1" y="64"/>
                </a:lnTo>
                <a:lnTo>
                  <a:pt x="59" y="6"/>
                </a:lnTo>
                <a:lnTo>
                  <a:pt x="77" y="2"/>
                </a:lnTo>
                <a:lnTo>
                  <a:pt x="105" y="0"/>
                </a:lnTo>
                <a:lnTo>
                  <a:pt x="151" y="0"/>
                </a:lnTo>
                <a:lnTo>
                  <a:pt x="182" y="2"/>
                </a:lnTo>
                <a:lnTo>
                  <a:pt x="112" y="84"/>
                </a:lnTo>
                <a:lnTo>
                  <a:pt x="0" y="83"/>
                </a:lnTo>
                <a:close/>
              </a:path>
            </a:pathLst>
          </a:custGeom>
          <a:solidFill>
            <a:srgbClr val="FFFFFF"/>
          </a:solidFill>
          <a:ln w="9525">
            <a:noFill/>
            <a:round/>
            <a:headEnd/>
            <a:tailEnd/>
          </a:ln>
        </xdr:spPr>
      </xdr:sp>
      <xdr:sp macro="" textlink="">
        <xdr:nvSpPr>
          <xdr:cNvPr id="178" name="AutoShape 4"/>
          <xdr:cNvSpPr>
            <a:spLocks noChangeArrowheads="1"/>
          </xdr:cNvSpPr>
        </xdr:nvSpPr>
        <xdr:spPr bwMode="auto">
          <a:xfrm>
            <a:off x="4419600" y="952500"/>
            <a:ext cx="3219450" cy="3314700"/>
          </a:xfrm>
          <a:prstGeom prst="roundRect">
            <a:avLst>
              <a:gd name="adj" fmla="val 7745"/>
            </a:avLst>
          </a:prstGeom>
          <a:solidFill>
            <a:srgbClr val="FFFFFF"/>
          </a:solidFill>
          <a:ln w="9525">
            <a:solidFill>
              <a:srgbClr val="000000"/>
            </a:solidFill>
            <a:round/>
            <a:headEnd/>
            <a:tailEnd/>
          </a:ln>
        </xdr:spPr>
      </xdr:sp>
      <xdr:sp macro="" textlink="">
        <xdr:nvSpPr>
          <xdr:cNvPr id="179" name="Freeform 5"/>
          <xdr:cNvSpPr>
            <a:spLocks/>
          </xdr:cNvSpPr>
        </xdr:nvSpPr>
        <xdr:spPr bwMode="auto">
          <a:xfrm>
            <a:off x="2657475" y="1009650"/>
            <a:ext cx="1847850" cy="1866900"/>
          </a:xfrm>
          <a:custGeom>
            <a:avLst/>
            <a:gdLst>
              <a:gd name="T0" fmla="*/ 0 w 167"/>
              <a:gd name="T1" fmla="*/ 2147483647 h 166"/>
              <a:gd name="T2" fmla="*/ 2147483647 w 167"/>
              <a:gd name="T3" fmla="*/ 0 h 166"/>
              <a:gd name="T4" fmla="*/ 0 60000 65536"/>
              <a:gd name="T5" fmla="*/ 0 60000 65536"/>
              <a:gd name="T6" fmla="*/ 0 w 167"/>
              <a:gd name="T7" fmla="*/ 0 h 166"/>
              <a:gd name="T8" fmla="*/ 167 w 167"/>
              <a:gd name="T9" fmla="*/ 166 h 166"/>
            </a:gdLst>
            <a:ahLst/>
            <a:cxnLst>
              <a:cxn ang="T4">
                <a:pos x="T0" y="T1"/>
              </a:cxn>
              <a:cxn ang="T5">
                <a:pos x="T2" y="T3"/>
              </a:cxn>
            </a:cxnLst>
            <a:rect l="T6" t="T7" r="T8" b="T9"/>
            <a:pathLst>
              <a:path w="167" h="166">
                <a:moveTo>
                  <a:pt x="0" y="166"/>
                </a:moveTo>
                <a:lnTo>
                  <a:pt x="167" y="0"/>
                </a:lnTo>
              </a:path>
            </a:pathLst>
          </a:custGeom>
          <a:noFill/>
          <a:ln w="9525">
            <a:solidFill>
              <a:srgbClr val="000000"/>
            </a:solidFill>
            <a:round/>
            <a:headEnd/>
            <a:tailEnd/>
          </a:ln>
        </xdr:spPr>
      </xdr:sp>
      <xdr:sp macro="" textlink="">
        <xdr:nvSpPr>
          <xdr:cNvPr id="180" name="Freeform 6"/>
          <xdr:cNvSpPr>
            <a:spLocks/>
          </xdr:cNvSpPr>
        </xdr:nvSpPr>
        <xdr:spPr bwMode="auto">
          <a:xfrm>
            <a:off x="5743575" y="4200525"/>
            <a:ext cx="1828800" cy="1828800"/>
          </a:xfrm>
          <a:custGeom>
            <a:avLst/>
            <a:gdLst>
              <a:gd name="T0" fmla="*/ 0 w 165"/>
              <a:gd name="T1" fmla="*/ 2147483647 h 163"/>
              <a:gd name="T2" fmla="*/ 2147483647 w 165"/>
              <a:gd name="T3" fmla="*/ 0 h 163"/>
              <a:gd name="T4" fmla="*/ 0 60000 65536"/>
              <a:gd name="T5" fmla="*/ 0 60000 65536"/>
              <a:gd name="T6" fmla="*/ 0 w 165"/>
              <a:gd name="T7" fmla="*/ 0 h 163"/>
              <a:gd name="T8" fmla="*/ 165 w 165"/>
              <a:gd name="T9" fmla="*/ 163 h 163"/>
            </a:gdLst>
            <a:ahLst/>
            <a:cxnLst>
              <a:cxn ang="T4">
                <a:pos x="T0" y="T1"/>
              </a:cxn>
              <a:cxn ang="T5">
                <a:pos x="T2" y="T3"/>
              </a:cxn>
            </a:cxnLst>
            <a:rect l="T6" t="T7" r="T8" b="T9"/>
            <a:pathLst>
              <a:path w="165" h="163">
                <a:moveTo>
                  <a:pt x="0" y="163"/>
                </a:moveTo>
                <a:lnTo>
                  <a:pt x="165" y="0"/>
                </a:lnTo>
              </a:path>
            </a:pathLst>
          </a:custGeom>
          <a:noFill/>
          <a:ln w="9525">
            <a:solidFill>
              <a:srgbClr val="000000"/>
            </a:solidFill>
            <a:round/>
            <a:headEnd/>
            <a:tailEnd/>
          </a:ln>
        </xdr:spPr>
      </xdr:sp>
      <xdr:sp macro="" textlink="">
        <xdr:nvSpPr>
          <xdr:cNvPr id="181" name="AutoShape 7"/>
          <xdr:cNvSpPr>
            <a:spLocks noChangeArrowheads="1"/>
          </xdr:cNvSpPr>
        </xdr:nvSpPr>
        <xdr:spPr bwMode="auto">
          <a:xfrm>
            <a:off x="4476750" y="885825"/>
            <a:ext cx="3219450" cy="3314700"/>
          </a:xfrm>
          <a:prstGeom prst="roundRect">
            <a:avLst>
              <a:gd name="adj" fmla="val 7745"/>
            </a:avLst>
          </a:prstGeom>
          <a:solidFill>
            <a:srgbClr val="66FFCC"/>
          </a:solidFill>
          <a:ln w="19050">
            <a:solidFill>
              <a:srgbClr val="000000"/>
            </a:solidFill>
            <a:round/>
            <a:headEnd/>
            <a:tailEnd/>
          </a:ln>
        </xdr:spPr>
      </xdr:sp>
      <xdr:sp macro="" textlink="">
        <xdr:nvSpPr>
          <xdr:cNvPr id="182" name="Freeform 8"/>
          <xdr:cNvSpPr>
            <a:spLocks/>
          </xdr:cNvSpPr>
        </xdr:nvSpPr>
        <xdr:spPr bwMode="auto">
          <a:xfrm>
            <a:off x="2914650" y="2295525"/>
            <a:ext cx="2266950" cy="2066925"/>
          </a:xfrm>
          <a:custGeom>
            <a:avLst/>
            <a:gdLst>
              <a:gd name="T0" fmla="*/ 0 w 205"/>
              <a:gd name="T1" fmla="*/ 2147483647 h 184"/>
              <a:gd name="T2" fmla="*/ 2147483647 w 205"/>
              <a:gd name="T3" fmla="*/ 0 h 184"/>
              <a:gd name="T4" fmla="*/ 2147483647 w 205"/>
              <a:gd name="T5" fmla="*/ 0 h 184"/>
              <a:gd name="T6" fmla="*/ 2147483647 w 205"/>
              <a:gd name="T7" fmla="*/ 2147483647 h 184"/>
              <a:gd name="T8" fmla="*/ 0 w 205"/>
              <a:gd name="T9" fmla="*/ 2147483647 h 184"/>
              <a:gd name="T10" fmla="*/ 0 60000 65536"/>
              <a:gd name="T11" fmla="*/ 0 60000 65536"/>
              <a:gd name="T12" fmla="*/ 0 60000 65536"/>
              <a:gd name="T13" fmla="*/ 0 60000 65536"/>
              <a:gd name="T14" fmla="*/ 0 60000 65536"/>
              <a:gd name="T15" fmla="*/ 0 w 205"/>
              <a:gd name="T16" fmla="*/ 0 h 184"/>
              <a:gd name="T17" fmla="*/ 205 w 205"/>
              <a:gd name="T18" fmla="*/ 184 h 184"/>
            </a:gdLst>
            <a:ahLst/>
            <a:cxnLst>
              <a:cxn ang="T10">
                <a:pos x="T0" y="T1"/>
              </a:cxn>
              <a:cxn ang="T11">
                <a:pos x="T2" y="T3"/>
              </a:cxn>
              <a:cxn ang="T12">
                <a:pos x="T4" y="T5"/>
              </a:cxn>
              <a:cxn ang="T13">
                <a:pos x="T6" y="T7"/>
              </a:cxn>
              <a:cxn ang="T14">
                <a:pos x="T8" y="T9"/>
              </a:cxn>
            </a:cxnLst>
            <a:rect l="T15" t="T16" r="T17" b="T18"/>
            <a:pathLst>
              <a:path w="205" h="184">
                <a:moveTo>
                  <a:pt x="0" y="183"/>
                </a:moveTo>
                <a:lnTo>
                  <a:pt x="183" y="0"/>
                </a:lnTo>
                <a:lnTo>
                  <a:pt x="205" y="0"/>
                </a:lnTo>
                <a:lnTo>
                  <a:pt x="23" y="184"/>
                </a:lnTo>
                <a:lnTo>
                  <a:pt x="0" y="183"/>
                </a:lnTo>
                <a:close/>
              </a:path>
            </a:pathLst>
          </a:custGeom>
          <a:solidFill>
            <a:srgbClr val="FFFFFF"/>
          </a:solidFill>
          <a:ln w="9525">
            <a:solidFill>
              <a:srgbClr val="000000"/>
            </a:solidFill>
            <a:round/>
            <a:headEnd/>
            <a:tailEnd/>
          </a:ln>
        </xdr:spPr>
      </xdr:sp>
      <xdr:sp macro="" textlink="">
        <xdr:nvSpPr>
          <xdr:cNvPr id="183" name="Freeform 9"/>
          <xdr:cNvSpPr>
            <a:spLocks/>
          </xdr:cNvSpPr>
        </xdr:nvSpPr>
        <xdr:spPr bwMode="auto">
          <a:xfrm>
            <a:off x="3267075" y="2295525"/>
            <a:ext cx="2266950" cy="2066925"/>
          </a:xfrm>
          <a:custGeom>
            <a:avLst/>
            <a:gdLst>
              <a:gd name="T0" fmla="*/ 0 w 205"/>
              <a:gd name="T1" fmla="*/ 2147483647 h 184"/>
              <a:gd name="T2" fmla="*/ 2147483647 w 205"/>
              <a:gd name="T3" fmla="*/ 0 h 184"/>
              <a:gd name="T4" fmla="*/ 2147483647 w 205"/>
              <a:gd name="T5" fmla="*/ 0 h 184"/>
              <a:gd name="T6" fmla="*/ 2147483647 w 205"/>
              <a:gd name="T7" fmla="*/ 2147483647 h 184"/>
              <a:gd name="T8" fmla="*/ 0 w 205"/>
              <a:gd name="T9" fmla="*/ 2147483647 h 184"/>
              <a:gd name="T10" fmla="*/ 0 60000 65536"/>
              <a:gd name="T11" fmla="*/ 0 60000 65536"/>
              <a:gd name="T12" fmla="*/ 0 60000 65536"/>
              <a:gd name="T13" fmla="*/ 0 60000 65536"/>
              <a:gd name="T14" fmla="*/ 0 60000 65536"/>
              <a:gd name="T15" fmla="*/ 0 w 205"/>
              <a:gd name="T16" fmla="*/ 0 h 184"/>
              <a:gd name="T17" fmla="*/ 205 w 205"/>
              <a:gd name="T18" fmla="*/ 184 h 184"/>
            </a:gdLst>
            <a:ahLst/>
            <a:cxnLst>
              <a:cxn ang="T10">
                <a:pos x="T0" y="T1"/>
              </a:cxn>
              <a:cxn ang="T11">
                <a:pos x="T2" y="T3"/>
              </a:cxn>
              <a:cxn ang="T12">
                <a:pos x="T4" y="T5"/>
              </a:cxn>
              <a:cxn ang="T13">
                <a:pos x="T6" y="T7"/>
              </a:cxn>
              <a:cxn ang="T14">
                <a:pos x="T8" y="T9"/>
              </a:cxn>
            </a:cxnLst>
            <a:rect l="T15" t="T16" r="T17" b="T18"/>
            <a:pathLst>
              <a:path w="205" h="184">
                <a:moveTo>
                  <a:pt x="0" y="183"/>
                </a:moveTo>
                <a:lnTo>
                  <a:pt x="183" y="0"/>
                </a:lnTo>
                <a:lnTo>
                  <a:pt x="205" y="0"/>
                </a:lnTo>
                <a:lnTo>
                  <a:pt x="23" y="184"/>
                </a:lnTo>
                <a:lnTo>
                  <a:pt x="0" y="183"/>
                </a:lnTo>
                <a:close/>
              </a:path>
            </a:pathLst>
          </a:custGeom>
          <a:solidFill>
            <a:srgbClr val="FFFFFF"/>
          </a:solidFill>
          <a:ln w="9525">
            <a:solidFill>
              <a:srgbClr val="000000"/>
            </a:solidFill>
            <a:round/>
            <a:headEnd/>
            <a:tailEnd/>
          </a:ln>
        </xdr:spPr>
      </xdr:sp>
      <xdr:sp macro="" textlink="">
        <xdr:nvSpPr>
          <xdr:cNvPr id="184" name="Freeform 10"/>
          <xdr:cNvSpPr>
            <a:spLocks/>
          </xdr:cNvSpPr>
        </xdr:nvSpPr>
        <xdr:spPr bwMode="auto">
          <a:xfrm>
            <a:off x="2686050" y="952500"/>
            <a:ext cx="4953000" cy="5048250"/>
          </a:xfrm>
          <a:custGeom>
            <a:avLst/>
            <a:gdLst>
              <a:gd name="T0" fmla="*/ 0 w 520"/>
              <a:gd name="T1" fmla="*/ 2147483647 h 530"/>
              <a:gd name="T2" fmla="*/ 2147483647 w 520"/>
              <a:gd name="T3" fmla="*/ 2147483647 h 530"/>
              <a:gd name="T4" fmla="*/ 2147483647 w 520"/>
              <a:gd name="T5" fmla="*/ 2147483647 h 530"/>
              <a:gd name="T6" fmla="*/ 2147483647 w 520"/>
              <a:gd name="T7" fmla="*/ 2147483647 h 530"/>
              <a:gd name="T8" fmla="*/ 2147483647 w 520"/>
              <a:gd name="T9" fmla="*/ 2147483647 h 530"/>
              <a:gd name="T10" fmla="*/ 2147483647 w 520"/>
              <a:gd name="T11" fmla="*/ 2147483647 h 530"/>
              <a:gd name="T12" fmla="*/ 2147483647 w 520"/>
              <a:gd name="T13" fmla="*/ 2147483647 h 530"/>
              <a:gd name="T14" fmla="*/ 2147483647 w 520"/>
              <a:gd name="T15" fmla="*/ 2147483647 h 530"/>
              <a:gd name="T16" fmla="*/ 2147483647 w 520"/>
              <a:gd name="T17" fmla="*/ 2147483647 h 530"/>
              <a:gd name="T18" fmla="*/ 2147483647 w 520"/>
              <a:gd name="T19" fmla="*/ 2147483647 h 530"/>
              <a:gd name="T20" fmla="*/ 2147483647 w 520"/>
              <a:gd name="T21" fmla="*/ 2147483647 h 530"/>
              <a:gd name="T22" fmla="*/ 2147483647 w 520"/>
              <a:gd name="T23" fmla="*/ 2147483647 h 530"/>
              <a:gd name="T24" fmla="*/ 2147483647 w 520"/>
              <a:gd name="T25" fmla="*/ 2147483647 h 530"/>
              <a:gd name="T26" fmla="*/ 2147483647 w 520"/>
              <a:gd name="T27" fmla="*/ 2147483647 h 530"/>
              <a:gd name="T28" fmla="*/ 2147483647 w 520"/>
              <a:gd name="T29" fmla="*/ 0 h 530"/>
              <a:gd name="T30" fmla="*/ 2147483647 w 520"/>
              <a:gd name="T31" fmla="*/ 0 h 530"/>
              <a:gd name="T32" fmla="*/ 2147483647 w 520"/>
              <a:gd name="T33" fmla="*/ 0 h 530"/>
              <a:gd name="T34" fmla="*/ 2147483647 w 520"/>
              <a:gd name="T35" fmla="*/ 0 h 530"/>
              <a:gd name="T36" fmla="*/ 2147483647 w 520"/>
              <a:gd name="T37" fmla="*/ 0 h 530"/>
              <a:gd name="T38" fmla="*/ 2147483647 w 520"/>
              <a:gd name="T39" fmla="*/ 2147483647 h 530"/>
              <a:gd name="T40" fmla="*/ 2147483647 w 520"/>
              <a:gd name="T41" fmla="*/ 2147483647 h 530"/>
              <a:gd name="T42" fmla="*/ 2147483647 w 520"/>
              <a:gd name="T43" fmla="*/ 2147483647 h 530"/>
              <a:gd name="T44" fmla="*/ 2147483647 w 520"/>
              <a:gd name="T45" fmla="*/ 2147483647 h 530"/>
              <a:gd name="T46" fmla="*/ 2147483647 w 520"/>
              <a:gd name="T47" fmla="*/ 2147483647 h 530"/>
              <a:gd name="T48" fmla="*/ 2147483647 w 520"/>
              <a:gd name="T49" fmla="*/ 2147483647 h 530"/>
              <a:gd name="T50" fmla="*/ 2147483647 w 520"/>
              <a:gd name="T51" fmla="*/ 2147483647 h 530"/>
              <a:gd name="T52" fmla="*/ 2147483647 w 520"/>
              <a:gd name="T53" fmla="*/ 2147483647 h 530"/>
              <a:gd name="T54" fmla="*/ 2147483647 w 520"/>
              <a:gd name="T55" fmla="*/ 2147483647 h 530"/>
              <a:gd name="T56" fmla="*/ 2147483647 w 520"/>
              <a:gd name="T57" fmla="*/ 2147483647 h 530"/>
              <a:gd name="T58" fmla="*/ 2147483647 w 520"/>
              <a:gd name="T59" fmla="*/ 2147483647 h 530"/>
              <a:gd name="T60" fmla="*/ 2147483647 w 520"/>
              <a:gd name="T61" fmla="*/ 2147483647 h 530"/>
              <a:gd name="T62" fmla="*/ 2147483647 w 520"/>
              <a:gd name="T63" fmla="*/ 2147483647 h 530"/>
              <a:gd name="T64" fmla="*/ 2147483647 w 520"/>
              <a:gd name="T65" fmla="*/ 2147483647 h 530"/>
              <a:gd name="T66" fmla="*/ 2147483647 w 520"/>
              <a:gd name="T67" fmla="*/ 2147483647 h 530"/>
              <a:gd name="T68" fmla="*/ 2147483647 w 520"/>
              <a:gd name="T69" fmla="*/ 2147483647 h 530"/>
              <a:gd name="T70" fmla="*/ 2147483647 w 520"/>
              <a:gd name="T71" fmla="*/ 2147483647 h 530"/>
              <a:gd name="T72" fmla="*/ 2147483647 w 520"/>
              <a:gd name="T73" fmla="*/ 2147483647 h 530"/>
              <a:gd name="T74" fmla="*/ 2147483647 w 520"/>
              <a:gd name="T75" fmla="*/ 2147483647 h 530"/>
              <a:gd name="T76" fmla="*/ 2147483647 w 520"/>
              <a:gd name="T77" fmla="*/ 2147483647 h 530"/>
              <a:gd name="T78" fmla="*/ 2147483647 w 520"/>
              <a:gd name="T79" fmla="*/ 2147483647 h 530"/>
              <a:gd name="T80" fmla="*/ 2147483647 w 520"/>
              <a:gd name="T81" fmla="*/ 2147483647 h 530"/>
              <a:gd name="T82" fmla="*/ 2147483647 w 520"/>
              <a:gd name="T83" fmla="*/ 2147483647 h 530"/>
              <a:gd name="T84" fmla="*/ 2147483647 w 520"/>
              <a:gd name="T85" fmla="*/ 2147483647 h 530"/>
              <a:gd name="T86" fmla="*/ 2147483647 w 520"/>
              <a:gd name="T87" fmla="*/ 2147483647 h 530"/>
              <a:gd name="T88" fmla="*/ 2147483647 w 520"/>
              <a:gd name="T89" fmla="*/ 2147483647 h 530"/>
              <a:gd name="T90" fmla="*/ 2147483647 w 520"/>
              <a:gd name="T91" fmla="*/ 2147483647 h 530"/>
              <a:gd name="T92" fmla="*/ 2147483647 w 520"/>
              <a:gd name="T93" fmla="*/ 2147483647 h 530"/>
              <a:gd name="T94" fmla="*/ 2147483647 w 520"/>
              <a:gd name="T95" fmla="*/ 2147483647 h 530"/>
              <a:gd name="T96" fmla="*/ 2147483647 w 520"/>
              <a:gd name="T97" fmla="*/ 2147483647 h 530"/>
              <a:gd name="T98" fmla="*/ 2147483647 w 520"/>
              <a:gd name="T99" fmla="*/ 2147483647 h 530"/>
              <a:gd name="T100" fmla="*/ 2147483647 w 520"/>
              <a:gd name="T101" fmla="*/ 2147483647 h 530"/>
              <a:gd name="T102" fmla="*/ 2147483647 w 520"/>
              <a:gd name="T103" fmla="*/ 2147483647 h 530"/>
              <a:gd name="T104" fmla="*/ 2147483647 w 520"/>
              <a:gd name="T105" fmla="*/ 2147483647 h 530"/>
              <a:gd name="T106" fmla="*/ 2147483647 w 520"/>
              <a:gd name="T107" fmla="*/ 2147483647 h 530"/>
              <a:gd name="T108" fmla="*/ 0 w 520"/>
              <a:gd name="T109" fmla="*/ 2147483647 h 530"/>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520"/>
              <a:gd name="T166" fmla="*/ 0 h 530"/>
              <a:gd name="T167" fmla="*/ 520 w 520"/>
              <a:gd name="T168" fmla="*/ 530 h 530"/>
              <a:gd name="connsiteX0" fmla="*/ 0 w 10000"/>
              <a:gd name="connsiteY0" fmla="*/ 4585 h 10000"/>
              <a:gd name="connsiteX1" fmla="*/ 981 w 10000"/>
              <a:gd name="connsiteY1" fmla="*/ 4321 h 10000"/>
              <a:gd name="connsiteX2" fmla="*/ 269 w 10000"/>
              <a:gd name="connsiteY2" fmla="*/ 3981 h 10000"/>
              <a:gd name="connsiteX3" fmla="*/ 115 w 10000"/>
              <a:gd name="connsiteY3" fmla="*/ 3660 h 10000"/>
              <a:gd name="connsiteX4" fmla="*/ 365 w 10000"/>
              <a:gd name="connsiteY4" fmla="*/ 3415 h 10000"/>
              <a:gd name="connsiteX5" fmla="*/ 538 w 10000"/>
              <a:gd name="connsiteY5" fmla="*/ 3226 h 10000"/>
              <a:gd name="connsiteX6" fmla="*/ 1154 w 10000"/>
              <a:gd name="connsiteY6" fmla="*/ 2604 h 10000"/>
              <a:gd name="connsiteX7" fmla="*/ 1731 w 10000"/>
              <a:gd name="connsiteY7" fmla="*/ 2057 h 10000"/>
              <a:gd name="connsiteX8" fmla="*/ 2135 w 10000"/>
              <a:gd name="connsiteY8" fmla="*/ 1642 h 10000"/>
              <a:gd name="connsiteX9" fmla="*/ 2462 w 10000"/>
              <a:gd name="connsiteY9" fmla="*/ 1321 h 10000"/>
              <a:gd name="connsiteX10" fmla="*/ 2923 w 10000"/>
              <a:gd name="connsiteY10" fmla="*/ 849 h 10000"/>
              <a:gd name="connsiteX11" fmla="*/ 3231 w 10000"/>
              <a:gd name="connsiteY11" fmla="*/ 566 h 10000"/>
              <a:gd name="connsiteX12" fmla="*/ 3423 w 10000"/>
              <a:gd name="connsiteY12" fmla="*/ 358 h 10000"/>
              <a:gd name="connsiteX13" fmla="*/ 3673 w 10000"/>
              <a:gd name="connsiteY13" fmla="*/ 113 h 10000"/>
              <a:gd name="connsiteX14" fmla="*/ 3885 w 10000"/>
              <a:gd name="connsiteY14" fmla="*/ 0 h 10000"/>
              <a:gd name="connsiteX15" fmla="*/ 4212 w 10000"/>
              <a:gd name="connsiteY15" fmla="*/ 0 h 10000"/>
              <a:gd name="connsiteX16" fmla="*/ 6481 w 10000"/>
              <a:gd name="connsiteY16" fmla="*/ 0 h 10000"/>
              <a:gd name="connsiteX17" fmla="*/ 8635 w 10000"/>
              <a:gd name="connsiteY17" fmla="*/ 0 h 10000"/>
              <a:gd name="connsiteX18" fmla="*/ 9500 w 10000"/>
              <a:gd name="connsiteY18" fmla="*/ 0 h 10000"/>
              <a:gd name="connsiteX19" fmla="*/ 9731 w 10000"/>
              <a:gd name="connsiteY19" fmla="*/ 75 h 10000"/>
              <a:gd name="connsiteX20" fmla="*/ 9865 w 10000"/>
              <a:gd name="connsiteY20" fmla="*/ 208 h 10000"/>
              <a:gd name="connsiteX21" fmla="*/ 9962 w 10000"/>
              <a:gd name="connsiteY21" fmla="*/ 321 h 10000"/>
              <a:gd name="connsiteX22" fmla="*/ 10000 w 10000"/>
              <a:gd name="connsiteY22" fmla="*/ 472 h 10000"/>
              <a:gd name="connsiteX23" fmla="*/ 10000 w 10000"/>
              <a:gd name="connsiteY23" fmla="*/ 1434 h 10000"/>
              <a:gd name="connsiteX24" fmla="*/ 10000 w 10000"/>
              <a:gd name="connsiteY24" fmla="*/ 3868 h 10000"/>
              <a:gd name="connsiteX25" fmla="*/ 10000 w 10000"/>
              <a:gd name="connsiteY25" fmla="*/ 5604 h 10000"/>
              <a:gd name="connsiteX26" fmla="*/ 10000 w 10000"/>
              <a:gd name="connsiteY26" fmla="*/ 5943 h 10000"/>
              <a:gd name="connsiteX27" fmla="*/ 9981 w 10000"/>
              <a:gd name="connsiteY27" fmla="*/ 6245 h 10000"/>
              <a:gd name="connsiteX28" fmla="*/ 9846 w 10000"/>
              <a:gd name="connsiteY28" fmla="*/ 6453 h 10000"/>
              <a:gd name="connsiteX29" fmla="*/ 9731 w 10000"/>
              <a:gd name="connsiteY29" fmla="*/ 6566 h 10000"/>
              <a:gd name="connsiteX30" fmla="*/ 8058 w 10000"/>
              <a:gd name="connsiteY30" fmla="*/ 8205 h 10000"/>
              <a:gd name="connsiteX31" fmla="*/ 7308 w 10000"/>
              <a:gd name="connsiteY31" fmla="*/ 8925 h 10000"/>
              <a:gd name="connsiteX32" fmla="*/ 7077 w 10000"/>
              <a:gd name="connsiteY32" fmla="*/ 9170 h 10000"/>
              <a:gd name="connsiteX33" fmla="*/ 6904 w 10000"/>
              <a:gd name="connsiteY33" fmla="*/ 9340 h 10000"/>
              <a:gd name="connsiteX34" fmla="*/ 6212 w 10000"/>
              <a:gd name="connsiteY34" fmla="*/ 10000 h 10000"/>
              <a:gd name="connsiteX35" fmla="*/ 4269 w 10000"/>
              <a:gd name="connsiteY35" fmla="*/ 9849 h 10000"/>
              <a:gd name="connsiteX36" fmla="*/ 3788 w 10000"/>
              <a:gd name="connsiteY36" fmla="*/ 9491 h 10000"/>
              <a:gd name="connsiteX37" fmla="*/ 3231 w 10000"/>
              <a:gd name="connsiteY37" fmla="*/ 8264 h 10000"/>
              <a:gd name="connsiteX38" fmla="*/ 3231 w 10000"/>
              <a:gd name="connsiteY38" fmla="*/ 7623 h 10000"/>
              <a:gd name="connsiteX39" fmla="*/ 3231 w 10000"/>
              <a:gd name="connsiteY39" fmla="*/ 7170 h 10000"/>
              <a:gd name="connsiteX40" fmla="*/ 3173 w 10000"/>
              <a:gd name="connsiteY40" fmla="*/ 6962 h 10000"/>
              <a:gd name="connsiteX41" fmla="*/ 3000 w 10000"/>
              <a:gd name="connsiteY41" fmla="*/ 6811 h 10000"/>
              <a:gd name="connsiteX42" fmla="*/ 2865 w 10000"/>
              <a:gd name="connsiteY42" fmla="*/ 6717 h 10000"/>
              <a:gd name="connsiteX43" fmla="*/ 2692 w 10000"/>
              <a:gd name="connsiteY43" fmla="*/ 6755 h 10000"/>
              <a:gd name="connsiteX44" fmla="*/ 2500 w 10000"/>
              <a:gd name="connsiteY44" fmla="*/ 6698 h 10000"/>
              <a:gd name="connsiteX45" fmla="*/ 2212 w 10000"/>
              <a:gd name="connsiteY45" fmla="*/ 6717 h 10000"/>
              <a:gd name="connsiteX46" fmla="*/ 1750 w 10000"/>
              <a:gd name="connsiteY46" fmla="*/ 6717 h 10000"/>
              <a:gd name="connsiteX47" fmla="*/ 558 w 10000"/>
              <a:gd name="connsiteY47" fmla="*/ 6717 h 10000"/>
              <a:gd name="connsiteX48" fmla="*/ 769 w 10000"/>
              <a:gd name="connsiteY48" fmla="*/ 6925 h 10000"/>
              <a:gd name="connsiteX49" fmla="*/ 558 w 10000"/>
              <a:gd name="connsiteY49" fmla="*/ 6830 h 10000"/>
              <a:gd name="connsiteX50" fmla="*/ 173 w 10000"/>
              <a:gd name="connsiteY50" fmla="*/ 6528 h 10000"/>
              <a:gd name="connsiteX51" fmla="*/ 115 w 10000"/>
              <a:gd name="connsiteY51" fmla="*/ 6151 h 10000"/>
              <a:gd name="connsiteX52" fmla="*/ 19 w 10000"/>
              <a:gd name="connsiteY52" fmla="*/ 6264 h 10000"/>
              <a:gd name="connsiteX53" fmla="*/ 154 w 10000"/>
              <a:gd name="connsiteY53" fmla="*/ 6019 h 10000"/>
              <a:gd name="connsiteX54" fmla="*/ 0 w 10000"/>
              <a:gd name="connsiteY54" fmla="*/ 4585 h 10000"/>
              <a:gd name="connsiteX0" fmla="*/ 0 w 10000"/>
              <a:gd name="connsiteY0" fmla="*/ 4585 h 10000"/>
              <a:gd name="connsiteX1" fmla="*/ 981 w 10000"/>
              <a:gd name="connsiteY1" fmla="*/ 4321 h 10000"/>
              <a:gd name="connsiteX2" fmla="*/ 269 w 10000"/>
              <a:gd name="connsiteY2" fmla="*/ 3981 h 10000"/>
              <a:gd name="connsiteX3" fmla="*/ 115 w 10000"/>
              <a:gd name="connsiteY3" fmla="*/ 3660 h 10000"/>
              <a:gd name="connsiteX4" fmla="*/ 365 w 10000"/>
              <a:gd name="connsiteY4" fmla="*/ 3415 h 10000"/>
              <a:gd name="connsiteX5" fmla="*/ 538 w 10000"/>
              <a:gd name="connsiteY5" fmla="*/ 3226 h 10000"/>
              <a:gd name="connsiteX6" fmla="*/ 1154 w 10000"/>
              <a:gd name="connsiteY6" fmla="*/ 2604 h 10000"/>
              <a:gd name="connsiteX7" fmla="*/ 1731 w 10000"/>
              <a:gd name="connsiteY7" fmla="*/ 2057 h 10000"/>
              <a:gd name="connsiteX8" fmla="*/ 2135 w 10000"/>
              <a:gd name="connsiteY8" fmla="*/ 1642 h 10000"/>
              <a:gd name="connsiteX9" fmla="*/ 2462 w 10000"/>
              <a:gd name="connsiteY9" fmla="*/ 1321 h 10000"/>
              <a:gd name="connsiteX10" fmla="*/ 2923 w 10000"/>
              <a:gd name="connsiteY10" fmla="*/ 849 h 10000"/>
              <a:gd name="connsiteX11" fmla="*/ 3231 w 10000"/>
              <a:gd name="connsiteY11" fmla="*/ 566 h 10000"/>
              <a:gd name="connsiteX12" fmla="*/ 3423 w 10000"/>
              <a:gd name="connsiteY12" fmla="*/ 358 h 10000"/>
              <a:gd name="connsiteX13" fmla="*/ 3673 w 10000"/>
              <a:gd name="connsiteY13" fmla="*/ 113 h 10000"/>
              <a:gd name="connsiteX14" fmla="*/ 3885 w 10000"/>
              <a:gd name="connsiteY14" fmla="*/ 0 h 10000"/>
              <a:gd name="connsiteX15" fmla="*/ 4212 w 10000"/>
              <a:gd name="connsiteY15" fmla="*/ 0 h 10000"/>
              <a:gd name="connsiteX16" fmla="*/ 6481 w 10000"/>
              <a:gd name="connsiteY16" fmla="*/ 0 h 10000"/>
              <a:gd name="connsiteX17" fmla="*/ 8635 w 10000"/>
              <a:gd name="connsiteY17" fmla="*/ 0 h 10000"/>
              <a:gd name="connsiteX18" fmla="*/ 9500 w 10000"/>
              <a:gd name="connsiteY18" fmla="*/ 0 h 10000"/>
              <a:gd name="connsiteX19" fmla="*/ 9731 w 10000"/>
              <a:gd name="connsiteY19" fmla="*/ 75 h 10000"/>
              <a:gd name="connsiteX20" fmla="*/ 9865 w 10000"/>
              <a:gd name="connsiteY20" fmla="*/ 208 h 10000"/>
              <a:gd name="connsiteX21" fmla="*/ 9962 w 10000"/>
              <a:gd name="connsiteY21" fmla="*/ 321 h 10000"/>
              <a:gd name="connsiteX22" fmla="*/ 10000 w 10000"/>
              <a:gd name="connsiteY22" fmla="*/ 472 h 10000"/>
              <a:gd name="connsiteX23" fmla="*/ 10000 w 10000"/>
              <a:gd name="connsiteY23" fmla="*/ 1434 h 10000"/>
              <a:gd name="connsiteX24" fmla="*/ 10000 w 10000"/>
              <a:gd name="connsiteY24" fmla="*/ 3868 h 10000"/>
              <a:gd name="connsiteX25" fmla="*/ 10000 w 10000"/>
              <a:gd name="connsiteY25" fmla="*/ 5604 h 10000"/>
              <a:gd name="connsiteX26" fmla="*/ 10000 w 10000"/>
              <a:gd name="connsiteY26" fmla="*/ 5943 h 10000"/>
              <a:gd name="connsiteX27" fmla="*/ 9981 w 10000"/>
              <a:gd name="connsiteY27" fmla="*/ 6245 h 10000"/>
              <a:gd name="connsiteX28" fmla="*/ 9846 w 10000"/>
              <a:gd name="connsiteY28" fmla="*/ 6453 h 10000"/>
              <a:gd name="connsiteX29" fmla="*/ 9711 w 10000"/>
              <a:gd name="connsiteY29" fmla="*/ 6536 h 10000"/>
              <a:gd name="connsiteX30" fmla="*/ 8058 w 10000"/>
              <a:gd name="connsiteY30" fmla="*/ 8205 h 10000"/>
              <a:gd name="connsiteX31" fmla="*/ 7308 w 10000"/>
              <a:gd name="connsiteY31" fmla="*/ 8925 h 10000"/>
              <a:gd name="connsiteX32" fmla="*/ 7077 w 10000"/>
              <a:gd name="connsiteY32" fmla="*/ 9170 h 10000"/>
              <a:gd name="connsiteX33" fmla="*/ 6904 w 10000"/>
              <a:gd name="connsiteY33" fmla="*/ 9340 h 10000"/>
              <a:gd name="connsiteX34" fmla="*/ 6212 w 10000"/>
              <a:gd name="connsiteY34" fmla="*/ 10000 h 10000"/>
              <a:gd name="connsiteX35" fmla="*/ 4269 w 10000"/>
              <a:gd name="connsiteY35" fmla="*/ 9849 h 10000"/>
              <a:gd name="connsiteX36" fmla="*/ 3788 w 10000"/>
              <a:gd name="connsiteY36" fmla="*/ 9491 h 10000"/>
              <a:gd name="connsiteX37" fmla="*/ 3231 w 10000"/>
              <a:gd name="connsiteY37" fmla="*/ 8264 h 10000"/>
              <a:gd name="connsiteX38" fmla="*/ 3231 w 10000"/>
              <a:gd name="connsiteY38" fmla="*/ 7623 h 10000"/>
              <a:gd name="connsiteX39" fmla="*/ 3231 w 10000"/>
              <a:gd name="connsiteY39" fmla="*/ 7170 h 10000"/>
              <a:gd name="connsiteX40" fmla="*/ 3173 w 10000"/>
              <a:gd name="connsiteY40" fmla="*/ 6962 h 10000"/>
              <a:gd name="connsiteX41" fmla="*/ 3000 w 10000"/>
              <a:gd name="connsiteY41" fmla="*/ 6811 h 10000"/>
              <a:gd name="connsiteX42" fmla="*/ 2865 w 10000"/>
              <a:gd name="connsiteY42" fmla="*/ 6717 h 10000"/>
              <a:gd name="connsiteX43" fmla="*/ 2692 w 10000"/>
              <a:gd name="connsiteY43" fmla="*/ 6755 h 10000"/>
              <a:gd name="connsiteX44" fmla="*/ 2500 w 10000"/>
              <a:gd name="connsiteY44" fmla="*/ 6698 h 10000"/>
              <a:gd name="connsiteX45" fmla="*/ 2212 w 10000"/>
              <a:gd name="connsiteY45" fmla="*/ 6717 h 10000"/>
              <a:gd name="connsiteX46" fmla="*/ 1750 w 10000"/>
              <a:gd name="connsiteY46" fmla="*/ 6717 h 10000"/>
              <a:gd name="connsiteX47" fmla="*/ 558 w 10000"/>
              <a:gd name="connsiteY47" fmla="*/ 6717 h 10000"/>
              <a:gd name="connsiteX48" fmla="*/ 769 w 10000"/>
              <a:gd name="connsiteY48" fmla="*/ 6925 h 10000"/>
              <a:gd name="connsiteX49" fmla="*/ 558 w 10000"/>
              <a:gd name="connsiteY49" fmla="*/ 6830 h 10000"/>
              <a:gd name="connsiteX50" fmla="*/ 173 w 10000"/>
              <a:gd name="connsiteY50" fmla="*/ 6528 h 10000"/>
              <a:gd name="connsiteX51" fmla="*/ 115 w 10000"/>
              <a:gd name="connsiteY51" fmla="*/ 6151 h 10000"/>
              <a:gd name="connsiteX52" fmla="*/ 19 w 10000"/>
              <a:gd name="connsiteY52" fmla="*/ 6264 h 10000"/>
              <a:gd name="connsiteX53" fmla="*/ 154 w 10000"/>
              <a:gd name="connsiteY53" fmla="*/ 6019 h 10000"/>
              <a:gd name="connsiteX54" fmla="*/ 0 w 10000"/>
              <a:gd name="connsiteY54" fmla="*/ 4585 h 10000"/>
              <a:gd name="connsiteX0" fmla="*/ 0 w 10000"/>
              <a:gd name="connsiteY0" fmla="*/ 4585 h 10000"/>
              <a:gd name="connsiteX1" fmla="*/ 981 w 10000"/>
              <a:gd name="connsiteY1" fmla="*/ 4321 h 10000"/>
              <a:gd name="connsiteX2" fmla="*/ 269 w 10000"/>
              <a:gd name="connsiteY2" fmla="*/ 3981 h 10000"/>
              <a:gd name="connsiteX3" fmla="*/ 115 w 10000"/>
              <a:gd name="connsiteY3" fmla="*/ 3660 h 10000"/>
              <a:gd name="connsiteX4" fmla="*/ 365 w 10000"/>
              <a:gd name="connsiteY4" fmla="*/ 3415 h 10000"/>
              <a:gd name="connsiteX5" fmla="*/ 538 w 10000"/>
              <a:gd name="connsiteY5" fmla="*/ 3226 h 10000"/>
              <a:gd name="connsiteX6" fmla="*/ 1154 w 10000"/>
              <a:gd name="connsiteY6" fmla="*/ 2604 h 10000"/>
              <a:gd name="connsiteX7" fmla="*/ 1731 w 10000"/>
              <a:gd name="connsiteY7" fmla="*/ 2057 h 10000"/>
              <a:gd name="connsiteX8" fmla="*/ 2135 w 10000"/>
              <a:gd name="connsiteY8" fmla="*/ 1642 h 10000"/>
              <a:gd name="connsiteX9" fmla="*/ 2462 w 10000"/>
              <a:gd name="connsiteY9" fmla="*/ 1321 h 10000"/>
              <a:gd name="connsiteX10" fmla="*/ 2923 w 10000"/>
              <a:gd name="connsiteY10" fmla="*/ 849 h 10000"/>
              <a:gd name="connsiteX11" fmla="*/ 3231 w 10000"/>
              <a:gd name="connsiteY11" fmla="*/ 566 h 10000"/>
              <a:gd name="connsiteX12" fmla="*/ 3423 w 10000"/>
              <a:gd name="connsiteY12" fmla="*/ 358 h 10000"/>
              <a:gd name="connsiteX13" fmla="*/ 3673 w 10000"/>
              <a:gd name="connsiteY13" fmla="*/ 113 h 10000"/>
              <a:gd name="connsiteX14" fmla="*/ 3885 w 10000"/>
              <a:gd name="connsiteY14" fmla="*/ 0 h 10000"/>
              <a:gd name="connsiteX15" fmla="*/ 4212 w 10000"/>
              <a:gd name="connsiteY15" fmla="*/ 0 h 10000"/>
              <a:gd name="connsiteX16" fmla="*/ 6481 w 10000"/>
              <a:gd name="connsiteY16" fmla="*/ 0 h 10000"/>
              <a:gd name="connsiteX17" fmla="*/ 8635 w 10000"/>
              <a:gd name="connsiteY17" fmla="*/ 0 h 10000"/>
              <a:gd name="connsiteX18" fmla="*/ 9500 w 10000"/>
              <a:gd name="connsiteY18" fmla="*/ 0 h 10000"/>
              <a:gd name="connsiteX19" fmla="*/ 9731 w 10000"/>
              <a:gd name="connsiteY19" fmla="*/ 75 h 10000"/>
              <a:gd name="connsiteX20" fmla="*/ 9865 w 10000"/>
              <a:gd name="connsiteY20" fmla="*/ 208 h 10000"/>
              <a:gd name="connsiteX21" fmla="*/ 9962 w 10000"/>
              <a:gd name="connsiteY21" fmla="*/ 321 h 10000"/>
              <a:gd name="connsiteX22" fmla="*/ 10000 w 10000"/>
              <a:gd name="connsiteY22" fmla="*/ 472 h 10000"/>
              <a:gd name="connsiteX23" fmla="*/ 10000 w 10000"/>
              <a:gd name="connsiteY23" fmla="*/ 1434 h 10000"/>
              <a:gd name="connsiteX24" fmla="*/ 10000 w 10000"/>
              <a:gd name="connsiteY24" fmla="*/ 3868 h 10000"/>
              <a:gd name="connsiteX25" fmla="*/ 10000 w 10000"/>
              <a:gd name="connsiteY25" fmla="*/ 5604 h 10000"/>
              <a:gd name="connsiteX26" fmla="*/ 10000 w 10000"/>
              <a:gd name="connsiteY26" fmla="*/ 5943 h 10000"/>
              <a:gd name="connsiteX27" fmla="*/ 9981 w 10000"/>
              <a:gd name="connsiteY27" fmla="*/ 6245 h 10000"/>
              <a:gd name="connsiteX28" fmla="*/ 9846 w 10000"/>
              <a:gd name="connsiteY28" fmla="*/ 6453 h 10000"/>
              <a:gd name="connsiteX29" fmla="*/ 9721 w 10000"/>
              <a:gd name="connsiteY29" fmla="*/ 6546 h 10000"/>
              <a:gd name="connsiteX30" fmla="*/ 8058 w 10000"/>
              <a:gd name="connsiteY30" fmla="*/ 8205 h 10000"/>
              <a:gd name="connsiteX31" fmla="*/ 7308 w 10000"/>
              <a:gd name="connsiteY31" fmla="*/ 8925 h 10000"/>
              <a:gd name="connsiteX32" fmla="*/ 7077 w 10000"/>
              <a:gd name="connsiteY32" fmla="*/ 9170 h 10000"/>
              <a:gd name="connsiteX33" fmla="*/ 6904 w 10000"/>
              <a:gd name="connsiteY33" fmla="*/ 9340 h 10000"/>
              <a:gd name="connsiteX34" fmla="*/ 6212 w 10000"/>
              <a:gd name="connsiteY34" fmla="*/ 10000 h 10000"/>
              <a:gd name="connsiteX35" fmla="*/ 4269 w 10000"/>
              <a:gd name="connsiteY35" fmla="*/ 9849 h 10000"/>
              <a:gd name="connsiteX36" fmla="*/ 3788 w 10000"/>
              <a:gd name="connsiteY36" fmla="*/ 9491 h 10000"/>
              <a:gd name="connsiteX37" fmla="*/ 3231 w 10000"/>
              <a:gd name="connsiteY37" fmla="*/ 8264 h 10000"/>
              <a:gd name="connsiteX38" fmla="*/ 3231 w 10000"/>
              <a:gd name="connsiteY38" fmla="*/ 7623 h 10000"/>
              <a:gd name="connsiteX39" fmla="*/ 3231 w 10000"/>
              <a:gd name="connsiteY39" fmla="*/ 7170 h 10000"/>
              <a:gd name="connsiteX40" fmla="*/ 3173 w 10000"/>
              <a:gd name="connsiteY40" fmla="*/ 6962 h 10000"/>
              <a:gd name="connsiteX41" fmla="*/ 3000 w 10000"/>
              <a:gd name="connsiteY41" fmla="*/ 6811 h 10000"/>
              <a:gd name="connsiteX42" fmla="*/ 2865 w 10000"/>
              <a:gd name="connsiteY42" fmla="*/ 6717 h 10000"/>
              <a:gd name="connsiteX43" fmla="*/ 2692 w 10000"/>
              <a:gd name="connsiteY43" fmla="*/ 6755 h 10000"/>
              <a:gd name="connsiteX44" fmla="*/ 2500 w 10000"/>
              <a:gd name="connsiteY44" fmla="*/ 6698 h 10000"/>
              <a:gd name="connsiteX45" fmla="*/ 2212 w 10000"/>
              <a:gd name="connsiteY45" fmla="*/ 6717 h 10000"/>
              <a:gd name="connsiteX46" fmla="*/ 1750 w 10000"/>
              <a:gd name="connsiteY46" fmla="*/ 6717 h 10000"/>
              <a:gd name="connsiteX47" fmla="*/ 558 w 10000"/>
              <a:gd name="connsiteY47" fmla="*/ 6717 h 10000"/>
              <a:gd name="connsiteX48" fmla="*/ 769 w 10000"/>
              <a:gd name="connsiteY48" fmla="*/ 6925 h 10000"/>
              <a:gd name="connsiteX49" fmla="*/ 558 w 10000"/>
              <a:gd name="connsiteY49" fmla="*/ 6830 h 10000"/>
              <a:gd name="connsiteX50" fmla="*/ 173 w 10000"/>
              <a:gd name="connsiteY50" fmla="*/ 6528 h 10000"/>
              <a:gd name="connsiteX51" fmla="*/ 115 w 10000"/>
              <a:gd name="connsiteY51" fmla="*/ 6151 h 10000"/>
              <a:gd name="connsiteX52" fmla="*/ 19 w 10000"/>
              <a:gd name="connsiteY52" fmla="*/ 6264 h 10000"/>
              <a:gd name="connsiteX53" fmla="*/ 154 w 10000"/>
              <a:gd name="connsiteY53" fmla="*/ 6019 h 10000"/>
              <a:gd name="connsiteX54" fmla="*/ 0 w 10000"/>
              <a:gd name="connsiteY54" fmla="*/ 4585 h 10000"/>
              <a:gd name="connsiteX0" fmla="*/ 0 w 10000"/>
              <a:gd name="connsiteY0" fmla="*/ 4585 h 10000"/>
              <a:gd name="connsiteX1" fmla="*/ 981 w 10000"/>
              <a:gd name="connsiteY1" fmla="*/ 4321 h 10000"/>
              <a:gd name="connsiteX2" fmla="*/ 269 w 10000"/>
              <a:gd name="connsiteY2" fmla="*/ 3981 h 10000"/>
              <a:gd name="connsiteX3" fmla="*/ 115 w 10000"/>
              <a:gd name="connsiteY3" fmla="*/ 3660 h 10000"/>
              <a:gd name="connsiteX4" fmla="*/ 365 w 10000"/>
              <a:gd name="connsiteY4" fmla="*/ 3415 h 10000"/>
              <a:gd name="connsiteX5" fmla="*/ 538 w 10000"/>
              <a:gd name="connsiteY5" fmla="*/ 3226 h 10000"/>
              <a:gd name="connsiteX6" fmla="*/ 1154 w 10000"/>
              <a:gd name="connsiteY6" fmla="*/ 2604 h 10000"/>
              <a:gd name="connsiteX7" fmla="*/ 1731 w 10000"/>
              <a:gd name="connsiteY7" fmla="*/ 2057 h 10000"/>
              <a:gd name="connsiteX8" fmla="*/ 2135 w 10000"/>
              <a:gd name="connsiteY8" fmla="*/ 1642 h 10000"/>
              <a:gd name="connsiteX9" fmla="*/ 2462 w 10000"/>
              <a:gd name="connsiteY9" fmla="*/ 1321 h 10000"/>
              <a:gd name="connsiteX10" fmla="*/ 2923 w 10000"/>
              <a:gd name="connsiteY10" fmla="*/ 849 h 10000"/>
              <a:gd name="connsiteX11" fmla="*/ 3231 w 10000"/>
              <a:gd name="connsiteY11" fmla="*/ 566 h 10000"/>
              <a:gd name="connsiteX12" fmla="*/ 3423 w 10000"/>
              <a:gd name="connsiteY12" fmla="*/ 358 h 10000"/>
              <a:gd name="connsiteX13" fmla="*/ 3673 w 10000"/>
              <a:gd name="connsiteY13" fmla="*/ 113 h 10000"/>
              <a:gd name="connsiteX14" fmla="*/ 3885 w 10000"/>
              <a:gd name="connsiteY14" fmla="*/ 0 h 10000"/>
              <a:gd name="connsiteX15" fmla="*/ 4212 w 10000"/>
              <a:gd name="connsiteY15" fmla="*/ 0 h 10000"/>
              <a:gd name="connsiteX16" fmla="*/ 6481 w 10000"/>
              <a:gd name="connsiteY16" fmla="*/ 0 h 10000"/>
              <a:gd name="connsiteX17" fmla="*/ 8635 w 10000"/>
              <a:gd name="connsiteY17" fmla="*/ 0 h 10000"/>
              <a:gd name="connsiteX18" fmla="*/ 9500 w 10000"/>
              <a:gd name="connsiteY18" fmla="*/ 0 h 10000"/>
              <a:gd name="connsiteX19" fmla="*/ 9731 w 10000"/>
              <a:gd name="connsiteY19" fmla="*/ 75 h 10000"/>
              <a:gd name="connsiteX20" fmla="*/ 9865 w 10000"/>
              <a:gd name="connsiteY20" fmla="*/ 208 h 10000"/>
              <a:gd name="connsiteX21" fmla="*/ 9962 w 10000"/>
              <a:gd name="connsiteY21" fmla="*/ 321 h 10000"/>
              <a:gd name="connsiteX22" fmla="*/ 10000 w 10000"/>
              <a:gd name="connsiteY22" fmla="*/ 472 h 10000"/>
              <a:gd name="connsiteX23" fmla="*/ 10000 w 10000"/>
              <a:gd name="connsiteY23" fmla="*/ 1434 h 10000"/>
              <a:gd name="connsiteX24" fmla="*/ 10000 w 10000"/>
              <a:gd name="connsiteY24" fmla="*/ 3868 h 10000"/>
              <a:gd name="connsiteX25" fmla="*/ 10000 w 10000"/>
              <a:gd name="connsiteY25" fmla="*/ 5604 h 10000"/>
              <a:gd name="connsiteX26" fmla="*/ 10000 w 10000"/>
              <a:gd name="connsiteY26" fmla="*/ 5943 h 10000"/>
              <a:gd name="connsiteX27" fmla="*/ 9981 w 10000"/>
              <a:gd name="connsiteY27" fmla="*/ 6245 h 10000"/>
              <a:gd name="connsiteX28" fmla="*/ 9846 w 10000"/>
              <a:gd name="connsiteY28" fmla="*/ 6413 h 10000"/>
              <a:gd name="connsiteX29" fmla="*/ 9721 w 10000"/>
              <a:gd name="connsiteY29" fmla="*/ 6546 h 10000"/>
              <a:gd name="connsiteX30" fmla="*/ 8058 w 10000"/>
              <a:gd name="connsiteY30" fmla="*/ 8205 h 10000"/>
              <a:gd name="connsiteX31" fmla="*/ 7308 w 10000"/>
              <a:gd name="connsiteY31" fmla="*/ 8925 h 10000"/>
              <a:gd name="connsiteX32" fmla="*/ 7077 w 10000"/>
              <a:gd name="connsiteY32" fmla="*/ 9170 h 10000"/>
              <a:gd name="connsiteX33" fmla="*/ 6904 w 10000"/>
              <a:gd name="connsiteY33" fmla="*/ 9340 h 10000"/>
              <a:gd name="connsiteX34" fmla="*/ 6212 w 10000"/>
              <a:gd name="connsiteY34" fmla="*/ 10000 h 10000"/>
              <a:gd name="connsiteX35" fmla="*/ 4269 w 10000"/>
              <a:gd name="connsiteY35" fmla="*/ 9849 h 10000"/>
              <a:gd name="connsiteX36" fmla="*/ 3788 w 10000"/>
              <a:gd name="connsiteY36" fmla="*/ 9491 h 10000"/>
              <a:gd name="connsiteX37" fmla="*/ 3231 w 10000"/>
              <a:gd name="connsiteY37" fmla="*/ 8264 h 10000"/>
              <a:gd name="connsiteX38" fmla="*/ 3231 w 10000"/>
              <a:gd name="connsiteY38" fmla="*/ 7623 h 10000"/>
              <a:gd name="connsiteX39" fmla="*/ 3231 w 10000"/>
              <a:gd name="connsiteY39" fmla="*/ 7170 h 10000"/>
              <a:gd name="connsiteX40" fmla="*/ 3173 w 10000"/>
              <a:gd name="connsiteY40" fmla="*/ 6962 h 10000"/>
              <a:gd name="connsiteX41" fmla="*/ 3000 w 10000"/>
              <a:gd name="connsiteY41" fmla="*/ 6811 h 10000"/>
              <a:gd name="connsiteX42" fmla="*/ 2865 w 10000"/>
              <a:gd name="connsiteY42" fmla="*/ 6717 h 10000"/>
              <a:gd name="connsiteX43" fmla="*/ 2692 w 10000"/>
              <a:gd name="connsiteY43" fmla="*/ 6755 h 10000"/>
              <a:gd name="connsiteX44" fmla="*/ 2500 w 10000"/>
              <a:gd name="connsiteY44" fmla="*/ 6698 h 10000"/>
              <a:gd name="connsiteX45" fmla="*/ 2212 w 10000"/>
              <a:gd name="connsiteY45" fmla="*/ 6717 h 10000"/>
              <a:gd name="connsiteX46" fmla="*/ 1750 w 10000"/>
              <a:gd name="connsiteY46" fmla="*/ 6717 h 10000"/>
              <a:gd name="connsiteX47" fmla="*/ 558 w 10000"/>
              <a:gd name="connsiteY47" fmla="*/ 6717 h 10000"/>
              <a:gd name="connsiteX48" fmla="*/ 769 w 10000"/>
              <a:gd name="connsiteY48" fmla="*/ 6925 h 10000"/>
              <a:gd name="connsiteX49" fmla="*/ 558 w 10000"/>
              <a:gd name="connsiteY49" fmla="*/ 6830 h 10000"/>
              <a:gd name="connsiteX50" fmla="*/ 173 w 10000"/>
              <a:gd name="connsiteY50" fmla="*/ 6528 h 10000"/>
              <a:gd name="connsiteX51" fmla="*/ 115 w 10000"/>
              <a:gd name="connsiteY51" fmla="*/ 6151 h 10000"/>
              <a:gd name="connsiteX52" fmla="*/ 19 w 10000"/>
              <a:gd name="connsiteY52" fmla="*/ 6264 h 10000"/>
              <a:gd name="connsiteX53" fmla="*/ 154 w 10000"/>
              <a:gd name="connsiteY53" fmla="*/ 6019 h 10000"/>
              <a:gd name="connsiteX54" fmla="*/ 0 w 10000"/>
              <a:gd name="connsiteY54" fmla="*/ 4585 h 100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Lst>
            <a:rect l="l" t="t" r="r" b="b"/>
            <a:pathLst>
              <a:path w="10000" h="10000">
                <a:moveTo>
                  <a:pt x="0" y="4585"/>
                </a:moveTo>
                <a:lnTo>
                  <a:pt x="981" y="4321"/>
                </a:lnTo>
                <a:lnTo>
                  <a:pt x="269" y="3981"/>
                </a:lnTo>
                <a:cubicBezTo>
                  <a:pt x="218" y="3874"/>
                  <a:pt x="166" y="3767"/>
                  <a:pt x="115" y="3660"/>
                </a:cubicBezTo>
                <a:lnTo>
                  <a:pt x="365" y="3415"/>
                </a:lnTo>
                <a:lnTo>
                  <a:pt x="538" y="3226"/>
                </a:lnTo>
                <a:lnTo>
                  <a:pt x="1154" y="2604"/>
                </a:lnTo>
                <a:lnTo>
                  <a:pt x="1731" y="2057"/>
                </a:lnTo>
                <a:lnTo>
                  <a:pt x="2135" y="1642"/>
                </a:lnTo>
                <a:lnTo>
                  <a:pt x="2462" y="1321"/>
                </a:lnTo>
                <a:lnTo>
                  <a:pt x="2923" y="849"/>
                </a:lnTo>
                <a:lnTo>
                  <a:pt x="3231" y="566"/>
                </a:lnTo>
                <a:lnTo>
                  <a:pt x="3423" y="358"/>
                </a:lnTo>
                <a:lnTo>
                  <a:pt x="3673" y="113"/>
                </a:lnTo>
                <a:lnTo>
                  <a:pt x="3885" y="0"/>
                </a:lnTo>
                <a:lnTo>
                  <a:pt x="4212" y="0"/>
                </a:lnTo>
                <a:lnTo>
                  <a:pt x="6481" y="0"/>
                </a:lnTo>
                <a:lnTo>
                  <a:pt x="8635" y="0"/>
                </a:lnTo>
                <a:lnTo>
                  <a:pt x="9500" y="0"/>
                </a:lnTo>
                <a:lnTo>
                  <a:pt x="9731" y="75"/>
                </a:lnTo>
                <a:cubicBezTo>
                  <a:pt x="9776" y="119"/>
                  <a:pt x="9820" y="164"/>
                  <a:pt x="9865" y="208"/>
                </a:cubicBezTo>
                <a:cubicBezTo>
                  <a:pt x="9897" y="246"/>
                  <a:pt x="9930" y="283"/>
                  <a:pt x="9962" y="321"/>
                </a:cubicBezTo>
                <a:cubicBezTo>
                  <a:pt x="9975" y="371"/>
                  <a:pt x="9987" y="422"/>
                  <a:pt x="10000" y="472"/>
                </a:cubicBezTo>
                <a:lnTo>
                  <a:pt x="10000" y="1434"/>
                </a:lnTo>
                <a:lnTo>
                  <a:pt x="10000" y="3868"/>
                </a:lnTo>
                <a:lnTo>
                  <a:pt x="10000" y="5604"/>
                </a:lnTo>
                <a:lnTo>
                  <a:pt x="10000" y="5943"/>
                </a:lnTo>
                <a:cubicBezTo>
                  <a:pt x="9994" y="6044"/>
                  <a:pt x="9987" y="6144"/>
                  <a:pt x="9981" y="6245"/>
                </a:cubicBezTo>
                <a:lnTo>
                  <a:pt x="9846" y="6413"/>
                </a:lnTo>
                <a:cubicBezTo>
                  <a:pt x="9808" y="6451"/>
                  <a:pt x="9759" y="6508"/>
                  <a:pt x="9721" y="6546"/>
                </a:cubicBezTo>
                <a:lnTo>
                  <a:pt x="8058" y="8205"/>
                </a:lnTo>
                <a:lnTo>
                  <a:pt x="7308" y="8925"/>
                </a:lnTo>
                <a:lnTo>
                  <a:pt x="7077" y="9170"/>
                </a:lnTo>
                <a:lnTo>
                  <a:pt x="6904" y="9340"/>
                </a:lnTo>
                <a:lnTo>
                  <a:pt x="6212" y="10000"/>
                </a:lnTo>
                <a:lnTo>
                  <a:pt x="4269" y="9849"/>
                </a:lnTo>
                <a:lnTo>
                  <a:pt x="3788" y="9491"/>
                </a:lnTo>
                <a:lnTo>
                  <a:pt x="3231" y="8264"/>
                </a:lnTo>
                <a:lnTo>
                  <a:pt x="3231" y="7623"/>
                </a:lnTo>
                <a:lnTo>
                  <a:pt x="3231" y="7170"/>
                </a:lnTo>
                <a:cubicBezTo>
                  <a:pt x="3212" y="7101"/>
                  <a:pt x="3192" y="7031"/>
                  <a:pt x="3173" y="6962"/>
                </a:cubicBezTo>
                <a:cubicBezTo>
                  <a:pt x="3019" y="6830"/>
                  <a:pt x="3058" y="6887"/>
                  <a:pt x="3000" y="6811"/>
                </a:cubicBezTo>
                <a:lnTo>
                  <a:pt x="2865" y="6717"/>
                </a:lnTo>
                <a:lnTo>
                  <a:pt x="2692" y="6755"/>
                </a:lnTo>
                <a:lnTo>
                  <a:pt x="2500" y="6698"/>
                </a:lnTo>
                <a:lnTo>
                  <a:pt x="2212" y="6717"/>
                </a:lnTo>
                <a:lnTo>
                  <a:pt x="1750" y="6717"/>
                </a:lnTo>
                <a:lnTo>
                  <a:pt x="558" y="6717"/>
                </a:lnTo>
                <a:lnTo>
                  <a:pt x="769" y="6925"/>
                </a:lnTo>
                <a:lnTo>
                  <a:pt x="558" y="6830"/>
                </a:lnTo>
                <a:lnTo>
                  <a:pt x="173" y="6528"/>
                </a:lnTo>
                <a:cubicBezTo>
                  <a:pt x="154" y="6402"/>
                  <a:pt x="134" y="6277"/>
                  <a:pt x="115" y="6151"/>
                </a:cubicBezTo>
                <a:cubicBezTo>
                  <a:pt x="83" y="6189"/>
                  <a:pt x="51" y="6226"/>
                  <a:pt x="19" y="6264"/>
                </a:cubicBezTo>
                <a:lnTo>
                  <a:pt x="154" y="6019"/>
                </a:lnTo>
                <a:cubicBezTo>
                  <a:pt x="103" y="5541"/>
                  <a:pt x="51" y="5063"/>
                  <a:pt x="0" y="4585"/>
                </a:cubicBezTo>
                <a:close/>
              </a:path>
            </a:pathLst>
          </a:custGeom>
          <a:gradFill rotWithShape="1">
            <a:gsLst>
              <a:gs pos="0">
                <a:srgbClr val="CCFFFF"/>
              </a:gs>
              <a:gs pos="100000">
                <a:srgbClr val="A6CAF0"/>
              </a:gs>
            </a:gsLst>
            <a:lin ang="5400000" scaled="1"/>
          </a:gradFill>
          <a:ln w="9525">
            <a:solidFill>
              <a:srgbClr val="000000"/>
            </a:solidFill>
            <a:round/>
            <a:headEnd/>
            <a:tailEnd/>
          </a:ln>
        </xdr:spPr>
      </xdr:sp>
      <xdr:sp macro="" textlink="">
        <xdr:nvSpPr>
          <xdr:cNvPr id="185" name="AutoShape 11"/>
          <xdr:cNvSpPr>
            <a:spLocks noChangeArrowheads="1"/>
          </xdr:cNvSpPr>
        </xdr:nvSpPr>
        <xdr:spPr bwMode="auto">
          <a:xfrm>
            <a:off x="2971800" y="2914650"/>
            <a:ext cx="352425" cy="3057525"/>
          </a:xfrm>
          <a:prstGeom prst="roundRect">
            <a:avLst>
              <a:gd name="adj" fmla="val 16667"/>
            </a:avLst>
          </a:prstGeom>
          <a:solidFill>
            <a:srgbClr val="FFFFFF"/>
          </a:solidFill>
          <a:ln w="9525">
            <a:solidFill>
              <a:srgbClr val="000000"/>
            </a:solidFill>
            <a:round/>
            <a:headEnd/>
            <a:tailEnd/>
          </a:ln>
        </xdr:spPr>
      </xdr:sp>
      <xdr:grpSp>
        <xdr:nvGrpSpPr>
          <xdr:cNvPr id="186" name="Group 12"/>
          <xdr:cNvGrpSpPr>
            <a:grpSpLocks/>
          </xdr:cNvGrpSpPr>
        </xdr:nvGrpSpPr>
        <xdr:grpSpPr bwMode="auto">
          <a:xfrm flipV="1">
            <a:off x="3009900" y="5972175"/>
            <a:ext cx="257175" cy="95250"/>
            <a:chOff x="146" y="875"/>
            <a:chExt cx="23" cy="9"/>
          </a:xfrm>
        </xdr:grpSpPr>
        <xdr:sp macro="" textlink="">
          <xdr:nvSpPr>
            <xdr:cNvPr id="466" name="Line 13"/>
            <xdr:cNvSpPr>
              <a:spLocks noChangeShapeType="1"/>
            </xdr:cNvSpPr>
          </xdr:nvSpPr>
          <xdr:spPr bwMode="auto">
            <a:xfrm flipV="1">
              <a:off x="157" y="875"/>
              <a:ext cx="0" cy="9"/>
            </a:xfrm>
            <a:prstGeom prst="line">
              <a:avLst/>
            </a:prstGeom>
            <a:noFill/>
            <a:ln w="19050">
              <a:solidFill>
                <a:srgbClr val="000000"/>
              </a:solidFill>
              <a:round/>
              <a:headEnd/>
              <a:tailEnd/>
            </a:ln>
          </xdr:spPr>
        </xdr:sp>
        <xdr:sp macro="" textlink="">
          <xdr:nvSpPr>
            <xdr:cNvPr id="467" name="Line 14"/>
            <xdr:cNvSpPr>
              <a:spLocks noChangeShapeType="1"/>
            </xdr:cNvSpPr>
          </xdr:nvSpPr>
          <xdr:spPr bwMode="auto">
            <a:xfrm>
              <a:off x="146" y="875"/>
              <a:ext cx="23" cy="0"/>
            </a:xfrm>
            <a:prstGeom prst="line">
              <a:avLst/>
            </a:prstGeom>
            <a:noFill/>
            <a:ln w="19050">
              <a:solidFill>
                <a:srgbClr val="000000"/>
              </a:solidFill>
              <a:round/>
              <a:headEnd/>
              <a:tailEnd/>
            </a:ln>
          </xdr:spPr>
        </xdr:sp>
      </xdr:grpSp>
      <xdr:grpSp>
        <xdr:nvGrpSpPr>
          <xdr:cNvPr id="187" name="Group 15"/>
          <xdr:cNvGrpSpPr>
            <a:grpSpLocks/>
          </xdr:cNvGrpSpPr>
        </xdr:nvGrpSpPr>
        <xdr:grpSpPr bwMode="auto">
          <a:xfrm>
            <a:off x="5095875" y="2819400"/>
            <a:ext cx="352425" cy="3248025"/>
            <a:chOff x="141" y="875"/>
            <a:chExt cx="32" cy="290"/>
          </a:xfrm>
        </xdr:grpSpPr>
        <xdr:sp macro="" textlink="">
          <xdr:nvSpPr>
            <xdr:cNvPr id="459" name="AutoShape 16"/>
            <xdr:cNvSpPr>
              <a:spLocks noChangeArrowheads="1"/>
            </xdr:cNvSpPr>
          </xdr:nvSpPr>
          <xdr:spPr bwMode="auto">
            <a:xfrm>
              <a:off x="141" y="884"/>
              <a:ext cx="32" cy="272"/>
            </a:xfrm>
            <a:prstGeom prst="roundRect">
              <a:avLst>
                <a:gd name="adj" fmla="val 16667"/>
              </a:avLst>
            </a:prstGeom>
            <a:solidFill>
              <a:srgbClr val="FFFFFF"/>
            </a:solidFill>
            <a:ln w="9525">
              <a:solidFill>
                <a:srgbClr val="000000"/>
              </a:solidFill>
              <a:round/>
              <a:headEnd/>
              <a:tailEnd/>
            </a:ln>
          </xdr:spPr>
        </xdr:sp>
        <xdr:grpSp>
          <xdr:nvGrpSpPr>
            <xdr:cNvPr id="460" name="Group 17"/>
            <xdr:cNvGrpSpPr>
              <a:grpSpLocks/>
            </xdr:cNvGrpSpPr>
          </xdr:nvGrpSpPr>
          <xdr:grpSpPr bwMode="auto">
            <a:xfrm>
              <a:off x="146" y="875"/>
              <a:ext cx="23" cy="9"/>
              <a:chOff x="146" y="875"/>
              <a:chExt cx="23" cy="9"/>
            </a:xfrm>
          </xdr:grpSpPr>
          <xdr:sp macro="" textlink="">
            <xdr:nvSpPr>
              <xdr:cNvPr id="464" name="Line 18"/>
              <xdr:cNvSpPr>
                <a:spLocks noChangeShapeType="1"/>
              </xdr:cNvSpPr>
            </xdr:nvSpPr>
            <xdr:spPr bwMode="auto">
              <a:xfrm flipV="1">
                <a:off x="157" y="875"/>
                <a:ext cx="0" cy="9"/>
              </a:xfrm>
              <a:prstGeom prst="line">
                <a:avLst/>
              </a:prstGeom>
              <a:noFill/>
              <a:ln w="19050">
                <a:solidFill>
                  <a:srgbClr val="000000"/>
                </a:solidFill>
                <a:round/>
                <a:headEnd/>
                <a:tailEnd/>
              </a:ln>
            </xdr:spPr>
          </xdr:sp>
          <xdr:sp macro="" textlink="">
            <xdr:nvSpPr>
              <xdr:cNvPr id="465" name="Line 19"/>
              <xdr:cNvSpPr>
                <a:spLocks noChangeShapeType="1"/>
              </xdr:cNvSpPr>
            </xdr:nvSpPr>
            <xdr:spPr bwMode="auto">
              <a:xfrm>
                <a:off x="146" y="875"/>
                <a:ext cx="23" cy="0"/>
              </a:xfrm>
              <a:prstGeom prst="line">
                <a:avLst/>
              </a:prstGeom>
              <a:noFill/>
              <a:ln w="19050">
                <a:solidFill>
                  <a:srgbClr val="000000"/>
                </a:solidFill>
                <a:round/>
                <a:headEnd/>
                <a:tailEnd/>
              </a:ln>
            </xdr:spPr>
          </xdr:sp>
        </xdr:grpSp>
        <xdr:grpSp>
          <xdr:nvGrpSpPr>
            <xdr:cNvPr id="461" name="Group 20"/>
            <xdr:cNvGrpSpPr>
              <a:grpSpLocks/>
            </xdr:cNvGrpSpPr>
          </xdr:nvGrpSpPr>
          <xdr:grpSpPr bwMode="auto">
            <a:xfrm flipV="1">
              <a:off x="145" y="1156"/>
              <a:ext cx="23" cy="9"/>
              <a:chOff x="146" y="875"/>
              <a:chExt cx="23" cy="9"/>
            </a:xfrm>
          </xdr:grpSpPr>
          <xdr:sp macro="" textlink="">
            <xdr:nvSpPr>
              <xdr:cNvPr id="462" name="Line 21"/>
              <xdr:cNvSpPr>
                <a:spLocks noChangeShapeType="1"/>
              </xdr:cNvSpPr>
            </xdr:nvSpPr>
            <xdr:spPr bwMode="auto">
              <a:xfrm flipV="1">
                <a:off x="157" y="875"/>
                <a:ext cx="0" cy="9"/>
              </a:xfrm>
              <a:prstGeom prst="line">
                <a:avLst/>
              </a:prstGeom>
              <a:noFill/>
              <a:ln w="19050">
                <a:solidFill>
                  <a:srgbClr val="000000"/>
                </a:solidFill>
                <a:round/>
                <a:headEnd/>
                <a:tailEnd/>
              </a:ln>
            </xdr:spPr>
          </xdr:sp>
          <xdr:sp macro="" textlink="">
            <xdr:nvSpPr>
              <xdr:cNvPr id="463" name="Line 22"/>
              <xdr:cNvSpPr>
                <a:spLocks noChangeShapeType="1"/>
              </xdr:cNvSpPr>
            </xdr:nvSpPr>
            <xdr:spPr bwMode="auto">
              <a:xfrm>
                <a:off x="146" y="875"/>
                <a:ext cx="23" cy="0"/>
              </a:xfrm>
              <a:prstGeom prst="line">
                <a:avLst/>
              </a:prstGeom>
              <a:noFill/>
              <a:ln w="19050">
                <a:solidFill>
                  <a:srgbClr val="000000"/>
                </a:solidFill>
                <a:round/>
                <a:headEnd/>
                <a:tailEnd/>
              </a:ln>
            </xdr:spPr>
          </xdr:sp>
        </xdr:grpSp>
      </xdr:grpSp>
      <xdr:sp macro="" textlink="">
        <xdr:nvSpPr>
          <xdr:cNvPr id="188" name="AutoShape 23"/>
          <xdr:cNvSpPr>
            <a:spLocks noChangeArrowheads="1"/>
          </xdr:cNvSpPr>
        </xdr:nvSpPr>
        <xdr:spPr bwMode="auto">
          <a:xfrm>
            <a:off x="5448300" y="2914650"/>
            <a:ext cx="352425" cy="3057525"/>
          </a:xfrm>
          <a:prstGeom prst="roundRect">
            <a:avLst>
              <a:gd name="adj" fmla="val 16667"/>
            </a:avLst>
          </a:prstGeom>
          <a:solidFill>
            <a:srgbClr val="FFFFFF"/>
          </a:solidFill>
          <a:ln w="9525">
            <a:solidFill>
              <a:srgbClr val="000000"/>
            </a:solidFill>
            <a:round/>
            <a:headEnd/>
            <a:tailEnd/>
          </a:ln>
        </xdr:spPr>
      </xdr:sp>
      <xdr:sp macro="" textlink="">
        <xdr:nvSpPr>
          <xdr:cNvPr id="189" name="Line 24"/>
          <xdr:cNvSpPr>
            <a:spLocks noChangeShapeType="1"/>
          </xdr:cNvSpPr>
        </xdr:nvSpPr>
        <xdr:spPr bwMode="auto">
          <a:xfrm flipV="1">
            <a:off x="5629275" y="2847975"/>
            <a:ext cx="0" cy="66675"/>
          </a:xfrm>
          <a:prstGeom prst="line">
            <a:avLst/>
          </a:prstGeom>
          <a:noFill/>
          <a:ln w="19050">
            <a:solidFill>
              <a:srgbClr val="000000"/>
            </a:solidFill>
            <a:round/>
            <a:headEnd/>
            <a:tailEnd/>
          </a:ln>
        </xdr:spPr>
      </xdr:sp>
      <xdr:sp macro="" textlink="">
        <xdr:nvSpPr>
          <xdr:cNvPr id="190" name="Line 25"/>
          <xdr:cNvSpPr>
            <a:spLocks noChangeShapeType="1"/>
          </xdr:cNvSpPr>
        </xdr:nvSpPr>
        <xdr:spPr bwMode="auto">
          <a:xfrm>
            <a:off x="5505450" y="2819400"/>
            <a:ext cx="257175" cy="66675"/>
          </a:xfrm>
          <a:prstGeom prst="line">
            <a:avLst/>
          </a:prstGeom>
          <a:noFill/>
          <a:ln w="19050">
            <a:solidFill>
              <a:srgbClr val="000000"/>
            </a:solidFill>
            <a:round/>
            <a:headEnd/>
            <a:tailEnd/>
          </a:ln>
        </xdr:spPr>
      </xdr:sp>
      <xdr:sp macro="" textlink="">
        <xdr:nvSpPr>
          <xdr:cNvPr id="191" name="Line 26"/>
          <xdr:cNvSpPr>
            <a:spLocks noChangeShapeType="1"/>
          </xdr:cNvSpPr>
        </xdr:nvSpPr>
        <xdr:spPr bwMode="auto">
          <a:xfrm>
            <a:off x="5610225" y="5972175"/>
            <a:ext cx="19050" cy="57150"/>
          </a:xfrm>
          <a:prstGeom prst="line">
            <a:avLst/>
          </a:prstGeom>
          <a:noFill/>
          <a:ln w="19050">
            <a:solidFill>
              <a:srgbClr val="000000"/>
            </a:solidFill>
            <a:round/>
            <a:headEnd/>
            <a:tailEnd/>
          </a:ln>
        </xdr:spPr>
      </xdr:sp>
      <xdr:sp macro="" textlink="">
        <xdr:nvSpPr>
          <xdr:cNvPr id="192" name="Line 27"/>
          <xdr:cNvSpPr>
            <a:spLocks noChangeShapeType="1"/>
          </xdr:cNvSpPr>
        </xdr:nvSpPr>
        <xdr:spPr bwMode="auto">
          <a:xfrm flipV="1">
            <a:off x="5495925" y="6010275"/>
            <a:ext cx="247650" cy="57150"/>
          </a:xfrm>
          <a:prstGeom prst="line">
            <a:avLst/>
          </a:prstGeom>
          <a:noFill/>
          <a:ln w="19050">
            <a:solidFill>
              <a:srgbClr val="000000"/>
            </a:solidFill>
            <a:round/>
            <a:headEnd/>
            <a:tailEnd/>
          </a:ln>
        </xdr:spPr>
      </xdr:sp>
      <xdr:sp macro="" textlink="">
        <xdr:nvSpPr>
          <xdr:cNvPr id="193" name="AutoShape 28"/>
          <xdr:cNvSpPr>
            <a:spLocks noChangeArrowheads="1"/>
          </xdr:cNvSpPr>
        </xdr:nvSpPr>
        <xdr:spPr bwMode="auto">
          <a:xfrm>
            <a:off x="2628900" y="3019425"/>
            <a:ext cx="342900" cy="2838450"/>
          </a:xfrm>
          <a:prstGeom prst="roundRect">
            <a:avLst>
              <a:gd name="adj" fmla="val 16667"/>
            </a:avLst>
          </a:prstGeom>
          <a:solidFill>
            <a:srgbClr val="FFFFFF"/>
          </a:solidFill>
          <a:ln w="9525">
            <a:solidFill>
              <a:srgbClr val="000000"/>
            </a:solidFill>
            <a:round/>
            <a:headEnd/>
            <a:tailEnd/>
          </a:ln>
        </xdr:spPr>
      </xdr:sp>
      <xdr:sp macro="" textlink="">
        <xdr:nvSpPr>
          <xdr:cNvPr id="194" name="AutoShape 29"/>
          <xdr:cNvSpPr>
            <a:spLocks noChangeArrowheads="1"/>
          </xdr:cNvSpPr>
        </xdr:nvSpPr>
        <xdr:spPr bwMode="auto">
          <a:xfrm>
            <a:off x="2619375" y="2752725"/>
            <a:ext cx="3248025" cy="3295650"/>
          </a:xfrm>
          <a:prstGeom prst="roundRect">
            <a:avLst>
              <a:gd name="adj" fmla="val 7333"/>
            </a:avLst>
          </a:prstGeom>
          <a:solidFill>
            <a:srgbClr val="66FFCC"/>
          </a:solidFill>
          <a:ln w="12700">
            <a:solidFill>
              <a:srgbClr val="000000"/>
            </a:solidFill>
            <a:round/>
            <a:headEnd/>
            <a:tailEnd/>
          </a:ln>
        </xdr:spPr>
      </xdr:sp>
      <xdr:sp macro="" textlink="">
        <xdr:nvSpPr>
          <xdr:cNvPr id="195" name="Line 30"/>
          <xdr:cNvSpPr>
            <a:spLocks noChangeShapeType="1"/>
          </xdr:cNvSpPr>
        </xdr:nvSpPr>
        <xdr:spPr bwMode="auto">
          <a:xfrm flipH="1">
            <a:off x="5724525" y="5838825"/>
            <a:ext cx="209550" cy="219075"/>
          </a:xfrm>
          <a:prstGeom prst="line">
            <a:avLst/>
          </a:prstGeom>
          <a:noFill/>
          <a:ln w="9525">
            <a:solidFill>
              <a:srgbClr val="000000"/>
            </a:solidFill>
            <a:round/>
            <a:headEnd/>
            <a:tailEnd/>
          </a:ln>
        </xdr:spPr>
      </xdr:sp>
      <xdr:sp macro="" textlink="">
        <xdr:nvSpPr>
          <xdr:cNvPr id="196" name="Line 31"/>
          <xdr:cNvSpPr>
            <a:spLocks noChangeShapeType="1"/>
          </xdr:cNvSpPr>
        </xdr:nvSpPr>
        <xdr:spPr bwMode="auto">
          <a:xfrm flipV="1">
            <a:off x="5829300" y="1066800"/>
            <a:ext cx="1771650" cy="1790700"/>
          </a:xfrm>
          <a:prstGeom prst="line">
            <a:avLst/>
          </a:prstGeom>
          <a:noFill/>
          <a:ln w="28575">
            <a:solidFill>
              <a:srgbClr val="66FFFF"/>
            </a:solidFill>
            <a:round/>
            <a:headEnd/>
            <a:tailEnd/>
          </a:ln>
        </xdr:spPr>
      </xdr:sp>
      <xdr:sp macro="" textlink="">
        <xdr:nvSpPr>
          <xdr:cNvPr id="197" name="Line 32"/>
          <xdr:cNvSpPr>
            <a:spLocks noChangeShapeType="1"/>
          </xdr:cNvSpPr>
        </xdr:nvSpPr>
        <xdr:spPr bwMode="auto">
          <a:xfrm flipV="1">
            <a:off x="5743575" y="1000125"/>
            <a:ext cx="1771650" cy="1790700"/>
          </a:xfrm>
          <a:prstGeom prst="line">
            <a:avLst/>
          </a:prstGeom>
          <a:noFill/>
          <a:ln w="28575">
            <a:solidFill>
              <a:srgbClr val="66FFFF"/>
            </a:solidFill>
            <a:round/>
            <a:headEnd/>
            <a:tailEnd/>
          </a:ln>
        </xdr:spPr>
      </xdr:sp>
      <xdr:sp macro="" textlink="">
        <xdr:nvSpPr>
          <xdr:cNvPr id="198" name="Line 33"/>
          <xdr:cNvSpPr>
            <a:spLocks noChangeShapeType="1"/>
          </xdr:cNvSpPr>
        </xdr:nvSpPr>
        <xdr:spPr bwMode="auto">
          <a:xfrm flipV="1">
            <a:off x="5857875" y="1162050"/>
            <a:ext cx="1771650" cy="1800225"/>
          </a:xfrm>
          <a:prstGeom prst="line">
            <a:avLst/>
          </a:prstGeom>
          <a:noFill/>
          <a:ln w="28575">
            <a:solidFill>
              <a:srgbClr val="66FFFF"/>
            </a:solidFill>
            <a:round/>
            <a:headEnd/>
            <a:tailEnd/>
          </a:ln>
        </xdr:spPr>
      </xdr:sp>
      <xdr:sp macro="" textlink="">
        <xdr:nvSpPr>
          <xdr:cNvPr id="199" name="Arc 34"/>
          <xdr:cNvSpPr>
            <a:spLocks/>
          </xdr:cNvSpPr>
        </xdr:nvSpPr>
        <xdr:spPr bwMode="auto">
          <a:xfrm>
            <a:off x="7353300" y="952500"/>
            <a:ext cx="276225" cy="228600"/>
          </a:xfrm>
          <a:custGeom>
            <a:avLst/>
            <a:gdLst>
              <a:gd name="T0" fmla="*/ 0 w 21600"/>
              <a:gd name="T1" fmla="*/ 0 h 21600"/>
              <a:gd name="T2" fmla="*/ 2147483647 w 21600"/>
              <a:gd name="T3" fmla="*/ 2147483647 h 21600"/>
              <a:gd name="T4" fmla="*/ 0 w 21600"/>
              <a:gd name="T5" fmla="*/ 2147483647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0000"/>
            </a:solidFill>
            <a:round/>
            <a:headEnd/>
            <a:tailEnd/>
          </a:ln>
        </xdr:spPr>
      </xdr:sp>
      <xdr:sp macro="" textlink="">
        <xdr:nvSpPr>
          <xdr:cNvPr id="200" name="Arc 35"/>
          <xdr:cNvSpPr>
            <a:spLocks/>
          </xdr:cNvSpPr>
        </xdr:nvSpPr>
        <xdr:spPr bwMode="auto">
          <a:xfrm>
            <a:off x="5610225" y="2752725"/>
            <a:ext cx="257175" cy="228600"/>
          </a:xfrm>
          <a:custGeom>
            <a:avLst/>
            <a:gdLst>
              <a:gd name="T0" fmla="*/ 0 w 21600"/>
              <a:gd name="T1" fmla="*/ 0 h 21600"/>
              <a:gd name="T2" fmla="*/ 2147483647 w 21600"/>
              <a:gd name="T3" fmla="*/ 2147483647 h 21600"/>
              <a:gd name="T4" fmla="*/ 0 w 21600"/>
              <a:gd name="T5" fmla="*/ 2147483647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0000"/>
            </a:solidFill>
            <a:round/>
            <a:headEnd/>
            <a:tailEnd/>
          </a:ln>
        </xdr:spPr>
      </xdr:sp>
      <xdr:sp macro="" textlink="">
        <xdr:nvSpPr>
          <xdr:cNvPr id="201" name="Freeform 36"/>
          <xdr:cNvSpPr>
            <a:spLocks/>
          </xdr:cNvSpPr>
        </xdr:nvSpPr>
        <xdr:spPr bwMode="auto">
          <a:xfrm>
            <a:off x="2590800" y="2933700"/>
            <a:ext cx="3143250" cy="3181350"/>
          </a:xfrm>
          <a:custGeom>
            <a:avLst/>
            <a:gdLst>
              <a:gd name="T0" fmla="*/ 2147483647 w 330"/>
              <a:gd name="T1" fmla="*/ 0 h 334"/>
              <a:gd name="T2" fmla="*/ 2147483647 w 330"/>
              <a:gd name="T3" fmla="*/ 2147483647 h 334"/>
              <a:gd name="T4" fmla="*/ 0 w 330"/>
              <a:gd name="T5" fmla="*/ 2147483647 h 334"/>
              <a:gd name="T6" fmla="*/ 0 w 330"/>
              <a:gd name="T7" fmla="*/ 2147483647 h 334"/>
              <a:gd name="T8" fmla="*/ 0 w 330"/>
              <a:gd name="T9" fmla="*/ 2147483647 h 334"/>
              <a:gd name="T10" fmla="*/ 2147483647 w 330"/>
              <a:gd name="T11" fmla="*/ 2147483647 h 334"/>
              <a:gd name="T12" fmla="*/ 2147483647 w 330"/>
              <a:gd name="T13" fmla="*/ 2147483647 h 334"/>
              <a:gd name="T14" fmla="*/ 2147483647 w 330"/>
              <a:gd name="T15" fmla="*/ 2147483647 h 334"/>
              <a:gd name="T16" fmla="*/ 2147483647 w 330"/>
              <a:gd name="T17" fmla="*/ 2147483647 h 334"/>
              <a:gd name="T18" fmla="*/ 2147483647 w 330"/>
              <a:gd name="T19" fmla="*/ 2147483647 h 334"/>
              <a:gd name="T20" fmla="*/ 2147483647 w 330"/>
              <a:gd name="T21" fmla="*/ 2147483647 h 334"/>
              <a:gd name="T22" fmla="*/ 2147483647 w 330"/>
              <a:gd name="T23" fmla="*/ 2147483647 h 334"/>
              <a:gd name="T24" fmla="*/ 2147483647 w 330"/>
              <a:gd name="T25" fmla="*/ 2147483647 h 334"/>
              <a:gd name="T26" fmla="*/ 2147483647 w 330"/>
              <a:gd name="T27" fmla="*/ 2147483647 h 334"/>
              <a:gd name="T28" fmla="*/ 2147483647 w 330"/>
              <a:gd name="T29" fmla="*/ 2147483647 h 334"/>
              <a:gd name="T30" fmla="*/ 2147483647 w 330"/>
              <a:gd name="T31" fmla="*/ 2147483647 h 334"/>
              <a:gd name="T32" fmla="*/ 2147483647 w 330"/>
              <a:gd name="T33" fmla="*/ 2147483647 h 334"/>
              <a:gd name="T34" fmla="*/ 2147483647 w 330"/>
              <a:gd name="T35" fmla="*/ 2147483647 h 334"/>
              <a:gd name="T36" fmla="*/ 2147483647 w 330"/>
              <a:gd name="T37" fmla="*/ 2147483647 h 334"/>
              <a:gd name="T38" fmla="*/ 2147483647 w 330"/>
              <a:gd name="T39" fmla="*/ 2147483647 h 334"/>
              <a:gd name="T40" fmla="*/ 2147483647 w 330"/>
              <a:gd name="T41" fmla="*/ 2147483647 h 334"/>
              <a:gd name="T42" fmla="*/ 2147483647 w 330"/>
              <a:gd name="T43" fmla="*/ 2147483647 h 334"/>
              <a:gd name="T44" fmla="*/ 2147483647 w 330"/>
              <a:gd name="T45" fmla="*/ 0 h 334"/>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w 330"/>
              <a:gd name="T70" fmla="*/ 0 h 334"/>
              <a:gd name="T71" fmla="*/ 330 w 330"/>
              <a:gd name="T72" fmla="*/ 334 h 334"/>
            </a:gdLst>
            <a:ahLst/>
            <a:cxnLst>
              <a:cxn ang="T46">
                <a:pos x="T0" y="T1"/>
              </a:cxn>
              <a:cxn ang="T47">
                <a:pos x="T2" y="T3"/>
              </a:cxn>
              <a:cxn ang="T48">
                <a:pos x="T4" y="T5"/>
              </a:cxn>
              <a:cxn ang="T49">
                <a:pos x="T6" y="T7"/>
              </a:cxn>
              <a:cxn ang="T50">
                <a:pos x="T8" y="T9"/>
              </a:cxn>
              <a:cxn ang="T51">
                <a:pos x="T10" y="T11"/>
              </a:cxn>
              <a:cxn ang="T52">
                <a:pos x="T12" y="T13"/>
              </a:cxn>
              <a:cxn ang="T53">
                <a:pos x="T14" y="T15"/>
              </a:cxn>
              <a:cxn ang="T54">
                <a:pos x="T16" y="T17"/>
              </a:cxn>
              <a:cxn ang="T55">
                <a:pos x="T18" y="T19"/>
              </a:cxn>
              <a:cxn ang="T56">
                <a:pos x="T20" y="T21"/>
              </a:cxn>
              <a:cxn ang="T57">
                <a:pos x="T22" y="T23"/>
              </a:cxn>
              <a:cxn ang="T58">
                <a:pos x="T24" y="T25"/>
              </a:cxn>
              <a:cxn ang="T59">
                <a:pos x="T26" y="T27"/>
              </a:cxn>
              <a:cxn ang="T60">
                <a:pos x="T28" y="T29"/>
              </a:cxn>
              <a:cxn ang="T61">
                <a:pos x="T30" y="T31"/>
              </a:cxn>
              <a:cxn ang="T62">
                <a:pos x="T32" y="T33"/>
              </a:cxn>
              <a:cxn ang="T63">
                <a:pos x="T34" y="T35"/>
              </a:cxn>
              <a:cxn ang="T64">
                <a:pos x="T36" y="T37"/>
              </a:cxn>
              <a:cxn ang="T65">
                <a:pos x="T38" y="T39"/>
              </a:cxn>
              <a:cxn ang="T66">
                <a:pos x="T40" y="T41"/>
              </a:cxn>
              <a:cxn ang="T67">
                <a:pos x="T42" y="T43"/>
              </a:cxn>
              <a:cxn ang="T68">
                <a:pos x="T44" y="T45"/>
              </a:cxn>
            </a:cxnLst>
            <a:rect l="T69" t="T70" r="T71" b="T72"/>
            <a:pathLst>
              <a:path w="330" h="334">
                <a:moveTo>
                  <a:pt x="3" y="0"/>
                </a:moveTo>
                <a:lnTo>
                  <a:pt x="1" y="5"/>
                </a:lnTo>
                <a:lnTo>
                  <a:pt x="0" y="11"/>
                </a:lnTo>
                <a:lnTo>
                  <a:pt x="0" y="58"/>
                </a:lnTo>
                <a:lnTo>
                  <a:pt x="0" y="303"/>
                </a:lnTo>
                <a:lnTo>
                  <a:pt x="1" y="315"/>
                </a:lnTo>
                <a:lnTo>
                  <a:pt x="5" y="324"/>
                </a:lnTo>
                <a:lnTo>
                  <a:pt x="14" y="331"/>
                </a:lnTo>
                <a:lnTo>
                  <a:pt x="20" y="333"/>
                </a:lnTo>
                <a:lnTo>
                  <a:pt x="27" y="334"/>
                </a:lnTo>
                <a:lnTo>
                  <a:pt x="317" y="334"/>
                </a:lnTo>
                <a:lnTo>
                  <a:pt x="324" y="331"/>
                </a:lnTo>
                <a:lnTo>
                  <a:pt x="330" y="326"/>
                </a:lnTo>
                <a:lnTo>
                  <a:pt x="323" y="328"/>
                </a:lnTo>
                <a:lnTo>
                  <a:pt x="305" y="328"/>
                </a:lnTo>
                <a:lnTo>
                  <a:pt x="24" y="328"/>
                </a:lnTo>
                <a:lnTo>
                  <a:pt x="15" y="326"/>
                </a:lnTo>
                <a:lnTo>
                  <a:pt x="10" y="322"/>
                </a:lnTo>
                <a:lnTo>
                  <a:pt x="5" y="316"/>
                </a:lnTo>
                <a:lnTo>
                  <a:pt x="3" y="309"/>
                </a:lnTo>
                <a:lnTo>
                  <a:pt x="2" y="299"/>
                </a:lnTo>
                <a:lnTo>
                  <a:pt x="2" y="5"/>
                </a:lnTo>
                <a:lnTo>
                  <a:pt x="3" y="0"/>
                </a:lnTo>
                <a:close/>
              </a:path>
            </a:pathLst>
          </a:custGeom>
          <a:solidFill>
            <a:srgbClr val="B3FFFF"/>
          </a:solidFill>
          <a:ln w="9525">
            <a:noFill/>
            <a:round/>
            <a:headEnd/>
            <a:tailEnd/>
          </a:ln>
        </xdr:spPr>
      </xdr:sp>
      <xdr:sp macro="" textlink="">
        <xdr:nvSpPr>
          <xdr:cNvPr id="202" name="AutoShape 37"/>
          <xdr:cNvSpPr>
            <a:spLocks noChangeArrowheads="1"/>
          </xdr:cNvSpPr>
        </xdr:nvSpPr>
        <xdr:spPr bwMode="auto">
          <a:xfrm>
            <a:off x="2590800" y="2800350"/>
            <a:ext cx="3219450" cy="3314700"/>
          </a:xfrm>
          <a:prstGeom prst="roundRect">
            <a:avLst>
              <a:gd name="adj" fmla="val 7745"/>
            </a:avLst>
          </a:prstGeom>
          <a:noFill/>
          <a:ln w="19050">
            <a:solidFill>
              <a:srgbClr val="000000"/>
            </a:solidFill>
            <a:round/>
            <a:headEnd/>
            <a:tailEnd/>
          </a:ln>
        </xdr:spPr>
      </xdr:sp>
      <xdr:grpSp>
        <xdr:nvGrpSpPr>
          <xdr:cNvPr id="203" name="Group 39"/>
          <xdr:cNvGrpSpPr>
            <a:grpSpLocks/>
          </xdr:cNvGrpSpPr>
        </xdr:nvGrpSpPr>
        <xdr:grpSpPr bwMode="auto">
          <a:xfrm>
            <a:off x="3048000" y="2095500"/>
            <a:ext cx="1333500" cy="2352675"/>
            <a:chOff x="837" y="652"/>
            <a:chExt cx="140" cy="247"/>
          </a:xfrm>
        </xdr:grpSpPr>
        <xdr:sp macro="" textlink="">
          <xdr:nvSpPr>
            <xdr:cNvPr id="418" name="Freeform 40"/>
            <xdr:cNvSpPr>
              <a:spLocks/>
            </xdr:cNvSpPr>
          </xdr:nvSpPr>
          <xdr:spPr bwMode="auto">
            <a:xfrm>
              <a:off x="880" y="662"/>
              <a:ext cx="62" cy="42"/>
            </a:xfrm>
            <a:custGeom>
              <a:avLst/>
              <a:gdLst>
                <a:gd name="T0" fmla="*/ 0 w 62"/>
                <a:gd name="T1" fmla="*/ 42 h 42"/>
                <a:gd name="T2" fmla="*/ 42 w 62"/>
                <a:gd name="T3" fmla="*/ 0 h 42"/>
                <a:gd name="T4" fmla="*/ 62 w 62"/>
                <a:gd name="T5" fmla="*/ 0 h 42"/>
                <a:gd name="T6" fmla="*/ 23 w 62"/>
                <a:gd name="T7" fmla="*/ 42 h 42"/>
                <a:gd name="T8" fmla="*/ 0 w 62"/>
                <a:gd name="T9" fmla="*/ 42 h 42"/>
                <a:gd name="T10" fmla="*/ 0 60000 65536"/>
                <a:gd name="T11" fmla="*/ 0 60000 65536"/>
                <a:gd name="T12" fmla="*/ 0 60000 65536"/>
                <a:gd name="T13" fmla="*/ 0 60000 65536"/>
                <a:gd name="T14" fmla="*/ 0 60000 65536"/>
                <a:gd name="T15" fmla="*/ 0 w 62"/>
                <a:gd name="T16" fmla="*/ 0 h 42"/>
                <a:gd name="T17" fmla="*/ 62 w 62"/>
                <a:gd name="T18" fmla="*/ 42 h 42"/>
              </a:gdLst>
              <a:ahLst/>
              <a:cxnLst>
                <a:cxn ang="T10">
                  <a:pos x="T0" y="T1"/>
                </a:cxn>
                <a:cxn ang="T11">
                  <a:pos x="T2" y="T3"/>
                </a:cxn>
                <a:cxn ang="T12">
                  <a:pos x="T4" y="T5"/>
                </a:cxn>
                <a:cxn ang="T13">
                  <a:pos x="T6" y="T7"/>
                </a:cxn>
                <a:cxn ang="T14">
                  <a:pos x="T8" y="T9"/>
                </a:cxn>
              </a:cxnLst>
              <a:rect l="T15" t="T16" r="T17" b="T18"/>
              <a:pathLst>
                <a:path w="62" h="42">
                  <a:moveTo>
                    <a:pt x="0" y="42"/>
                  </a:moveTo>
                  <a:lnTo>
                    <a:pt x="42" y="0"/>
                  </a:lnTo>
                  <a:lnTo>
                    <a:pt x="62" y="0"/>
                  </a:lnTo>
                  <a:lnTo>
                    <a:pt x="23" y="42"/>
                  </a:lnTo>
                  <a:lnTo>
                    <a:pt x="0" y="42"/>
                  </a:lnTo>
                  <a:close/>
                </a:path>
              </a:pathLst>
            </a:custGeom>
            <a:gradFill rotWithShape="1">
              <a:gsLst>
                <a:gs pos="0">
                  <a:srgbClr val="69FFFF"/>
                </a:gs>
                <a:gs pos="100000">
                  <a:srgbClr val="CCFFCC"/>
                </a:gs>
              </a:gsLst>
              <a:lin ang="0" scaled="1"/>
            </a:gradFill>
            <a:ln w="9525">
              <a:solidFill>
                <a:srgbClr val="000000"/>
              </a:solidFill>
              <a:round/>
              <a:headEnd/>
              <a:tailEnd/>
            </a:ln>
          </xdr:spPr>
        </xdr:sp>
        <xdr:sp macro="" textlink="">
          <xdr:nvSpPr>
            <xdr:cNvPr id="419" name="Rectangle 41"/>
            <xdr:cNvSpPr>
              <a:spLocks noChangeArrowheads="1"/>
            </xdr:cNvSpPr>
          </xdr:nvSpPr>
          <xdr:spPr bwMode="auto">
            <a:xfrm>
              <a:off x="837" y="741"/>
              <a:ext cx="27" cy="151"/>
            </a:xfrm>
            <a:prstGeom prst="rect">
              <a:avLst/>
            </a:prstGeom>
            <a:gradFill rotWithShape="1">
              <a:gsLst>
                <a:gs pos="0">
                  <a:srgbClr val="FFFFFF"/>
                </a:gs>
                <a:gs pos="100000">
                  <a:srgbClr val="767676"/>
                </a:gs>
              </a:gsLst>
              <a:lin ang="2700000" scaled="1"/>
            </a:gradFill>
            <a:ln w="9525">
              <a:solidFill>
                <a:srgbClr val="000000"/>
              </a:solidFill>
              <a:miter lim="800000"/>
              <a:headEnd/>
              <a:tailEnd/>
            </a:ln>
          </xdr:spPr>
        </xdr:sp>
        <xdr:sp macro="" textlink="">
          <xdr:nvSpPr>
            <xdr:cNvPr id="420" name="Freeform 42"/>
            <xdr:cNvSpPr>
              <a:spLocks/>
            </xdr:cNvSpPr>
          </xdr:nvSpPr>
          <xdr:spPr bwMode="auto">
            <a:xfrm>
              <a:off x="864" y="720"/>
              <a:ext cx="21" cy="177"/>
            </a:xfrm>
            <a:custGeom>
              <a:avLst/>
              <a:gdLst>
                <a:gd name="T0" fmla="*/ 0 w 21"/>
                <a:gd name="T1" fmla="*/ 20 h 177"/>
                <a:gd name="T2" fmla="*/ 21 w 21"/>
                <a:gd name="T3" fmla="*/ 0 h 177"/>
                <a:gd name="T4" fmla="*/ 21 w 21"/>
                <a:gd name="T5" fmla="*/ 176 h 177"/>
                <a:gd name="T6" fmla="*/ 0 w 21"/>
                <a:gd name="T7" fmla="*/ 177 h 177"/>
                <a:gd name="T8" fmla="*/ 0 w 21"/>
                <a:gd name="T9" fmla="*/ 20 h 177"/>
                <a:gd name="T10" fmla="*/ 0 60000 65536"/>
                <a:gd name="T11" fmla="*/ 0 60000 65536"/>
                <a:gd name="T12" fmla="*/ 0 60000 65536"/>
                <a:gd name="T13" fmla="*/ 0 60000 65536"/>
                <a:gd name="T14" fmla="*/ 0 60000 65536"/>
                <a:gd name="T15" fmla="*/ 0 w 21"/>
                <a:gd name="T16" fmla="*/ 0 h 177"/>
                <a:gd name="T17" fmla="*/ 21 w 21"/>
                <a:gd name="T18" fmla="*/ 177 h 177"/>
              </a:gdLst>
              <a:ahLst/>
              <a:cxnLst>
                <a:cxn ang="T10">
                  <a:pos x="T0" y="T1"/>
                </a:cxn>
                <a:cxn ang="T11">
                  <a:pos x="T2" y="T3"/>
                </a:cxn>
                <a:cxn ang="T12">
                  <a:pos x="T4" y="T5"/>
                </a:cxn>
                <a:cxn ang="T13">
                  <a:pos x="T6" y="T7"/>
                </a:cxn>
                <a:cxn ang="T14">
                  <a:pos x="T8" y="T9"/>
                </a:cxn>
              </a:cxnLst>
              <a:rect l="T15" t="T16" r="T17" b="T18"/>
              <a:pathLst>
                <a:path w="21" h="177">
                  <a:moveTo>
                    <a:pt x="0" y="20"/>
                  </a:moveTo>
                  <a:lnTo>
                    <a:pt x="21" y="0"/>
                  </a:lnTo>
                  <a:lnTo>
                    <a:pt x="21" y="176"/>
                  </a:lnTo>
                  <a:lnTo>
                    <a:pt x="0" y="177"/>
                  </a:lnTo>
                  <a:lnTo>
                    <a:pt x="0" y="20"/>
                  </a:lnTo>
                  <a:close/>
                </a:path>
              </a:pathLst>
            </a:custGeom>
            <a:gradFill rotWithShape="1">
              <a:gsLst>
                <a:gs pos="0">
                  <a:srgbClr val="767676"/>
                </a:gs>
                <a:gs pos="50000">
                  <a:srgbClr val="FFFFFF"/>
                </a:gs>
                <a:gs pos="100000">
                  <a:srgbClr val="767676"/>
                </a:gs>
              </a:gsLst>
              <a:lin ang="0" scaled="1"/>
            </a:gradFill>
            <a:ln w="9525">
              <a:solidFill>
                <a:srgbClr val="000000"/>
              </a:solidFill>
              <a:round/>
              <a:headEnd/>
              <a:tailEnd/>
            </a:ln>
          </xdr:spPr>
        </xdr:sp>
        <xdr:sp macro="" textlink="">
          <xdr:nvSpPr>
            <xdr:cNvPr id="421" name="Line 43"/>
            <xdr:cNvSpPr>
              <a:spLocks noChangeShapeType="1"/>
            </xdr:cNvSpPr>
          </xdr:nvSpPr>
          <xdr:spPr bwMode="auto">
            <a:xfrm flipV="1">
              <a:off x="885" y="707"/>
              <a:ext cx="13" cy="13"/>
            </a:xfrm>
            <a:prstGeom prst="line">
              <a:avLst/>
            </a:prstGeom>
            <a:noFill/>
            <a:ln w="28575">
              <a:solidFill>
                <a:srgbClr val="A6CAF0"/>
              </a:solidFill>
              <a:round/>
              <a:headEnd/>
              <a:tailEnd/>
            </a:ln>
          </xdr:spPr>
        </xdr:sp>
        <xdr:sp macro="" textlink="">
          <xdr:nvSpPr>
            <xdr:cNvPr id="422" name="Freeform 44"/>
            <xdr:cNvSpPr>
              <a:spLocks/>
            </xdr:cNvSpPr>
          </xdr:nvSpPr>
          <xdr:spPr bwMode="auto">
            <a:xfrm>
              <a:off x="896" y="697"/>
              <a:ext cx="27" cy="202"/>
            </a:xfrm>
            <a:custGeom>
              <a:avLst/>
              <a:gdLst>
                <a:gd name="T0" fmla="*/ 0 w 27"/>
                <a:gd name="T1" fmla="*/ 9 h 202"/>
                <a:gd name="T2" fmla="*/ 0 w 27"/>
                <a:gd name="T3" fmla="*/ 201 h 202"/>
                <a:gd name="T4" fmla="*/ 0 w 27"/>
                <a:gd name="T5" fmla="*/ 202 h 202"/>
                <a:gd name="T6" fmla="*/ 22 w 27"/>
                <a:gd name="T7" fmla="*/ 202 h 202"/>
                <a:gd name="T8" fmla="*/ 27 w 27"/>
                <a:gd name="T9" fmla="*/ 0 h 202"/>
                <a:gd name="T10" fmla="*/ 14 w 27"/>
                <a:gd name="T11" fmla="*/ 1 h 202"/>
                <a:gd name="T12" fmla="*/ 0 60000 65536"/>
                <a:gd name="T13" fmla="*/ 0 60000 65536"/>
                <a:gd name="T14" fmla="*/ 0 60000 65536"/>
                <a:gd name="T15" fmla="*/ 0 60000 65536"/>
                <a:gd name="T16" fmla="*/ 0 60000 65536"/>
                <a:gd name="T17" fmla="*/ 0 60000 65536"/>
                <a:gd name="T18" fmla="*/ 0 w 27"/>
                <a:gd name="T19" fmla="*/ 0 h 202"/>
                <a:gd name="T20" fmla="*/ 27 w 27"/>
                <a:gd name="T21" fmla="*/ 202 h 202"/>
              </a:gdLst>
              <a:ahLst/>
              <a:cxnLst>
                <a:cxn ang="T12">
                  <a:pos x="T0" y="T1"/>
                </a:cxn>
                <a:cxn ang="T13">
                  <a:pos x="T2" y="T3"/>
                </a:cxn>
                <a:cxn ang="T14">
                  <a:pos x="T4" y="T5"/>
                </a:cxn>
                <a:cxn ang="T15">
                  <a:pos x="T6" y="T7"/>
                </a:cxn>
                <a:cxn ang="T16">
                  <a:pos x="T8" y="T9"/>
                </a:cxn>
                <a:cxn ang="T17">
                  <a:pos x="T10" y="T11"/>
                </a:cxn>
              </a:cxnLst>
              <a:rect l="T18" t="T19" r="T20" b="T21"/>
              <a:pathLst>
                <a:path w="27" h="202">
                  <a:moveTo>
                    <a:pt x="0" y="9"/>
                  </a:moveTo>
                  <a:lnTo>
                    <a:pt x="0" y="201"/>
                  </a:lnTo>
                  <a:lnTo>
                    <a:pt x="0" y="202"/>
                  </a:lnTo>
                  <a:lnTo>
                    <a:pt x="22" y="202"/>
                  </a:lnTo>
                  <a:lnTo>
                    <a:pt x="27" y="0"/>
                  </a:lnTo>
                  <a:lnTo>
                    <a:pt x="14" y="1"/>
                  </a:lnTo>
                </a:path>
              </a:pathLst>
            </a:custGeom>
            <a:solidFill>
              <a:srgbClr val="336666"/>
            </a:solidFill>
            <a:ln w="9525">
              <a:noFill/>
              <a:round/>
              <a:headEnd/>
              <a:tailEnd/>
            </a:ln>
          </xdr:spPr>
        </xdr:sp>
        <xdr:sp macro="" textlink="">
          <xdr:nvSpPr>
            <xdr:cNvPr id="423" name="Freeform 45"/>
            <xdr:cNvSpPr>
              <a:spLocks/>
            </xdr:cNvSpPr>
          </xdr:nvSpPr>
          <xdr:spPr bwMode="auto">
            <a:xfrm>
              <a:off x="884" y="707"/>
              <a:ext cx="13" cy="156"/>
            </a:xfrm>
            <a:custGeom>
              <a:avLst/>
              <a:gdLst>
                <a:gd name="T0" fmla="*/ 0 w 13"/>
                <a:gd name="T1" fmla="*/ 0 h 155"/>
                <a:gd name="T2" fmla="*/ 13 w 13"/>
                <a:gd name="T3" fmla="*/ 0 h 155"/>
                <a:gd name="T4" fmla="*/ 13 w 13"/>
                <a:gd name="T5" fmla="*/ 172 h 155"/>
                <a:gd name="T6" fmla="*/ 1 w 13"/>
                <a:gd name="T7" fmla="*/ 178 h 155"/>
                <a:gd name="T8" fmla="*/ 0 w 13"/>
                <a:gd name="T9" fmla="*/ 0 h 155"/>
                <a:gd name="T10" fmla="*/ 0 60000 65536"/>
                <a:gd name="T11" fmla="*/ 0 60000 65536"/>
                <a:gd name="T12" fmla="*/ 0 60000 65536"/>
                <a:gd name="T13" fmla="*/ 0 60000 65536"/>
                <a:gd name="T14" fmla="*/ 0 60000 65536"/>
                <a:gd name="T15" fmla="*/ 0 w 13"/>
                <a:gd name="T16" fmla="*/ 0 h 155"/>
                <a:gd name="T17" fmla="*/ 13 w 13"/>
                <a:gd name="T18" fmla="*/ 155 h 155"/>
              </a:gdLst>
              <a:ahLst/>
              <a:cxnLst>
                <a:cxn ang="T10">
                  <a:pos x="T0" y="T1"/>
                </a:cxn>
                <a:cxn ang="T11">
                  <a:pos x="T2" y="T3"/>
                </a:cxn>
                <a:cxn ang="T12">
                  <a:pos x="T4" y="T5"/>
                </a:cxn>
                <a:cxn ang="T13">
                  <a:pos x="T6" y="T7"/>
                </a:cxn>
                <a:cxn ang="T14">
                  <a:pos x="T8" y="T9"/>
                </a:cxn>
              </a:cxnLst>
              <a:rect l="T15" t="T16" r="T17" b="T18"/>
              <a:pathLst>
                <a:path w="13" h="155">
                  <a:moveTo>
                    <a:pt x="0" y="0"/>
                  </a:moveTo>
                  <a:lnTo>
                    <a:pt x="13" y="0"/>
                  </a:lnTo>
                  <a:lnTo>
                    <a:pt x="13" y="149"/>
                  </a:lnTo>
                  <a:lnTo>
                    <a:pt x="1" y="155"/>
                  </a:lnTo>
                  <a:lnTo>
                    <a:pt x="0" y="0"/>
                  </a:lnTo>
                  <a:close/>
                </a:path>
              </a:pathLst>
            </a:custGeom>
            <a:solidFill>
              <a:srgbClr val="99FF99"/>
            </a:solidFill>
            <a:ln w="9525">
              <a:noFill/>
              <a:round/>
              <a:headEnd/>
              <a:tailEnd/>
            </a:ln>
          </xdr:spPr>
        </xdr:sp>
        <xdr:sp macro="" textlink="">
          <xdr:nvSpPr>
            <xdr:cNvPr id="424" name="Line 46"/>
            <xdr:cNvSpPr>
              <a:spLocks noChangeShapeType="1"/>
            </xdr:cNvSpPr>
          </xdr:nvSpPr>
          <xdr:spPr bwMode="auto">
            <a:xfrm>
              <a:off x="910" y="705"/>
              <a:ext cx="0" cy="187"/>
            </a:xfrm>
            <a:prstGeom prst="line">
              <a:avLst/>
            </a:prstGeom>
            <a:noFill/>
            <a:ln w="28575">
              <a:solidFill>
                <a:srgbClr val="A6CAF0"/>
              </a:solidFill>
              <a:round/>
              <a:headEnd/>
              <a:tailEnd/>
            </a:ln>
          </xdr:spPr>
        </xdr:sp>
        <xdr:sp macro="" textlink="">
          <xdr:nvSpPr>
            <xdr:cNvPr id="425" name="Line 47"/>
            <xdr:cNvSpPr>
              <a:spLocks noChangeShapeType="1"/>
            </xdr:cNvSpPr>
          </xdr:nvSpPr>
          <xdr:spPr bwMode="auto">
            <a:xfrm>
              <a:off x="897" y="707"/>
              <a:ext cx="1" cy="152"/>
            </a:xfrm>
            <a:prstGeom prst="line">
              <a:avLst/>
            </a:prstGeom>
            <a:noFill/>
            <a:ln w="19050">
              <a:solidFill>
                <a:srgbClr val="A6CAF0"/>
              </a:solidFill>
              <a:round/>
              <a:headEnd/>
              <a:tailEnd/>
            </a:ln>
          </xdr:spPr>
        </xdr:sp>
        <xdr:sp macro="" textlink="">
          <xdr:nvSpPr>
            <xdr:cNvPr id="426" name="Line 48"/>
            <xdr:cNvSpPr>
              <a:spLocks noChangeShapeType="1"/>
            </xdr:cNvSpPr>
          </xdr:nvSpPr>
          <xdr:spPr bwMode="auto">
            <a:xfrm>
              <a:off x="885" y="721"/>
              <a:ext cx="1" cy="152"/>
            </a:xfrm>
            <a:prstGeom prst="line">
              <a:avLst/>
            </a:prstGeom>
            <a:noFill/>
            <a:ln w="19050">
              <a:solidFill>
                <a:srgbClr val="00CCFF"/>
              </a:solidFill>
              <a:round/>
              <a:headEnd/>
              <a:tailEnd/>
            </a:ln>
          </xdr:spPr>
        </xdr:sp>
        <xdr:sp macro="" textlink="">
          <xdr:nvSpPr>
            <xdr:cNvPr id="427" name="Freeform 49"/>
            <xdr:cNvSpPr>
              <a:spLocks/>
            </xdr:cNvSpPr>
          </xdr:nvSpPr>
          <xdr:spPr bwMode="auto">
            <a:xfrm>
              <a:off x="883" y="707"/>
              <a:ext cx="2" cy="15"/>
            </a:xfrm>
            <a:custGeom>
              <a:avLst/>
              <a:gdLst>
                <a:gd name="T0" fmla="*/ 2 w 2"/>
                <a:gd name="T1" fmla="*/ 15 h 15"/>
                <a:gd name="T2" fmla="*/ 0 w 2"/>
                <a:gd name="T3" fmla="*/ 11 h 15"/>
                <a:gd name="T4" fmla="*/ 0 w 2"/>
                <a:gd name="T5" fmla="*/ 0 h 15"/>
                <a:gd name="T6" fmla="*/ 0 60000 65536"/>
                <a:gd name="T7" fmla="*/ 0 60000 65536"/>
                <a:gd name="T8" fmla="*/ 0 60000 65536"/>
                <a:gd name="T9" fmla="*/ 0 w 2"/>
                <a:gd name="T10" fmla="*/ 0 h 15"/>
                <a:gd name="T11" fmla="*/ 2 w 2"/>
                <a:gd name="T12" fmla="*/ 15 h 15"/>
              </a:gdLst>
              <a:ahLst/>
              <a:cxnLst>
                <a:cxn ang="T6">
                  <a:pos x="T0" y="T1"/>
                </a:cxn>
                <a:cxn ang="T7">
                  <a:pos x="T2" y="T3"/>
                </a:cxn>
                <a:cxn ang="T8">
                  <a:pos x="T4" y="T5"/>
                </a:cxn>
              </a:cxnLst>
              <a:rect l="T9" t="T10" r="T11" b="T12"/>
              <a:pathLst>
                <a:path w="2" h="15">
                  <a:moveTo>
                    <a:pt x="2" y="15"/>
                  </a:moveTo>
                  <a:lnTo>
                    <a:pt x="0" y="11"/>
                  </a:lnTo>
                  <a:lnTo>
                    <a:pt x="0" y="0"/>
                  </a:lnTo>
                </a:path>
              </a:pathLst>
            </a:custGeom>
            <a:noFill/>
            <a:ln w="19050" cmpd="sng">
              <a:solidFill>
                <a:srgbClr val="00CCFF"/>
              </a:solidFill>
              <a:round/>
              <a:headEnd/>
              <a:tailEnd/>
            </a:ln>
          </xdr:spPr>
        </xdr:sp>
        <xdr:sp macro="" textlink="">
          <xdr:nvSpPr>
            <xdr:cNvPr id="428" name="Line 50"/>
            <xdr:cNvSpPr>
              <a:spLocks noChangeShapeType="1"/>
            </xdr:cNvSpPr>
          </xdr:nvSpPr>
          <xdr:spPr bwMode="auto">
            <a:xfrm>
              <a:off x="881" y="706"/>
              <a:ext cx="0" cy="0"/>
            </a:xfrm>
            <a:prstGeom prst="line">
              <a:avLst/>
            </a:prstGeom>
            <a:noFill/>
            <a:ln w="9525">
              <a:solidFill>
                <a:srgbClr val="000000"/>
              </a:solidFill>
              <a:round/>
              <a:headEnd/>
              <a:tailEnd/>
            </a:ln>
          </xdr:spPr>
        </xdr:sp>
        <xdr:sp macro="" textlink="">
          <xdr:nvSpPr>
            <xdr:cNvPr id="429" name="Freeform 51"/>
            <xdr:cNvSpPr>
              <a:spLocks/>
            </xdr:cNvSpPr>
          </xdr:nvSpPr>
          <xdr:spPr bwMode="auto">
            <a:xfrm>
              <a:off x="876" y="656"/>
              <a:ext cx="73" cy="67"/>
            </a:xfrm>
            <a:custGeom>
              <a:avLst/>
              <a:gdLst>
                <a:gd name="T0" fmla="*/ 0 w 73"/>
                <a:gd name="T1" fmla="*/ 67 h 67"/>
                <a:gd name="T2" fmla="*/ 0 w 73"/>
                <a:gd name="T3" fmla="*/ 65 h 67"/>
                <a:gd name="T4" fmla="*/ 2 w 73"/>
                <a:gd name="T5" fmla="*/ 63 h 67"/>
                <a:gd name="T6" fmla="*/ 4 w 73"/>
                <a:gd name="T7" fmla="*/ 61 h 67"/>
                <a:gd name="T8" fmla="*/ 4 w 73"/>
                <a:gd name="T9" fmla="*/ 48 h 67"/>
                <a:gd name="T10" fmla="*/ 25 w 73"/>
                <a:gd name="T11" fmla="*/ 48 h 67"/>
                <a:gd name="T12" fmla="*/ 73 w 73"/>
                <a:gd name="T13" fmla="*/ 0 h 67"/>
                <a:gd name="T14" fmla="*/ 73 w 73"/>
                <a:gd name="T15" fmla="*/ 2 h 67"/>
                <a:gd name="T16" fmla="*/ 25 w 73"/>
                <a:gd name="T17" fmla="*/ 50 h 67"/>
                <a:gd name="T18" fmla="*/ 6 w 73"/>
                <a:gd name="T19" fmla="*/ 50 h 67"/>
                <a:gd name="T20" fmla="*/ 6 w 73"/>
                <a:gd name="T21" fmla="*/ 63 h 67"/>
                <a:gd name="T22" fmla="*/ 4 w 73"/>
                <a:gd name="T23" fmla="*/ 64 h 67"/>
                <a:gd name="T24" fmla="*/ 0 w 73"/>
                <a:gd name="T25" fmla="*/ 67 h 67"/>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73"/>
                <a:gd name="T40" fmla="*/ 0 h 67"/>
                <a:gd name="T41" fmla="*/ 73 w 73"/>
                <a:gd name="T42" fmla="*/ 67 h 67"/>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73" h="67">
                  <a:moveTo>
                    <a:pt x="0" y="67"/>
                  </a:moveTo>
                  <a:lnTo>
                    <a:pt x="0" y="65"/>
                  </a:lnTo>
                  <a:lnTo>
                    <a:pt x="2" y="63"/>
                  </a:lnTo>
                  <a:lnTo>
                    <a:pt x="4" y="61"/>
                  </a:lnTo>
                  <a:lnTo>
                    <a:pt x="4" y="48"/>
                  </a:lnTo>
                  <a:lnTo>
                    <a:pt x="25" y="48"/>
                  </a:lnTo>
                  <a:lnTo>
                    <a:pt x="73" y="0"/>
                  </a:lnTo>
                  <a:lnTo>
                    <a:pt x="73" y="2"/>
                  </a:lnTo>
                  <a:lnTo>
                    <a:pt x="25" y="50"/>
                  </a:lnTo>
                  <a:lnTo>
                    <a:pt x="6" y="50"/>
                  </a:lnTo>
                  <a:lnTo>
                    <a:pt x="6" y="63"/>
                  </a:lnTo>
                  <a:lnTo>
                    <a:pt x="4" y="64"/>
                  </a:lnTo>
                  <a:lnTo>
                    <a:pt x="0" y="67"/>
                  </a:lnTo>
                  <a:close/>
                </a:path>
              </a:pathLst>
            </a:custGeom>
            <a:solidFill>
              <a:srgbClr val="00CCFF"/>
            </a:solidFill>
            <a:ln w="6350" cmpd="sng">
              <a:solidFill>
                <a:srgbClr val="000000"/>
              </a:solidFill>
              <a:round/>
              <a:headEnd/>
              <a:tailEnd/>
            </a:ln>
          </xdr:spPr>
        </xdr:sp>
        <xdr:grpSp>
          <xdr:nvGrpSpPr>
            <xdr:cNvPr id="430" name="Group 52"/>
            <xdr:cNvGrpSpPr>
              <a:grpSpLocks/>
            </xdr:cNvGrpSpPr>
          </xdr:nvGrpSpPr>
          <xdr:grpSpPr bwMode="auto">
            <a:xfrm>
              <a:off x="885" y="652"/>
              <a:ext cx="65" cy="47"/>
              <a:chOff x="112" y="627"/>
              <a:chExt cx="65" cy="47"/>
            </a:xfrm>
          </xdr:grpSpPr>
          <xdr:sp macro="" textlink="">
            <xdr:nvSpPr>
              <xdr:cNvPr id="457" name="Freeform 53"/>
              <xdr:cNvSpPr>
                <a:spLocks/>
              </xdr:cNvSpPr>
            </xdr:nvSpPr>
            <xdr:spPr bwMode="auto">
              <a:xfrm>
                <a:off x="112" y="627"/>
                <a:ext cx="65" cy="41"/>
              </a:xfrm>
              <a:custGeom>
                <a:avLst/>
                <a:gdLst>
                  <a:gd name="T0" fmla="*/ 24 w 65"/>
                  <a:gd name="T1" fmla="*/ 41 h 41"/>
                  <a:gd name="T2" fmla="*/ 0 w 65"/>
                  <a:gd name="T3" fmla="*/ 41 h 41"/>
                  <a:gd name="T4" fmla="*/ 41 w 65"/>
                  <a:gd name="T5" fmla="*/ 0 h 41"/>
                  <a:gd name="T6" fmla="*/ 65 w 65"/>
                  <a:gd name="T7" fmla="*/ 0 h 41"/>
                  <a:gd name="T8" fmla="*/ 24 w 65"/>
                  <a:gd name="T9" fmla="*/ 41 h 41"/>
                  <a:gd name="T10" fmla="*/ 0 60000 65536"/>
                  <a:gd name="T11" fmla="*/ 0 60000 65536"/>
                  <a:gd name="T12" fmla="*/ 0 60000 65536"/>
                  <a:gd name="T13" fmla="*/ 0 60000 65536"/>
                  <a:gd name="T14" fmla="*/ 0 60000 65536"/>
                  <a:gd name="T15" fmla="*/ 0 w 65"/>
                  <a:gd name="T16" fmla="*/ 0 h 41"/>
                  <a:gd name="T17" fmla="*/ 65 w 65"/>
                  <a:gd name="T18" fmla="*/ 41 h 41"/>
                </a:gdLst>
                <a:ahLst/>
                <a:cxnLst>
                  <a:cxn ang="T10">
                    <a:pos x="T0" y="T1"/>
                  </a:cxn>
                  <a:cxn ang="T11">
                    <a:pos x="T2" y="T3"/>
                  </a:cxn>
                  <a:cxn ang="T12">
                    <a:pos x="T4" y="T5"/>
                  </a:cxn>
                  <a:cxn ang="T13">
                    <a:pos x="T6" y="T7"/>
                  </a:cxn>
                  <a:cxn ang="T14">
                    <a:pos x="T8" y="T9"/>
                  </a:cxn>
                </a:cxnLst>
                <a:rect l="T15" t="T16" r="T17" b="T18"/>
                <a:pathLst>
                  <a:path w="65" h="41">
                    <a:moveTo>
                      <a:pt x="24" y="41"/>
                    </a:moveTo>
                    <a:lnTo>
                      <a:pt x="0" y="41"/>
                    </a:lnTo>
                    <a:lnTo>
                      <a:pt x="41" y="0"/>
                    </a:lnTo>
                    <a:lnTo>
                      <a:pt x="65" y="0"/>
                    </a:lnTo>
                    <a:lnTo>
                      <a:pt x="24" y="41"/>
                    </a:lnTo>
                    <a:close/>
                  </a:path>
                </a:pathLst>
              </a:custGeom>
              <a:gradFill rotWithShape="1">
                <a:gsLst>
                  <a:gs pos="0">
                    <a:srgbClr val="767676"/>
                  </a:gs>
                  <a:gs pos="50000">
                    <a:srgbClr val="FFFFFF"/>
                  </a:gs>
                  <a:gs pos="100000">
                    <a:srgbClr val="767676"/>
                  </a:gs>
                </a:gsLst>
                <a:lin ang="18900000" scaled="1"/>
              </a:gradFill>
              <a:ln w="9525">
                <a:solidFill>
                  <a:srgbClr val="000000"/>
                </a:solidFill>
                <a:round/>
                <a:headEnd/>
                <a:tailEnd/>
              </a:ln>
            </xdr:spPr>
          </xdr:sp>
          <xdr:sp macro="" textlink="">
            <xdr:nvSpPr>
              <xdr:cNvPr id="458" name="Freeform 54"/>
              <xdr:cNvSpPr>
                <a:spLocks/>
              </xdr:cNvSpPr>
            </xdr:nvSpPr>
            <xdr:spPr bwMode="auto">
              <a:xfrm>
                <a:off x="112" y="627"/>
                <a:ext cx="65" cy="47"/>
              </a:xfrm>
              <a:custGeom>
                <a:avLst/>
                <a:gdLst>
                  <a:gd name="T0" fmla="*/ 0 w 65"/>
                  <a:gd name="T1" fmla="*/ 41 h 47"/>
                  <a:gd name="T2" fmla="*/ 0 w 65"/>
                  <a:gd name="T3" fmla="*/ 47 h 47"/>
                  <a:gd name="T4" fmla="*/ 3 w 65"/>
                  <a:gd name="T5" fmla="*/ 44 h 47"/>
                  <a:gd name="T6" fmla="*/ 24 w 65"/>
                  <a:gd name="T7" fmla="*/ 44 h 47"/>
                  <a:gd name="T8" fmla="*/ 65 w 65"/>
                  <a:gd name="T9" fmla="*/ 3 h 47"/>
                  <a:gd name="T10" fmla="*/ 65 w 65"/>
                  <a:gd name="T11" fmla="*/ 0 h 47"/>
                  <a:gd name="T12" fmla="*/ 24 w 65"/>
                  <a:gd name="T13" fmla="*/ 41 h 47"/>
                  <a:gd name="T14" fmla="*/ 0 w 65"/>
                  <a:gd name="T15" fmla="*/ 41 h 47"/>
                  <a:gd name="T16" fmla="*/ 0 60000 65536"/>
                  <a:gd name="T17" fmla="*/ 0 60000 65536"/>
                  <a:gd name="T18" fmla="*/ 0 60000 65536"/>
                  <a:gd name="T19" fmla="*/ 0 60000 65536"/>
                  <a:gd name="T20" fmla="*/ 0 60000 65536"/>
                  <a:gd name="T21" fmla="*/ 0 60000 65536"/>
                  <a:gd name="T22" fmla="*/ 0 60000 65536"/>
                  <a:gd name="T23" fmla="*/ 0 60000 65536"/>
                  <a:gd name="T24" fmla="*/ 0 w 65"/>
                  <a:gd name="T25" fmla="*/ 0 h 47"/>
                  <a:gd name="T26" fmla="*/ 65 w 65"/>
                  <a:gd name="T27" fmla="*/ 47 h 47"/>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65" h="47">
                    <a:moveTo>
                      <a:pt x="0" y="41"/>
                    </a:moveTo>
                    <a:lnTo>
                      <a:pt x="0" y="47"/>
                    </a:lnTo>
                    <a:lnTo>
                      <a:pt x="3" y="44"/>
                    </a:lnTo>
                    <a:lnTo>
                      <a:pt x="24" y="44"/>
                    </a:lnTo>
                    <a:lnTo>
                      <a:pt x="65" y="3"/>
                    </a:lnTo>
                    <a:lnTo>
                      <a:pt x="65" y="0"/>
                    </a:lnTo>
                    <a:lnTo>
                      <a:pt x="24" y="41"/>
                    </a:lnTo>
                    <a:lnTo>
                      <a:pt x="0" y="41"/>
                    </a:lnTo>
                    <a:close/>
                  </a:path>
                </a:pathLst>
              </a:custGeom>
              <a:solidFill>
                <a:srgbClr val="808080"/>
              </a:solidFill>
              <a:ln w="6350" cmpd="sng">
                <a:solidFill>
                  <a:srgbClr val="000000"/>
                </a:solidFill>
                <a:round/>
                <a:headEnd/>
                <a:tailEnd/>
              </a:ln>
            </xdr:spPr>
          </xdr:sp>
        </xdr:grpSp>
        <xdr:sp macro="" textlink="">
          <xdr:nvSpPr>
            <xdr:cNvPr id="431" name="Line 55"/>
            <xdr:cNvSpPr>
              <a:spLocks noChangeShapeType="1"/>
            </xdr:cNvSpPr>
          </xdr:nvSpPr>
          <xdr:spPr bwMode="auto">
            <a:xfrm>
              <a:off x="909" y="693"/>
              <a:ext cx="0" cy="3"/>
            </a:xfrm>
            <a:prstGeom prst="line">
              <a:avLst/>
            </a:prstGeom>
            <a:noFill/>
            <a:ln w="9525">
              <a:solidFill>
                <a:srgbClr val="000000"/>
              </a:solidFill>
              <a:round/>
              <a:headEnd/>
              <a:tailEnd/>
            </a:ln>
          </xdr:spPr>
        </xdr:sp>
        <xdr:sp macro="" textlink="">
          <xdr:nvSpPr>
            <xdr:cNvPr id="432" name="Line 56"/>
            <xdr:cNvSpPr>
              <a:spLocks noChangeShapeType="1"/>
            </xdr:cNvSpPr>
          </xdr:nvSpPr>
          <xdr:spPr bwMode="auto">
            <a:xfrm flipV="1">
              <a:off x="886" y="711"/>
              <a:ext cx="11" cy="11"/>
            </a:xfrm>
            <a:prstGeom prst="line">
              <a:avLst/>
            </a:prstGeom>
            <a:noFill/>
            <a:ln w="19050">
              <a:solidFill>
                <a:srgbClr val="A6CAF0"/>
              </a:solidFill>
              <a:round/>
              <a:headEnd/>
              <a:tailEnd/>
            </a:ln>
          </xdr:spPr>
        </xdr:sp>
        <xdr:sp macro="" textlink="">
          <xdr:nvSpPr>
            <xdr:cNvPr id="433" name="Line 57"/>
            <xdr:cNvSpPr>
              <a:spLocks noChangeShapeType="1"/>
            </xdr:cNvSpPr>
          </xdr:nvSpPr>
          <xdr:spPr bwMode="auto">
            <a:xfrm flipV="1">
              <a:off x="882" y="707"/>
              <a:ext cx="12" cy="13"/>
            </a:xfrm>
            <a:prstGeom prst="line">
              <a:avLst/>
            </a:prstGeom>
            <a:noFill/>
            <a:ln w="19050">
              <a:solidFill>
                <a:srgbClr val="A6CAF0"/>
              </a:solidFill>
              <a:round/>
              <a:headEnd/>
              <a:tailEnd/>
            </a:ln>
          </xdr:spPr>
        </xdr:sp>
        <xdr:sp macro="" textlink="">
          <xdr:nvSpPr>
            <xdr:cNvPr id="434" name="Freeform 58"/>
            <xdr:cNvSpPr>
              <a:spLocks/>
            </xdr:cNvSpPr>
          </xdr:nvSpPr>
          <xdr:spPr bwMode="auto">
            <a:xfrm>
              <a:off x="837" y="719"/>
              <a:ext cx="48" cy="22"/>
            </a:xfrm>
            <a:custGeom>
              <a:avLst/>
              <a:gdLst>
                <a:gd name="T0" fmla="*/ 0 w 48"/>
                <a:gd name="T1" fmla="*/ 22 h 22"/>
                <a:gd name="T2" fmla="*/ 3 w 48"/>
                <a:gd name="T3" fmla="*/ 19 h 22"/>
                <a:gd name="T4" fmla="*/ 25 w 48"/>
                <a:gd name="T5" fmla="*/ 19 h 22"/>
                <a:gd name="T6" fmla="*/ 44 w 48"/>
                <a:gd name="T7" fmla="*/ 0 h 22"/>
                <a:gd name="T8" fmla="*/ 48 w 48"/>
                <a:gd name="T9" fmla="*/ 1 h 22"/>
                <a:gd name="T10" fmla="*/ 27 w 48"/>
                <a:gd name="T11" fmla="*/ 22 h 22"/>
                <a:gd name="T12" fmla="*/ 0 w 48"/>
                <a:gd name="T13" fmla="*/ 22 h 22"/>
                <a:gd name="T14" fmla="*/ 0 60000 65536"/>
                <a:gd name="T15" fmla="*/ 0 60000 65536"/>
                <a:gd name="T16" fmla="*/ 0 60000 65536"/>
                <a:gd name="T17" fmla="*/ 0 60000 65536"/>
                <a:gd name="T18" fmla="*/ 0 60000 65536"/>
                <a:gd name="T19" fmla="*/ 0 60000 65536"/>
                <a:gd name="T20" fmla="*/ 0 60000 65536"/>
                <a:gd name="T21" fmla="*/ 0 w 48"/>
                <a:gd name="T22" fmla="*/ 0 h 22"/>
                <a:gd name="T23" fmla="*/ 48 w 48"/>
                <a:gd name="T24" fmla="*/ 22 h 22"/>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8" h="22">
                  <a:moveTo>
                    <a:pt x="0" y="22"/>
                  </a:moveTo>
                  <a:lnTo>
                    <a:pt x="3" y="19"/>
                  </a:lnTo>
                  <a:lnTo>
                    <a:pt x="25" y="19"/>
                  </a:lnTo>
                  <a:lnTo>
                    <a:pt x="44" y="0"/>
                  </a:lnTo>
                  <a:lnTo>
                    <a:pt x="48" y="1"/>
                  </a:lnTo>
                  <a:lnTo>
                    <a:pt x="27" y="22"/>
                  </a:lnTo>
                  <a:lnTo>
                    <a:pt x="0" y="22"/>
                  </a:lnTo>
                  <a:close/>
                </a:path>
              </a:pathLst>
            </a:custGeom>
            <a:solidFill>
              <a:srgbClr val="C0C0C0"/>
            </a:solidFill>
            <a:ln w="9525">
              <a:solidFill>
                <a:srgbClr val="000000"/>
              </a:solidFill>
              <a:round/>
              <a:headEnd/>
              <a:tailEnd/>
            </a:ln>
          </xdr:spPr>
        </xdr:sp>
        <xdr:sp macro="" textlink="">
          <xdr:nvSpPr>
            <xdr:cNvPr id="435" name="Freeform 59"/>
            <xdr:cNvSpPr>
              <a:spLocks/>
            </xdr:cNvSpPr>
          </xdr:nvSpPr>
          <xdr:spPr bwMode="auto">
            <a:xfrm>
              <a:off x="882" y="658"/>
              <a:ext cx="67" cy="177"/>
            </a:xfrm>
            <a:custGeom>
              <a:avLst/>
              <a:gdLst>
                <a:gd name="T0" fmla="*/ 67 w 67"/>
                <a:gd name="T1" fmla="*/ 0 h 177"/>
                <a:gd name="T2" fmla="*/ 67 w 67"/>
                <a:gd name="T3" fmla="*/ 2 h 177"/>
                <a:gd name="T4" fmla="*/ 19 w 67"/>
                <a:gd name="T5" fmla="*/ 50 h 177"/>
                <a:gd name="T6" fmla="*/ 2 w 67"/>
                <a:gd name="T7" fmla="*/ 50 h 177"/>
                <a:gd name="T8" fmla="*/ 2 w 67"/>
                <a:gd name="T9" fmla="*/ 60 h 177"/>
                <a:gd name="T10" fmla="*/ 3 w 67"/>
                <a:gd name="T11" fmla="*/ 62 h 177"/>
                <a:gd name="T12" fmla="*/ 4 w 67"/>
                <a:gd name="T13" fmla="*/ 64 h 177"/>
                <a:gd name="T14" fmla="*/ 5 w 67"/>
                <a:gd name="T15" fmla="*/ 177 h 177"/>
                <a:gd name="T16" fmla="*/ 3 w 67"/>
                <a:gd name="T17" fmla="*/ 175 h 177"/>
                <a:gd name="T18" fmla="*/ 2 w 67"/>
                <a:gd name="T19" fmla="*/ 66 h 177"/>
                <a:gd name="T20" fmla="*/ 1 w 67"/>
                <a:gd name="T21" fmla="*/ 63 h 177"/>
                <a:gd name="T22" fmla="*/ 0 w 67"/>
                <a:gd name="T23" fmla="*/ 61 h 177"/>
                <a:gd name="T24" fmla="*/ 0 w 67"/>
                <a:gd name="T25" fmla="*/ 48 h 177"/>
                <a:gd name="T26" fmla="*/ 19 w 67"/>
                <a:gd name="T27" fmla="*/ 48 h 177"/>
                <a:gd name="T28" fmla="*/ 67 w 67"/>
                <a:gd name="T29" fmla="*/ 0 h 177"/>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67"/>
                <a:gd name="T46" fmla="*/ 0 h 177"/>
                <a:gd name="T47" fmla="*/ 67 w 67"/>
                <a:gd name="T48" fmla="*/ 177 h 177"/>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67" h="177">
                  <a:moveTo>
                    <a:pt x="67" y="0"/>
                  </a:moveTo>
                  <a:lnTo>
                    <a:pt x="67" y="2"/>
                  </a:lnTo>
                  <a:lnTo>
                    <a:pt x="19" y="50"/>
                  </a:lnTo>
                  <a:lnTo>
                    <a:pt x="2" y="50"/>
                  </a:lnTo>
                  <a:lnTo>
                    <a:pt x="2" y="60"/>
                  </a:lnTo>
                  <a:lnTo>
                    <a:pt x="3" y="62"/>
                  </a:lnTo>
                  <a:lnTo>
                    <a:pt x="4" y="64"/>
                  </a:lnTo>
                  <a:lnTo>
                    <a:pt x="5" y="177"/>
                  </a:lnTo>
                  <a:lnTo>
                    <a:pt x="3" y="175"/>
                  </a:lnTo>
                  <a:lnTo>
                    <a:pt x="2" y="66"/>
                  </a:lnTo>
                  <a:lnTo>
                    <a:pt x="1" y="63"/>
                  </a:lnTo>
                  <a:lnTo>
                    <a:pt x="0" y="61"/>
                  </a:lnTo>
                  <a:lnTo>
                    <a:pt x="0" y="48"/>
                  </a:lnTo>
                  <a:lnTo>
                    <a:pt x="19" y="48"/>
                  </a:lnTo>
                  <a:lnTo>
                    <a:pt x="67" y="0"/>
                  </a:lnTo>
                  <a:close/>
                </a:path>
              </a:pathLst>
            </a:custGeom>
            <a:solidFill>
              <a:srgbClr val="00CCFF"/>
            </a:solidFill>
            <a:ln w="6350" cmpd="sng">
              <a:solidFill>
                <a:srgbClr val="000000"/>
              </a:solidFill>
              <a:round/>
              <a:headEnd/>
              <a:tailEnd/>
            </a:ln>
          </xdr:spPr>
        </xdr:sp>
        <xdr:sp macro="" textlink="">
          <xdr:nvSpPr>
            <xdr:cNvPr id="436" name="Line 60"/>
            <xdr:cNvSpPr>
              <a:spLocks noChangeShapeType="1"/>
            </xdr:cNvSpPr>
          </xdr:nvSpPr>
          <xdr:spPr bwMode="auto">
            <a:xfrm>
              <a:off x="933" y="706"/>
              <a:ext cx="0" cy="0"/>
            </a:xfrm>
            <a:prstGeom prst="line">
              <a:avLst/>
            </a:prstGeom>
            <a:noFill/>
            <a:ln w="9525">
              <a:solidFill>
                <a:srgbClr val="000000"/>
              </a:solidFill>
              <a:round/>
              <a:headEnd/>
              <a:tailEnd/>
            </a:ln>
          </xdr:spPr>
        </xdr:sp>
        <xdr:sp macro="" textlink="">
          <xdr:nvSpPr>
            <xdr:cNvPr id="437" name="Freeform 61"/>
            <xdr:cNvSpPr>
              <a:spLocks/>
            </xdr:cNvSpPr>
          </xdr:nvSpPr>
          <xdr:spPr bwMode="auto">
            <a:xfrm>
              <a:off x="907" y="662"/>
              <a:ext cx="62" cy="42"/>
            </a:xfrm>
            <a:custGeom>
              <a:avLst/>
              <a:gdLst>
                <a:gd name="T0" fmla="*/ 0 w 62"/>
                <a:gd name="T1" fmla="*/ 42 h 42"/>
                <a:gd name="T2" fmla="*/ 42 w 62"/>
                <a:gd name="T3" fmla="*/ 0 h 42"/>
                <a:gd name="T4" fmla="*/ 62 w 62"/>
                <a:gd name="T5" fmla="*/ 0 h 42"/>
                <a:gd name="T6" fmla="*/ 23 w 62"/>
                <a:gd name="T7" fmla="*/ 42 h 42"/>
                <a:gd name="T8" fmla="*/ 0 w 62"/>
                <a:gd name="T9" fmla="*/ 42 h 42"/>
                <a:gd name="T10" fmla="*/ 0 60000 65536"/>
                <a:gd name="T11" fmla="*/ 0 60000 65536"/>
                <a:gd name="T12" fmla="*/ 0 60000 65536"/>
                <a:gd name="T13" fmla="*/ 0 60000 65536"/>
                <a:gd name="T14" fmla="*/ 0 60000 65536"/>
                <a:gd name="T15" fmla="*/ 0 w 62"/>
                <a:gd name="T16" fmla="*/ 0 h 42"/>
                <a:gd name="T17" fmla="*/ 62 w 62"/>
                <a:gd name="T18" fmla="*/ 42 h 42"/>
              </a:gdLst>
              <a:ahLst/>
              <a:cxnLst>
                <a:cxn ang="T10">
                  <a:pos x="T0" y="T1"/>
                </a:cxn>
                <a:cxn ang="T11">
                  <a:pos x="T2" y="T3"/>
                </a:cxn>
                <a:cxn ang="T12">
                  <a:pos x="T4" y="T5"/>
                </a:cxn>
                <a:cxn ang="T13">
                  <a:pos x="T6" y="T7"/>
                </a:cxn>
                <a:cxn ang="T14">
                  <a:pos x="T8" y="T9"/>
                </a:cxn>
              </a:cxnLst>
              <a:rect l="T15" t="T16" r="T17" b="T18"/>
              <a:pathLst>
                <a:path w="62" h="42">
                  <a:moveTo>
                    <a:pt x="0" y="42"/>
                  </a:moveTo>
                  <a:lnTo>
                    <a:pt x="42" y="0"/>
                  </a:lnTo>
                  <a:lnTo>
                    <a:pt x="62" y="0"/>
                  </a:lnTo>
                  <a:lnTo>
                    <a:pt x="23" y="42"/>
                  </a:lnTo>
                  <a:lnTo>
                    <a:pt x="0" y="42"/>
                  </a:lnTo>
                  <a:close/>
                </a:path>
              </a:pathLst>
            </a:custGeom>
            <a:gradFill rotWithShape="1">
              <a:gsLst>
                <a:gs pos="0">
                  <a:srgbClr val="69FFFF"/>
                </a:gs>
                <a:gs pos="100000">
                  <a:srgbClr val="CCFFCC"/>
                </a:gs>
              </a:gsLst>
              <a:lin ang="0" scaled="1"/>
            </a:gradFill>
            <a:ln w="9525">
              <a:solidFill>
                <a:srgbClr val="000000"/>
              </a:solidFill>
              <a:round/>
              <a:headEnd/>
              <a:tailEnd/>
            </a:ln>
          </xdr:spPr>
        </xdr:sp>
        <xdr:sp macro="" textlink="">
          <xdr:nvSpPr>
            <xdr:cNvPr id="438" name="Freeform 62"/>
            <xdr:cNvSpPr>
              <a:spLocks/>
            </xdr:cNvSpPr>
          </xdr:nvSpPr>
          <xdr:spPr bwMode="auto">
            <a:xfrm>
              <a:off x="889" y="720"/>
              <a:ext cx="23" cy="176"/>
            </a:xfrm>
            <a:custGeom>
              <a:avLst/>
              <a:gdLst>
                <a:gd name="T0" fmla="*/ 0 w 23"/>
                <a:gd name="T1" fmla="*/ 18 h 176"/>
                <a:gd name="T2" fmla="*/ 23 w 23"/>
                <a:gd name="T3" fmla="*/ 0 h 176"/>
                <a:gd name="T4" fmla="*/ 23 w 23"/>
                <a:gd name="T5" fmla="*/ 176 h 176"/>
                <a:gd name="T6" fmla="*/ 0 w 23"/>
                <a:gd name="T7" fmla="*/ 176 h 176"/>
                <a:gd name="T8" fmla="*/ 0 w 23"/>
                <a:gd name="T9" fmla="*/ 18 h 176"/>
                <a:gd name="T10" fmla="*/ 0 60000 65536"/>
                <a:gd name="T11" fmla="*/ 0 60000 65536"/>
                <a:gd name="T12" fmla="*/ 0 60000 65536"/>
                <a:gd name="T13" fmla="*/ 0 60000 65536"/>
                <a:gd name="T14" fmla="*/ 0 60000 65536"/>
                <a:gd name="T15" fmla="*/ 0 w 23"/>
                <a:gd name="T16" fmla="*/ 0 h 176"/>
                <a:gd name="T17" fmla="*/ 23 w 23"/>
                <a:gd name="T18" fmla="*/ 176 h 176"/>
              </a:gdLst>
              <a:ahLst/>
              <a:cxnLst>
                <a:cxn ang="T10">
                  <a:pos x="T0" y="T1"/>
                </a:cxn>
                <a:cxn ang="T11">
                  <a:pos x="T2" y="T3"/>
                </a:cxn>
                <a:cxn ang="T12">
                  <a:pos x="T4" y="T5"/>
                </a:cxn>
                <a:cxn ang="T13">
                  <a:pos x="T6" y="T7"/>
                </a:cxn>
                <a:cxn ang="T14">
                  <a:pos x="T8" y="T9"/>
                </a:cxn>
              </a:cxnLst>
              <a:rect l="T15" t="T16" r="T17" b="T18"/>
              <a:pathLst>
                <a:path w="23" h="176">
                  <a:moveTo>
                    <a:pt x="0" y="18"/>
                  </a:moveTo>
                  <a:lnTo>
                    <a:pt x="23" y="0"/>
                  </a:lnTo>
                  <a:lnTo>
                    <a:pt x="23" y="176"/>
                  </a:lnTo>
                  <a:lnTo>
                    <a:pt x="0" y="176"/>
                  </a:lnTo>
                  <a:lnTo>
                    <a:pt x="0" y="18"/>
                  </a:lnTo>
                  <a:close/>
                </a:path>
              </a:pathLst>
            </a:custGeom>
            <a:gradFill rotWithShape="1">
              <a:gsLst>
                <a:gs pos="0">
                  <a:srgbClr val="DDDDDD"/>
                </a:gs>
                <a:gs pos="100000">
                  <a:srgbClr val="666666"/>
                </a:gs>
              </a:gsLst>
              <a:lin ang="0" scaled="1"/>
            </a:gradFill>
            <a:ln w="9525">
              <a:solidFill>
                <a:srgbClr val="000000"/>
              </a:solidFill>
              <a:round/>
              <a:headEnd/>
              <a:tailEnd/>
            </a:ln>
          </xdr:spPr>
        </xdr:sp>
        <xdr:sp macro="" textlink="">
          <xdr:nvSpPr>
            <xdr:cNvPr id="439" name="Line 63"/>
            <xdr:cNvSpPr>
              <a:spLocks noChangeShapeType="1"/>
            </xdr:cNvSpPr>
          </xdr:nvSpPr>
          <xdr:spPr bwMode="auto">
            <a:xfrm flipV="1">
              <a:off x="912" y="707"/>
              <a:ext cx="13" cy="13"/>
            </a:xfrm>
            <a:prstGeom prst="line">
              <a:avLst/>
            </a:prstGeom>
            <a:noFill/>
            <a:ln w="28575">
              <a:solidFill>
                <a:srgbClr val="A6CAF0"/>
              </a:solidFill>
              <a:round/>
              <a:headEnd/>
              <a:tailEnd/>
            </a:ln>
          </xdr:spPr>
        </xdr:sp>
        <xdr:sp macro="" textlink="">
          <xdr:nvSpPr>
            <xdr:cNvPr id="440" name="Freeform 64"/>
            <xdr:cNvSpPr>
              <a:spLocks/>
            </xdr:cNvSpPr>
          </xdr:nvSpPr>
          <xdr:spPr bwMode="auto">
            <a:xfrm>
              <a:off x="923" y="697"/>
              <a:ext cx="27" cy="202"/>
            </a:xfrm>
            <a:custGeom>
              <a:avLst/>
              <a:gdLst>
                <a:gd name="T0" fmla="*/ 0 w 27"/>
                <a:gd name="T1" fmla="*/ 9 h 202"/>
                <a:gd name="T2" fmla="*/ 0 w 27"/>
                <a:gd name="T3" fmla="*/ 201 h 202"/>
                <a:gd name="T4" fmla="*/ 0 w 27"/>
                <a:gd name="T5" fmla="*/ 202 h 202"/>
                <a:gd name="T6" fmla="*/ 22 w 27"/>
                <a:gd name="T7" fmla="*/ 202 h 202"/>
                <a:gd name="T8" fmla="*/ 27 w 27"/>
                <a:gd name="T9" fmla="*/ 0 h 202"/>
                <a:gd name="T10" fmla="*/ 15 w 27"/>
                <a:gd name="T11" fmla="*/ 0 h 202"/>
                <a:gd name="T12" fmla="*/ 0 60000 65536"/>
                <a:gd name="T13" fmla="*/ 0 60000 65536"/>
                <a:gd name="T14" fmla="*/ 0 60000 65536"/>
                <a:gd name="T15" fmla="*/ 0 60000 65536"/>
                <a:gd name="T16" fmla="*/ 0 60000 65536"/>
                <a:gd name="T17" fmla="*/ 0 60000 65536"/>
                <a:gd name="T18" fmla="*/ 0 w 27"/>
                <a:gd name="T19" fmla="*/ 0 h 202"/>
                <a:gd name="T20" fmla="*/ 27 w 27"/>
                <a:gd name="T21" fmla="*/ 202 h 202"/>
              </a:gdLst>
              <a:ahLst/>
              <a:cxnLst>
                <a:cxn ang="T12">
                  <a:pos x="T0" y="T1"/>
                </a:cxn>
                <a:cxn ang="T13">
                  <a:pos x="T2" y="T3"/>
                </a:cxn>
                <a:cxn ang="T14">
                  <a:pos x="T4" y="T5"/>
                </a:cxn>
                <a:cxn ang="T15">
                  <a:pos x="T6" y="T7"/>
                </a:cxn>
                <a:cxn ang="T16">
                  <a:pos x="T8" y="T9"/>
                </a:cxn>
                <a:cxn ang="T17">
                  <a:pos x="T10" y="T11"/>
                </a:cxn>
              </a:cxnLst>
              <a:rect l="T18" t="T19" r="T20" b="T21"/>
              <a:pathLst>
                <a:path w="27" h="202">
                  <a:moveTo>
                    <a:pt x="0" y="9"/>
                  </a:moveTo>
                  <a:lnTo>
                    <a:pt x="0" y="201"/>
                  </a:lnTo>
                  <a:lnTo>
                    <a:pt x="0" y="202"/>
                  </a:lnTo>
                  <a:lnTo>
                    <a:pt x="22" y="202"/>
                  </a:lnTo>
                  <a:lnTo>
                    <a:pt x="27" y="0"/>
                  </a:lnTo>
                  <a:lnTo>
                    <a:pt x="15" y="0"/>
                  </a:lnTo>
                </a:path>
              </a:pathLst>
            </a:custGeom>
            <a:solidFill>
              <a:srgbClr val="336666"/>
            </a:solidFill>
            <a:ln w="9525">
              <a:noFill/>
              <a:round/>
              <a:headEnd/>
              <a:tailEnd/>
            </a:ln>
          </xdr:spPr>
        </xdr:sp>
        <xdr:sp macro="" textlink="">
          <xdr:nvSpPr>
            <xdr:cNvPr id="441" name="Freeform 65"/>
            <xdr:cNvSpPr>
              <a:spLocks/>
            </xdr:cNvSpPr>
          </xdr:nvSpPr>
          <xdr:spPr bwMode="auto">
            <a:xfrm>
              <a:off x="911" y="707"/>
              <a:ext cx="13" cy="156"/>
            </a:xfrm>
            <a:custGeom>
              <a:avLst/>
              <a:gdLst>
                <a:gd name="T0" fmla="*/ 0 w 13"/>
                <a:gd name="T1" fmla="*/ 0 h 155"/>
                <a:gd name="T2" fmla="*/ 13 w 13"/>
                <a:gd name="T3" fmla="*/ 0 h 155"/>
                <a:gd name="T4" fmla="*/ 13 w 13"/>
                <a:gd name="T5" fmla="*/ 172 h 155"/>
                <a:gd name="T6" fmla="*/ 1 w 13"/>
                <a:gd name="T7" fmla="*/ 178 h 155"/>
                <a:gd name="T8" fmla="*/ 0 w 13"/>
                <a:gd name="T9" fmla="*/ 0 h 155"/>
                <a:gd name="T10" fmla="*/ 0 60000 65536"/>
                <a:gd name="T11" fmla="*/ 0 60000 65536"/>
                <a:gd name="T12" fmla="*/ 0 60000 65536"/>
                <a:gd name="T13" fmla="*/ 0 60000 65536"/>
                <a:gd name="T14" fmla="*/ 0 60000 65536"/>
                <a:gd name="T15" fmla="*/ 0 w 13"/>
                <a:gd name="T16" fmla="*/ 0 h 155"/>
                <a:gd name="T17" fmla="*/ 13 w 13"/>
                <a:gd name="T18" fmla="*/ 155 h 155"/>
              </a:gdLst>
              <a:ahLst/>
              <a:cxnLst>
                <a:cxn ang="T10">
                  <a:pos x="T0" y="T1"/>
                </a:cxn>
                <a:cxn ang="T11">
                  <a:pos x="T2" y="T3"/>
                </a:cxn>
                <a:cxn ang="T12">
                  <a:pos x="T4" y="T5"/>
                </a:cxn>
                <a:cxn ang="T13">
                  <a:pos x="T6" y="T7"/>
                </a:cxn>
                <a:cxn ang="T14">
                  <a:pos x="T8" y="T9"/>
                </a:cxn>
              </a:cxnLst>
              <a:rect l="T15" t="T16" r="T17" b="T18"/>
              <a:pathLst>
                <a:path w="13" h="155">
                  <a:moveTo>
                    <a:pt x="0" y="0"/>
                  </a:moveTo>
                  <a:lnTo>
                    <a:pt x="13" y="0"/>
                  </a:lnTo>
                  <a:lnTo>
                    <a:pt x="13" y="149"/>
                  </a:lnTo>
                  <a:lnTo>
                    <a:pt x="1" y="155"/>
                  </a:lnTo>
                  <a:lnTo>
                    <a:pt x="0" y="0"/>
                  </a:lnTo>
                  <a:close/>
                </a:path>
              </a:pathLst>
            </a:custGeom>
            <a:solidFill>
              <a:srgbClr val="99FF99"/>
            </a:solidFill>
            <a:ln w="9525">
              <a:noFill/>
              <a:round/>
              <a:headEnd/>
              <a:tailEnd/>
            </a:ln>
          </xdr:spPr>
        </xdr:sp>
        <xdr:sp macro="" textlink="">
          <xdr:nvSpPr>
            <xdr:cNvPr id="442" name="Line 66"/>
            <xdr:cNvSpPr>
              <a:spLocks noChangeShapeType="1"/>
            </xdr:cNvSpPr>
          </xdr:nvSpPr>
          <xdr:spPr bwMode="auto">
            <a:xfrm>
              <a:off x="937" y="705"/>
              <a:ext cx="0" cy="187"/>
            </a:xfrm>
            <a:prstGeom prst="line">
              <a:avLst/>
            </a:prstGeom>
            <a:noFill/>
            <a:ln w="28575">
              <a:solidFill>
                <a:srgbClr val="A6CAF0"/>
              </a:solidFill>
              <a:round/>
              <a:headEnd/>
              <a:tailEnd/>
            </a:ln>
          </xdr:spPr>
        </xdr:sp>
        <xdr:sp macro="" textlink="">
          <xdr:nvSpPr>
            <xdr:cNvPr id="443" name="Line 67"/>
            <xdr:cNvSpPr>
              <a:spLocks noChangeShapeType="1"/>
            </xdr:cNvSpPr>
          </xdr:nvSpPr>
          <xdr:spPr bwMode="auto">
            <a:xfrm>
              <a:off x="924" y="707"/>
              <a:ext cx="1" cy="152"/>
            </a:xfrm>
            <a:prstGeom prst="line">
              <a:avLst/>
            </a:prstGeom>
            <a:noFill/>
            <a:ln w="19050">
              <a:solidFill>
                <a:srgbClr val="A6CAF0"/>
              </a:solidFill>
              <a:round/>
              <a:headEnd/>
              <a:tailEnd/>
            </a:ln>
          </xdr:spPr>
        </xdr:sp>
        <xdr:sp macro="" textlink="">
          <xdr:nvSpPr>
            <xdr:cNvPr id="444" name="Line 68"/>
            <xdr:cNvSpPr>
              <a:spLocks noChangeShapeType="1"/>
            </xdr:cNvSpPr>
          </xdr:nvSpPr>
          <xdr:spPr bwMode="auto">
            <a:xfrm>
              <a:off x="912" y="721"/>
              <a:ext cx="1" cy="152"/>
            </a:xfrm>
            <a:prstGeom prst="line">
              <a:avLst/>
            </a:prstGeom>
            <a:noFill/>
            <a:ln w="19050">
              <a:solidFill>
                <a:srgbClr val="00CCFF"/>
              </a:solidFill>
              <a:round/>
              <a:headEnd/>
              <a:tailEnd/>
            </a:ln>
          </xdr:spPr>
        </xdr:sp>
        <xdr:sp macro="" textlink="">
          <xdr:nvSpPr>
            <xdr:cNvPr id="445" name="Freeform 69"/>
            <xdr:cNvSpPr>
              <a:spLocks/>
            </xdr:cNvSpPr>
          </xdr:nvSpPr>
          <xdr:spPr bwMode="auto">
            <a:xfrm>
              <a:off x="910" y="707"/>
              <a:ext cx="2" cy="15"/>
            </a:xfrm>
            <a:custGeom>
              <a:avLst/>
              <a:gdLst>
                <a:gd name="T0" fmla="*/ 2 w 2"/>
                <a:gd name="T1" fmla="*/ 15 h 15"/>
                <a:gd name="T2" fmla="*/ 0 w 2"/>
                <a:gd name="T3" fmla="*/ 11 h 15"/>
                <a:gd name="T4" fmla="*/ 0 w 2"/>
                <a:gd name="T5" fmla="*/ 0 h 15"/>
                <a:gd name="T6" fmla="*/ 0 60000 65536"/>
                <a:gd name="T7" fmla="*/ 0 60000 65536"/>
                <a:gd name="T8" fmla="*/ 0 60000 65536"/>
                <a:gd name="T9" fmla="*/ 0 w 2"/>
                <a:gd name="T10" fmla="*/ 0 h 15"/>
                <a:gd name="T11" fmla="*/ 2 w 2"/>
                <a:gd name="T12" fmla="*/ 15 h 15"/>
              </a:gdLst>
              <a:ahLst/>
              <a:cxnLst>
                <a:cxn ang="T6">
                  <a:pos x="T0" y="T1"/>
                </a:cxn>
                <a:cxn ang="T7">
                  <a:pos x="T2" y="T3"/>
                </a:cxn>
                <a:cxn ang="T8">
                  <a:pos x="T4" y="T5"/>
                </a:cxn>
              </a:cxnLst>
              <a:rect l="T9" t="T10" r="T11" b="T12"/>
              <a:pathLst>
                <a:path w="2" h="15">
                  <a:moveTo>
                    <a:pt x="2" y="15"/>
                  </a:moveTo>
                  <a:lnTo>
                    <a:pt x="0" y="11"/>
                  </a:lnTo>
                  <a:lnTo>
                    <a:pt x="0" y="0"/>
                  </a:lnTo>
                </a:path>
              </a:pathLst>
            </a:custGeom>
            <a:noFill/>
            <a:ln w="19050" cmpd="sng">
              <a:solidFill>
                <a:srgbClr val="00CCFF"/>
              </a:solidFill>
              <a:round/>
              <a:headEnd/>
              <a:tailEnd/>
            </a:ln>
          </xdr:spPr>
        </xdr:sp>
        <xdr:sp macro="" textlink="">
          <xdr:nvSpPr>
            <xdr:cNvPr id="446" name="Line 70"/>
            <xdr:cNvSpPr>
              <a:spLocks noChangeShapeType="1"/>
            </xdr:cNvSpPr>
          </xdr:nvSpPr>
          <xdr:spPr bwMode="auto">
            <a:xfrm>
              <a:off x="908" y="706"/>
              <a:ext cx="0" cy="0"/>
            </a:xfrm>
            <a:prstGeom prst="line">
              <a:avLst/>
            </a:prstGeom>
            <a:noFill/>
            <a:ln w="9525">
              <a:solidFill>
                <a:srgbClr val="000000"/>
              </a:solidFill>
              <a:round/>
              <a:headEnd/>
              <a:tailEnd/>
            </a:ln>
          </xdr:spPr>
        </xdr:sp>
        <xdr:sp macro="" textlink="">
          <xdr:nvSpPr>
            <xdr:cNvPr id="447" name="Freeform 71"/>
            <xdr:cNvSpPr>
              <a:spLocks/>
            </xdr:cNvSpPr>
          </xdr:nvSpPr>
          <xdr:spPr bwMode="auto">
            <a:xfrm>
              <a:off x="903" y="656"/>
              <a:ext cx="73" cy="67"/>
            </a:xfrm>
            <a:custGeom>
              <a:avLst/>
              <a:gdLst>
                <a:gd name="T0" fmla="*/ 0 w 73"/>
                <a:gd name="T1" fmla="*/ 67 h 67"/>
                <a:gd name="T2" fmla="*/ 0 w 73"/>
                <a:gd name="T3" fmla="*/ 65 h 67"/>
                <a:gd name="T4" fmla="*/ 2 w 73"/>
                <a:gd name="T5" fmla="*/ 63 h 67"/>
                <a:gd name="T6" fmla="*/ 4 w 73"/>
                <a:gd name="T7" fmla="*/ 61 h 67"/>
                <a:gd name="T8" fmla="*/ 4 w 73"/>
                <a:gd name="T9" fmla="*/ 48 h 67"/>
                <a:gd name="T10" fmla="*/ 25 w 73"/>
                <a:gd name="T11" fmla="*/ 48 h 67"/>
                <a:gd name="T12" fmla="*/ 73 w 73"/>
                <a:gd name="T13" fmla="*/ 0 h 67"/>
                <a:gd name="T14" fmla="*/ 73 w 73"/>
                <a:gd name="T15" fmla="*/ 2 h 67"/>
                <a:gd name="T16" fmla="*/ 25 w 73"/>
                <a:gd name="T17" fmla="*/ 50 h 67"/>
                <a:gd name="T18" fmla="*/ 6 w 73"/>
                <a:gd name="T19" fmla="*/ 50 h 67"/>
                <a:gd name="T20" fmla="*/ 6 w 73"/>
                <a:gd name="T21" fmla="*/ 63 h 67"/>
                <a:gd name="T22" fmla="*/ 4 w 73"/>
                <a:gd name="T23" fmla="*/ 64 h 67"/>
                <a:gd name="T24" fmla="*/ 0 w 73"/>
                <a:gd name="T25" fmla="*/ 67 h 67"/>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73"/>
                <a:gd name="T40" fmla="*/ 0 h 67"/>
                <a:gd name="T41" fmla="*/ 73 w 73"/>
                <a:gd name="T42" fmla="*/ 67 h 67"/>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73" h="67">
                  <a:moveTo>
                    <a:pt x="0" y="67"/>
                  </a:moveTo>
                  <a:lnTo>
                    <a:pt x="0" y="65"/>
                  </a:lnTo>
                  <a:lnTo>
                    <a:pt x="2" y="63"/>
                  </a:lnTo>
                  <a:lnTo>
                    <a:pt x="4" y="61"/>
                  </a:lnTo>
                  <a:lnTo>
                    <a:pt x="4" y="48"/>
                  </a:lnTo>
                  <a:lnTo>
                    <a:pt x="25" y="48"/>
                  </a:lnTo>
                  <a:lnTo>
                    <a:pt x="73" y="0"/>
                  </a:lnTo>
                  <a:lnTo>
                    <a:pt x="73" y="2"/>
                  </a:lnTo>
                  <a:lnTo>
                    <a:pt x="25" y="50"/>
                  </a:lnTo>
                  <a:lnTo>
                    <a:pt x="6" y="50"/>
                  </a:lnTo>
                  <a:lnTo>
                    <a:pt x="6" y="63"/>
                  </a:lnTo>
                  <a:lnTo>
                    <a:pt x="4" y="64"/>
                  </a:lnTo>
                  <a:lnTo>
                    <a:pt x="0" y="67"/>
                  </a:lnTo>
                  <a:close/>
                </a:path>
              </a:pathLst>
            </a:custGeom>
            <a:solidFill>
              <a:srgbClr val="00CCFF"/>
            </a:solidFill>
            <a:ln w="6350" cmpd="sng">
              <a:solidFill>
                <a:srgbClr val="000000"/>
              </a:solidFill>
              <a:round/>
              <a:headEnd/>
              <a:tailEnd/>
            </a:ln>
          </xdr:spPr>
        </xdr:sp>
        <xdr:grpSp>
          <xdr:nvGrpSpPr>
            <xdr:cNvPr id="448" name="Group 72"/>
            <xdr:cNvGrpSpPr>
              <a:grpSpLocks/>
            </xdr:cNvGrpSpPr>
          </xdr:nvGrpSpPr>
          <xdr:grpSpPr bwMode="auto">
            <a:xfrm>
              <a:off x="912" y="652"/>
              <a:ext cx="65" cy="47"/>
              <a:chOff x="112" y="627"/>
              <a:chExt cx="65" cy="47"/>
            </a:xfrm>
          </xdr:grpSpPr>
          <xdr:sp macro="" textlink="">
            <xdr:nvSpPr>
              <xdr:cNvPr id="455" name="Freeform 73"/>
              <xdr:cNvSpPr>
                <a:spLocks/>
              </xdr:cNvSpPr>
            </xdr:nvSpPr>
            <xdr:spPr bwMode="auto">
              <a:xfrm>
                <a:off x="112" y="627"/>
                <a:ext cx="65" cy="41"/>
              </a:xfrm>
              <a:custGeom>
                <a:avLst/>
                <a:gdLst>
                  <a:gd name="T0" fmla="*/ 24 w 65"/>
                  <a:gd name="T1" fmla="*/ 41 h 41"/>
                  <a:gd name="T2" fmla="*/ 0 w 65"/>
                  <a:gd name="T3" fmla="*/ 41 h 41"/>
                  <a:gd name="T4" fmla="*/ 41 w 65"/>
                  <a:gd name="T5" fmla="*/ 0 h 41"/>
                  <a:gd name="T6" fmla="*/ 65 w 65"/>
                  <a:gd name="T7" fmla="*/ 0 h 41"/>
                  <a:gd name="T8" fmla="*/ 24 w 65"/>
                  <a:gd name="T9" fmla="*/ 41 h 41"/>
                  <a:gd name="T10" fmla="*/ 0 60000 65536"/>
                  <a:gd name="T11" fmla="*/ 0 60000 65536"/>
                  <a:gd name="T12" fmla="*/ 0 60000 65536"/>
                  <a:gd name="T13" fmla="*/ 0 60000 65536"/>
                  <a:gd name="T14" fmla="*/ 0 60000 65536"/>
                  <a:gd name="T15" fmla="*/ 0 w 65"/>
                  <a:gd name="T16" fmla="*/ 0 h 41"/>
                  <a:gd name="T17" fmla="*/ 65 w 65"/>
                  <a:gd name="T18" fmla="*/ 41 h 41"/>
                </a:gdLst>
                <a:ahLst/>
                <a:cxnLst>
                  <a:cxn ang="T10">
                    <a:pos x="T0" y="T1"/>
                  </a:cxn>
                  <a:cxn ang="T11">
                    <a:pos x="T2" y="T3"/>
                  </a:cxn>
                  <a:cxn ang="T12">
                    <a:pos x="T4" y="T5"/>
                  </a:cxn>
                  <a:cxn ang="T13">
                    <a:pos x="T6" y="T7"/>
                  </a:cxn>
                  <a:cxn ang="T14">
                    <a:pos x="T8" y="T9"/>
                  </a:cxn>
                </a:cxnLst>
                <a:rect l="T15" t="T16" r="T17" b="T18"/>
                <a:pathLst>
                  <a:path w="65" h="41">
                    <a:moveTo>
                      <a:pt x="24" y="41"/>
                    </a:moveTo>
                    <a:lnTo>
                      <a:pt x="0" y="41"/>
                    </a:lnTo>
                    <a:lnTo>
                      <a:pt x="41" y="0"/>
                    </a:lnTo>
                    <a:lnTo>
                      <a:pt x="65" y="0"/>
                    </a:lnTo>
                    <a:lnTo>
                      <a:pt x="24" y="41"/>
                    </a:lnTo>
                    <a:close/>
                  </a:path>
                </a:pathLst>
              </a:custGeom>
              <a:gradFill rotWithShape="1">
                <a:gsLst>
                  <a:gs pos="0">
                    <a:srgbClr val="767676"/>
                  </a:gs>
                  <a:gs pos="50000">
                    <a:srgbClr val="FFFFFF"/>
                  </a:gs>
                  <a:gs pos="100000">
                    <a:srgbClr val="767676"/>
                  </a:gs>
                </a:gsLst>
                <a:lin ang="18900000" scaled="1"/>
              </a:gradFill>
              <a:ln w="9525">
                <a:solidFill>
                  <a:srgbClr val="000000"/>
                </a:solidFill>
                <a:round/>
                <a:headEnd/>
                <a:tailEnd/>
              </a:ln>
            </xdr:spPr>
          </xdr:sp>
          <xdr:sp macro="" textlink="">
            <xdr:nvSpPr>
              <xdr:cNvPr id="456" name="Freeform 74"/>
              <xdr:cNvSpPr>
                <a:spLocks/>
              </xdr:cNvSpPr>
            </xdr:nvSpPr>
            <xdr:spPr bwMode="auto">
              <a:xfrm>
                <a:off x="112" y="627"/>
                <a:ext cx="65" cy="47"/>
              </a:xfrm>
              <a:custGeom>
                <a:avLst/>
                <a:gdLst>
                  <a:gd name="T0" fmla="*/ 0 w 65"/>
                  <a:gd name="T1" fmla="*/ 41 h 47"/>
                  <a:gd name="T2" fmla="*/ 0 w 65"/>
                  <a:gd name="T3" fmla="*/ 47 h 47"/>
                  <a:gd name="T4" fmla="*/ 3 w 65"/>
                  <a:gd name="T5" fmla="*/ 44 h 47"/>
                  <a:gd name="T6" fmla="*/ 24 w 65"/>
                  <a:gd name="T7" fmla="*/ 44 h 47"/>
                  <a:gd name="T8" fmla="*/ 65 w 65"/>
                  <a:gd name="T9" fmla="*/ 3 h 47"/>
                  <a:gd name="T10" fmla="*/ 65 w 65"/>
                  <a:gd name="T11" fmla="*/ 0 h 47"/>
                  <a:gd name="T12" fmla="*/ 24 w 65"/>
                  <a:gd name="T13" fmla="*/ 41 h 47"/>
                  <a:gd name="T14" fmla="*/ 0 w 65"/>
                  <a:gd name="T15" fmla="*/ 41 h 47"/>
                  <a:gd name="T16" fmla="*/ 0 60000 65536"/>
                  <a:gd name="T17" fmla="*/ 0 60000 65536"/>
                  <a:gd name="T18" fmla="*/ 0 60000 65536"/>
                  <a:gd name="T19" fmla="*/ 0 60000 65536"/>
                  <a:gd name="T20" fmla="*/ 0 60000 65536"/>
                  <a:gd name="T21" fmla="*/ 0 60000 65536"/>
                  <a:gd name="T22" fmla="*/ 0 60000 65536"/>
                  <a:gd name="T23" fmla="*/ 0 60000 65536"/>
                  <a:gd name="T24" fmla="*/ 0 w 65"/>
                  <a:gd name="T25" fmla="*/ 0 h 47"/>
                  <a:gd name="T26" fmla="*/ 65 w 65"/>
                  <a:gd name="T27" fmla="*/ 47 h 47"/>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65" h="47">
                    <a:moveTo>
                      <a:pt x="0" y="41"/>
                    </a:moveTo>
                    <a:lnTo>
                      <a:pt x="0" y="47"/>
                    </a:lnTo>
                    <a:lnTo>
                      <a:pt x="3" y="44"/>
                    </a:lnTo>
                    <a:lnTo>
                      <a:pt x="24" y="44"/>
                    </a:lnTo>
                    <a:lnTo>
                      <a:pt x="65" y="3"/>
                    </a:lnTo>
                    <a:lnTo>
                      <a:pt x="65" y="0"/>
                    </a:lnTo>
                    <a:lnTo>
                      <a:pt x="24" y="41"/>
                    </a:lnTo>
                    <a:lnTo>
                      <a:pt x="0" y="41"/>
                    </a:lnTo>
                    <a:close/>
                  </a:path>
                </a:pathLst>
              </a:custGeom>
              <a:solidFill>
                <a:srgbClr val="808080"/>
              </a:solidFill>
              <a:ln w="6350" cmpd="sng">
                <a:solidFill>
                  <a:srgbClr val="000000"/>
                </a:solidFill>
                <a:round/>
                <a:headEnd/>
                <a:tailEnd/>
              </a:ln>
            </xdr:spPr>
          </xdr:sp>
        </xdr:grpSp>
        <xdr:sp macro="" textlink="">
          <xdr:nvSpPr>
            <xdr:cNvPr id="449" name="Line 75"/>
            <xdr:cNvSpPr>
              <a:spLocks noChangeShapeType="1"/>
            </xdr:cNvSpPr>
          </xdr:nvSpPr>
          <xdr:spPr bwMode="auto">
            <a:xfrm>
              <a:off x="936" y="693"/>
              <a:ext cx="0" cy="3"/>
            </a:xfrm>
            <a:prstGeom prst="line">
              <a:avLst/>
            </a:prstGeom>
            <a:noFill/>
            <a:ln w="9525">
              <a:solidFill>
                <a:srgbClr val="000000"/>
              </a:solidFill>
              <a:round/>
              <a:headEnd/>
              <a:tailEnd/>
            </a:ln>
          </xdr:spPr>
        </xdr:sp>
        <xdr:sp macro="" textlink="">
          <xdr:nvSpPr>
            <xdr:cNvPr id="450" name="Line 76"/>
            <xdr:cNvSpPr>
              <a:spLocks noChangeShapeType="1"/>
            </xdr:cNvSpPr>
          </xdr:nvSpPr>
          <xdr:spPr bwMode="auto">
            <a:xfrm flipV="1">
              <a:off x="913" y="711"/>
              <a:ext cx="11" cy="11"/>
            </a:xfrm>
            <a:prstGeom prst="line">
              <a:avLst/>
            </a:prstGeom>
            <a:noFill/>
            <a:ln w="19050">
              <a:solidFill>
                <a:srgbClr val="A6CAF0"/>
              </a:solidFill>
              <a:round/>
              <a:headEnd/>
              <a:tailEnd/>
            </a:ln>
          </xdr:spPr>
        </xdr:sp>
        <xdr:sp macro="" textlink="">
          <xdr:nvSpPr>
            <xdr:cNvPr id="451" name="Line 77"/>
            <xdr:cNvSpPr>
              <a:spLocks noChangeShapeType="1"/>
            </xdr:cNvSpPr>
          </xdr:nvSpPr>
          <xdr:spPr bwMode="auto">
            <a:xfrm flipV="1">
              <a:off x="909" y="707"/>
              <a:ext cx="12" cy="13"/>
            </a:xfrm>
            <a:prstGeom prst="line">
              <a:avLst/>
            </a:prstGeom>
            <a:noFill/>
            <a:ln w="19050">
              <a:solidFill>
                <a:srgbClr val="A6CAF0"/>
              </a:solidFill>
              <a:round/>
              <a:headEnd/>
              <a:tailEnd/>
            </a:ln>
          </xdr:spPr>
        </xdr:sp>
        <xdr:sp macro="" textlink="">
          <xdr:nvSpPr>
            <xdr:cNvPr id="452" name="Freeform 78"/>
            <xdr:cNvSpPr>
              <a:spLocks/>
            </xdr:cNvSpPr>
          </xdr:nvSpPr>
          <xdr:spPr bwMode="auto">
            <a:xfrm>
              <a:off x="909" y="658"/>
              <a:ext cx="67" cy="177"/>
            </a:xfrm>
            <a:custGeom>
              <a:avLst/>
              <a:gdLst>
                <a:gd name="T0" fmla="*/ 67 w 67"/>
                <a:gd name="T1" fmla="*/ 0 h 177"/>
                <a:gd name="T2" fmla="*/ 67 w 67"/>
                <a:gd name="T3" fmla="*/ 2 h 177"/>
                <a:gd name="T4" fmla="*/ 19 w 67"/>
                <a:gd name="T5" fmla="*/ 50 h 177"/>
                <a:gd name="T6" fmla="*/ 2 w 67"/>
                <a:gd name="T7" fmla="*/ 50 h 177"/>
                <a:gd name="T8" fmla="*/ 2 w 67"/>
                <a:gd name="T9" fmla="*/ 60 h 177"/>
                <a:gd name="T10" fmla="*/ 3 w 67"/>
                <a:gd name="T11" fmla="*/ 62 h 177"/>
                <a:gd name="T12" fmla="*/ 4 w 67"/>
                <a:gd name="T13" fmla="*/ 64 h 177"/>
                <a:gd name="T14" fmla="*/ 5 w 67"/>
                <a:gd name="T15" fmla="*/ 177 h 177"/>
                <a:gd name="T16" fmla="*/ 3 w 67"/>
                <a:gd name="T17" fmla="*/ 175 h 177"/>
                <a:gd name="T18" fmla="*/ 2 w 67"/>
                <a:gd name="T19" fmla="*/ 66 h 177"/>
                <a:gd name="T20" fmla="*/ 1 w 67"/>
                <a:gd name="T21" fmla="*/ 63 h 177"/>
                <a:gd name="T22" fmla="*/ 0 w 67"/>
                <a:gd name="T23" fmla="*/ 61 h 177"/>
                <a:gd name="T24" fmla="*/ 0 w 67"/>
                <a:gd name="T25" fmla="*/ 48 h 177"/>
                <a:gd name="T26" fmla="*/ 19 w 67"/>
                <a:gd name="T27" fmla="*/ 48 h 177"/>
                <a:gd name="T28" fmla="*/ 67 w 67"/>
                <a:gd name="T29" fmla="*/ 0 h 177"/>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67"/>
                <a:gd name="T46" fmla="*/ 0 h 177"/>
                <a:gd name="T47" fmla="*/ 67 w 67"/>
                <a:gd name="T48" fmla="*/ 177 h 177"/>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67" h="177">
                  <a:moveTo>
                    <a:pt x="67" y="0"/>
                  </a:moveTo>
                  <a:lnTo>
                    <a:pt x="67" y="2"/>
                  </a:lnTo>
                  <a:lnTo>
                    <a:pt x="19" y="50"/>
                  </a:lnTo>
                  <a:lnTo>
                    <a:pt x="2" y="50"/>
                  </a:lnTo>
                  <a:lnTo>
                    <a:pt x="2" y="60"/>
                  </a:lnTo>
                  <a:lnTo>
                    <a:pt x="3" y="62"/>
                  </a:lnTo>
                  <a:lnTo>
                    <a:pt x="4" y="64"/>
                  </a:lnTo>
                  <a:lnTo>
                    <a:pt x="5" y="177"/>
                  </a:lnTo>
                  <a:lnTo>
                    <a:pt x="3" y="175"/>
                  </a:lnTo>
                  <a:lnTo>
                    <a:pt x="2" y="66"/>
                  </a:lnTo>
                  <a:lnTo>
                    <a:pt x="1" y="63"/>
                  </a:lnTo>
                  <a:lnTo>
                    <a:pt x="0" y="61"/>
                  </a:lnTo>
                  <a:lnTo>
                    <a:pt x="0" y="48"/>
                  </a:lnTo>
                  <a:lnTo>
                    <a:pt x="19" y="48"/>
                  </a:lnTo>
                  <a:lnTo>
                    <a:pt x="67" y="0"/>
                  </a:lnTo>
                  <a:close/>
                </a:path>
              </a:pathLst>
            </a:custGeom>
            <a:solidFill>
              <a:srgbClr val="00CCFF"/>
            </a:solidFill>
            <a:ln w="6350" cmpd="sng">
              <a:solidFill>
                <a:srgbClr val="000000"/>
              </a:solidFill>
              <a:round/>
              <a:headEnd/>
              <a:tailEnd/>
            </a:ln>
          </xdr:spPr>
        </xdr:sp>
        <xdr:sp macro="" textlink="">
          <xdr:nvSpPr>
            <xdr:cNvPr id="453" name="Line 79"/>
            <xdr:cNvSpPr>
              <a:spLocks noChangeShapeType="1"/>
            </xdr:cNvSpPr>
          </xdr:nvSpPr>
          <xdr:spPr bwMode="auto">
            <a:xfrm>
              <a:off x="960" y="706"/>
              <a:ext cx="0" cy="0"/>
            </a:xfrm>
            <a:prstGeom prst="line">
              <a:avLst/>
            </a:prstGeom>
            <a:noFill/>
            <a:ln w="9525">
              <a:solidFill>
                <a:srgbClr val="000000"/>
              </a:solidFill>
              <a:round/>
              <a:headEnd/>
              <a:tailEnd/>
            </a:ln>
          </xdr:spPr>
        </xdr:sp>
        <xdr:sp macro="" textlink="">
          <xdr:nvSpPr>
            <xdr:cNvPr id="454" name="Freeform 80"/>
            <xdr:cNvSpPr>
              <a:spLocks/>
            </xdr:cNvSpPr>
          </xdr:nvSpPr>
          <xdr:spPr bwMode="auto">
            <a:xfrm>
              <a:off x="889" y="719"/>
              <a:ext cx="29" cy="19"/>
            </a:xfrm>
            <a:custGeom>
              <a:avLst/>
              <a:gdLst>
                <a:gd name="T0" fmla="*/ 29 w 29"/>
                <a:gd name="T1" fmla="*/ 16 h 19"/>
                <a:gd name="T2" fmla="*/ 25 w 29"/>
                <a:gd name="T3" fmla="*/ 19 h 19"/>
                <a:gd name="T4" fmla="*/ 0 w 29"/>
                <a:gd name="T5" fmla="*/ 19 h 19"/>
                <a:gd name="T6" fmla="*/ 19 w 29"/>
                <a:gd name="T7" fmla="*/ 0 h 19"/>
                <a:gd name="T8" fmla="*/ 21 w 29"/>
                <a:gd name="T9" fmla="*/ 2 h 19"/>
                <a:gd name="T10" fmla="*/ 21 w 29"/>
                <a:gd name="T11" fmla="*/ 4 h 19"/>
                <a:gd name="T12" fmla="*/ 8 w 29"/>
                <a:gd name="T13" fmla="*/ 16 h 19"/>
                <a:gd name="T14" fmla="*/ 29 w 29"/>
                <a:gd name="T15" fmla="*/ 16 h 19"/>
                <a:gd name="T16" fmla="*/ 0 60000 65536"/>
                <a:gd name="T17" fmla="*/ 0 60000 65536"/>
                <a:gd name="T18" fmla="*/ 0 60000 65536"/>
                <a:gd name="T19" fmla="*/ 0 60000 65536"/>
                <a:gd name="T20" fmla="*/ 0 60000 65536"/>
                <a:gd name="T21" fmla="*/ 0 60000 65536"/>
                <a:gd name="T22" fmla="*/ 0 60000 65536"/>
                <a:gd name="T23" fmla="*/ 0 60000 65536"/>
                <a:gd name="T24" fmla="*/ 0 w 29"/>
                <a:gd name="T25" fmla="*/ 0 h 19"/>
                <a:gd name="T26" fmla="*/ 29 w 29"/>
                <a:gd name="T27" fmla="*/ 19 h 19"/>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29" h="19">
                  <a:moveTo>
                    <a:pt x="29" y="16"/>
                  </a:moveTo>
                  <a:lnTo>
                    <a:pt x="25" y="19"/>
                  </a:lnTo>
                  <a:lnTo>
                    <a:pt x="0" y="19"/>
                  </a:lnTo>
                  <a:lnTo>
                    <a:pt x="19" y="0"/>
                  </a:lnTo>
                  <a:lnTo>
                    <a:pt x="21" y="2"/>
                  </a:lnTo>
                  <a:lnTo>
                    <a:pt x="21" y="4"/>
                  </a:lnTo>
                  <a:lnTo>
                    <a:pt x="8" y="16"/>
                  </a:lnTo>
                  <a:lnTo>
                    <a:pt x="29" y="16"/>
                  </a:lnTo>
                  <a:close/>
                </a:path>
              </a:pathLst>
            </a:custGeom>
            <a:solidFill>
              <a:srgbClr val="C0C0C0"/>
            </a:solidFill>
            <a:ln w="9525">
              <a:solidFill>
                <a:srgbClr val="000000"/>
              </a:solidFill>
              <a:round/>
              <a:headEnd/>
              <a:tailEnd/>
            </a:ln>
          </xdr:spPr>
        </xdr:sp>
      </xdr:grpSp>
      <xdr:sp macro="" textlink="">
        <xdr:nvSpPr>
          <xdr:cNvPr id="204" name="Freeform 82"/>
          <xdr:cNvSpPr>
            <a:spLocks/>
          </xdr:cNvSpPr>
        </xdr:nvSpPr>
        <xdr:spPr bwMode="auto">
          <a:xfrm>
            <a:off x="3971925" y="2190750"/>
            <a:ext cx="590550" cy="400050"/>
          </a:xfrm>
          <a:custGeom>
            <a:avLst/>
            <a:gdLst>
              <a:gd name="T0" fmla="*/ 0 w 62"/>
              <a:gd name="T1" fmla="*/ 42 h 42"/>
              <a:gd name="T2" fmla="*/ 42 w 62"/>
              <a:gd name="T3" fmla="*/ 0 h 42"/>
              <a:gd name="T4" fmla="*/ 62 w 62"/>
              <a:gd name="T5" fmla="*/ 0 h 42"/>
              <a:gd name="T6" fmla="*/ 23 w 62"/>
              <a:gd name="T7" fmla="*/ 42 h 42"/>
              <a:gd name="T8" fmla="*/ 0 w 62"/>
              <a:gd name="T9" fmla="*/ 42 h 42"/>
              <a:gd name="T10" fmla="*/ 0 60000 65536"/>
              <a:gd name="T11" fmla="*/ 0 60000 65536"/>
              <a:gd name="T12" fmla="*/ 0 60000 65536"/>
              <a:gd name="T13" fmla="*/ 0 60000 65536"/>
              <a:gd name="T14" fmla="*/ 0 60000 65536"/>
              <a:gd name="T15" fmla="*/ 0 w 62"/>
              <a:gd name="T16" fmla="*/ 0 h 42"/>
              <a:gd name="T17" fmla="*/ 62 w 62"/>
              <a:gd name="T18" fmla="*/ 42 h 42"/>
            </a:gdLst>
            <a:ahLst/>
            <a:cxnLst>
              <a:cxn ang="T10">
                <a:pos x="T0" y="T1"/>
              </a:cxn>
              <a:cxn ang="T11">
                <a:pos x="T2" y="T3"/>
              </a:cxn>
              <a:cxn ang="T12">
                <a:pos x="T4" y="T5"/>
              </a:cxn>
              <a:cxn ang="T13">
                <a:pos x="T6" y="T7"/>
              </a:cxn>
              <a:cxn ang="T14">
                <a:pos x="T8" y="T9"/>
              </a:cxn>
            </a:cxnLst>
            <a:rect l="T15" t="T16" r="T17" b="T18"/>
            <a:pathLst>
              <a:path w="62" h="42">
                <a:moveTo>
                  <a:pt x="0" y="42"/>
                </a:moveTo>
                <a:lnTo>
                  <a:pt x="42" y="0"/>
                </a:lnTo>
                <a:lnTo>
                  <a:pt x="62" y="0"/>
                </a:lnTo>
                <a:lnTo>
                  <a:pt x="23" y="42"/>
                </a:lnTo>
                <a:lnTo>
                  <a:pt x="0" y="42"/>
                </a:lnTo>
                <a:close/>
              </a:path>
            </a:pathLst>
          </a:custGeom>
          <a:gradFill rotWithShape="1">
            <a:gsLst>
              <a:gs pos="0">
                <a:srgbClr val="69FFFF"/>
              </a:gs>
              <a:gs pos="100000">
                <a:srgbClr val="CCFFCC"/>
              </a:gs>
            </a:gsLst>
            <a:lin ang="0" scaled="1"/>
          </a:gradFill>
          <a:ln w="9525">
            <a:solidFill>
              <a:srgbClr val="000000"/>
            </a:solidFill>
            <a:round/>
            <a:headEnd/>
            <a:tailEnd/>
          </a:ln>
        </xdr:spPr>
      </xdr:sp>
      <xdr:sp macro="" textlink="">
        <xdr:nvSpPr>
          <xdr:cNvPr id="205" name="Rectangle 83"/>
          <xdr:cNvSpPr>
            <a:spLocks noChangeArrowheads="1"/>
          </xdr:cNvSpPr>
        </xdr:nvSpPr>
        <xdr:spPr bwMode="auto">
          <a:xfrm>
            <a:off x="3562350" y="2943225"/>
            <a:ext cx="257175" cy="1438275"/>
          </a:xfrm>
          <a:prstGeom prst="rect">
            <a:avLst/>
          </a:prstGeom>
          <a:gradFill rotWithShape="1">
            <a:gsLst>
              <a:gs pos="0">
                <a:srgbClr val="FFFFFF"/>
              </a:gs>
              <a:gs pos="100000">
                <a:srgbClr val="767676"/>
              </a:gs>
            </a:gsLst>
            <a:lin ang="2700000" scaled="1"/>
          </a:gradFill>
          <a:ln w="9525">
            <a:solidFill>
              <a:srgbClr val="000000"/>
            </a:solidFill>
            <a:miter lim="800000"/>
            <a:headEnd/>
            <a:tailEnd/>
          </a:ln>
        </xdr:spPr>
      </xdr:sp>
      <xdr:sp macro="" textlink="">
        <xdr:nvSpPr>
          <xdr:cNvPr id="206" name="Freeform 84"/>
          <xdr:cNvSpPr>
            <a:spLocks/>
          </xdr:cNvSpPr>
        </xdr:nvSpPr>
        <xdr:spPr bwMode="auto">
          <a:xfrm>
            <a:off x="3819525" y="2743200"/>
            <a:ext cx="200025" cy="1685925"/>
          </a:xfrm>
          <a:custGeom>
            <a:avLst/>
            <a:gdLst>
              <a:gd name="T0" fmla="*/ 0 w 21"/>
              <a:gd name="T1" fmla="*/ 20 h 177"/>
              <a:gd name="T2" fmla="*/ 21 w 21"/>
              <a:gd name="T3" fmla="*/ 0 h 177"/>
              <a:gd name="T4" fmla="*/ 21 w 21"/>
              <a:gd name="T5" fmla="*/ 176 h 177"/>
              <a:gd name="T6" fmla="*/ 0 w 21"/>
              <a:gd name="T7" fmla="*/ 177 h 177"/>
              <a:gd name="T8" fmla="*/ 0 w 21"/>
              <a:gd name="T9" fmla="*/ 20 h 177"/>
              <a:gd name="T10" fmla="*/ 0 60000 65536"/>
              <a:gd name="T11" fmla="*/ 0 60000 65536"/>
              <a:gd name="T12" fmla="*/ 0 60000 65536"/>
              <a:gd name="T13" fmla="*/ 0 60000 65536"/>
              <a:gd name="T14" fmla="*/ 0 60000 65536"/>
              <a:gd name="T15" fmla="*/ 0 w 21"/>
              <a:gd name="T16" fmla="*/ 0 h 177"/>
              <a:gd name="T17" fmla="*/ 21 w 21"/>
              <a:gd name="T18" fmla="*/ 177 h 177"/>
            </a:gdLst>
            <a:ahLst/>
            <a:cxnLst>
              <a:cxn ang="T10">
                <a:pos x="T0" y="T1"/>
              </a:cxn>
              <a:cxn ang="T11">
                <a:pos x="T2" y="T3"/>
              </a:cxn>
              <a:cxn ang="T12">
                <a:pos x="T4" y="T5"/>
              </a:cxn>
              <a:cxn ang="T13">
                <a:pos x="T6" y="T7"/>
              </a:cxn>
              <a:cxn ang="T14">
                <a:pos x="T8" y="T9"/>
              </a:cxn>
            </a:cxnLst>
            <a:rect l="T15" t="T16" r="T17" b="T18"/>
            <a:pathLst>
              <a:path w="21" h="177">
                <a:moveTo>
                  <a:pt x="0" y="20"/>
                </a:moveTo>
                <a:lnTo>
                  <a:pt x="21" y="0"/>
                </a:lnTo>
                <a:lnTo>
                  <a:pt x="21" y="176"/>
                </a:lnTo>
                <a:lnTo>
                  <a:pt x="0" y="177"/>
                </a:lnTo>
                <a:lnTo>
                  <a:pt x="0" y="20"/>
                </a:lnTo>
                <a:close/>
              </a:path>
            </a:pathLst>
          </a:custGeom>
          <a:gradFill rotWithShape="1">
            <a:gsLst>
              <a:gs pos="0">
                <a:srgbClr val="767676"/>
              </a:gs>
              <a:gs pos="50000">
                <a:srgbClr val="FFFFFF"/>
              </a:gs>
              <a:gs pos="100000">
                <a:srgbClr val="767676"/>
              </a:gs>
            </a:gsLst>
            <a:lin ang="0" scaled="1"/>
          </a:gradFill>
          <a:ln w="9525">
            <a:solidFill>
              <a:srgbClr val="000000"/>
            </a:solidFill>
            <a:round/>
            <a:headEnd/>
            <a:tailEnd/>
          </a:ln>
        </xdr:spPr>
      </xdr:sp>
      <xdr:sp macro="" textlink="">
        <xdr:nvSpPr>
          <xdr:cNvPr id="207" name="Line 85"/>
          <xdr:cNvSpPr>
            <a:spLocks noChangeShapeType="1"/>
          </xdr:cNvSpPr>
        </xdr:nvSpPr>
        <xdr:spPr bwMode="auto">
          <a:xfrm flipV="1">
            <a:off x="4019550" y="2619375"/>
            <a:ext cx="123825" cy="123825"/>
          </a:xfrm>
          <a:prstGeom prst="line">
            <a:avLst/>
          </a:prstGeom>
          <a:noFill/>
          <a:ln w="28575">
            <a:solidFill>
              <a:srgbClr val="A6CAF0"/>
            </a:solidFill>
            <a:round/>
            <a:headEnd/>
            <a:tailEnd/>
          </a:ln>
        </xdr:spPr>
      </xdr:sp>
      <xdr:sp macro="" textlink="">
        <xdr:nvSpPr>
          <xdr:cNvPr id="208" name="Freeform 86"/>
          <xdr:cNvSpPr>
            <a:spLocks/>
          </xdr:cNvSpPr>
        </xdr:nvSpPr>
        <xdr:spPr bwMode="auto">
          <a:xfrm>
            <a:off x="4124325" y="2524125"/>
            <a:ext cx="257175" cy="1924050"/>
          </a:xfrm>
          <a:custGeom>
            <a:avLst/>
            <a:gdLst>
              <a:gd name="T0" fmla="*/ 0 w 27"/>
              <a:gd name="T1" fmla="*/ 9 h 202"/>
              <a:gd name="T2" fmla="*/ 0 w 27"/>
              <a:gd name="T3" fmla="*/ 201 h 202"/>
              <a:gd name="T4" fmla="*/ 0 w 27"/>
              <a:gd name="T5" fmla="*/ 202 h 202"/>
              <a:gd name="T6" fmla="*/ 22 w 27"/>
              <a:gd name="T7" fmla="*/ 202 h 202"/>
              <a:gd name="T8" fmla="*/ 27 w 27"/>
              <a:gd name="T9" fmla="*/ 0 h 202"/>
              <a:gd name="T10" fmla="*/ 14 w 27"/>
              <a:gd name="T11" fmla="*/ 1 h 202"/>
              <a:gd name="T12" fmla="*/ 0 60000 65536"/>
              <a:gd name="T13" fmla="*/ 0 60000 65536"/>
              <a:gd name="T14" fmla="*/ 0 60000 65536"/>
              <a:gd name="T15" fmla="*/ 0 60000 65536"/>
              <a:gd name="T16" fmla="*/ 0 60000 65536"/>
              <a:gd name="T17" fmla="*/ 0 60000 65536"/>
              <a:gd name="T18" fmla="*/ 0 w 27"/>
              <a:gd name="T19" fmla="*/ 0 h 202"/>
              <a:gd name="T20" fmla="*/ 27 w 27"/>
              <a:gd name="T21" fmla="*/ 202 h 202"/>
            </a:gdLst>
            <a:ahLst/>
            <a:cxnLst>
              <a:cxn ang="T12">
                <a:pos x="T0" y="T1"/>
              </a:cxn>
              <a:cxn ang="T13">
                <a:pos x="T2" y="T3"/>
              </a:cxn>
              <a:cxn ang="T14">
                <a:pos x="T4" y="T5"/>
              </a:cxn>
              <a:cxn ang="T15">
                <a:pos x="T6" y="T7"/>
              </a:cxn>
              <a:cxn ang="T16">
                <a:pos x="T8" y="T9"/>
              </a:cxn>
              <a:cxn ang="T17">
                <a:pos x="T10" y="T11"/>
              </a:cxn>
            </a:cxnLst>
            <a:rect l="T18" t="T19" r="T20" b="T21"/>
            <a:pathLst>
              <a:path w="27" h="202">
                <a:moveTo>
                  <a:pt x="0" y="9"/>
                </a:moveTo>
                <a:lnTo>
                  <a:pt x="0" y="201"/>
                </a:lnTo>
                <a:lnTo>
                  <a:pt x="0" y="202"/>
                </a:lnTo>
                <a:lnTo>
                  <a:pt x="22" y="202"/>
                </a:lnTo>
                <a:lnTo>
                  <a:pt x="27" y="0"/>
                </a:lnTo>
                <a:lnTo>
                  <a:pt x="14" y="1"/>
                </a:lnTo>
              </a:path>
            </a:pathLst>
          </a:custGeom>
          <a:solidFill>
            <a:srgbClr val="336666"/>
          </a:solidFill>
          <a:ln w="9525">
            <a:noFill/>
            <a:round/>
            <a:headEnd/>
            <a:tailEnd/>
          </a:ln>
        </xdr:spPr>
      </xdr:sp>
      <xdr:sp macro="" textlink="">
        <xdr:nvSpPr>
          <xdr:cNvPr id="209" name="Freeform 87"/>
          <xdr:cNvSpPr>
            <a:spLocks/>
          </xdr:cNvSpPr>
        </xdr:nvSpPr>
        <xdr:spPr bwMode="auto">
          <a:xfrm>
            <a:off x="4010025" y="2619375"/>
            <a:ext cx="123825" cy="1485900"/>
          </a:xfrm>
          <a:custGeom>
            <a:avLst/>
            <a:gdLst>
              <a:gd name="T0" fmla="*/ 0 w 13"/>
              <a:gd name="T1" fmla="*/ 0 h 155"/>
              <a:gd name="T2" fmla="*/ 13 w 13"/>
              <a:gd name="T3" fmla="*/ 0 h 155"/>
              <a:gd name="T4" fmla="*/ 13 w 13"/>
              <a:gd name="T5" fmla="*/ 172 h 155"/>
              <a:gd name="T6" fmla="*/ 1 w 13"/>
              <a:gd name="T7" fmla="*/ 178 h 155"/>
              <a:gd name="T8" fmla="*/ 0 w 13"/>
              <a:gd name="T9" fmla="*/ 0 h 155"/>
              <a:gd name="T10" fmla="*/ 0 60000 65536"/>
              <a:gd name="T11" fmla="*/ 0 60000 65536"/>
              <a:gd name="T12" fmla="*/ 0 60000 65536"/>
              <a:gd name="T13" fmla="*/ 0 60000 65536"/>
              <a:gd name="T14" fmla="*/ 0 60000 65536"/>
              <a:gd name="T15" fmla="*/ 0 w 13"/>
              <a:gd name="T16" fmla="*/ 0 h 155"/>
              <a:gd name="T17" fmla="*/ 13 w 13"/>
              <a:gd name="T18" fmla="*/ 155 h 155"/>
            </a:gdLst>
            <a:ahLst/>
            <a:cxnLst>
              <a:cxn ang="T10">
                <a:pos x="T0" y="T1"/>
              </a:cxn>
              <a:cxn ang="T11">
                <a:pos x="T2" y="T3"/>
              </a:cxn>
              <a:cxn ang="T12">
                <a:pos x="T4" y="T5"/>
              </a:cxn>
              <a:cxn ang="T13">
                <a:pos x="T6" y="T7"/>
              </a:cxn>
              <a:cxn ang="T14">
                <a:pos x="T8" y="T9"/>
              </a:cxn>
            </a:cxnLst>
            <a:rect l="T15" t="T16" r="T17" b="T18"/>
            <a:pathLst>
              <a:path w="13" h="155">
                <a:moveTo>
                  <a:pt x="0" y="0"/>
                </a:moveTo>
                <a:lnTo>
                  <a:pt x="13" y="0"/>
                </a:lnTo>
                <a:lnTo>
                  <a:pt x="13" y="149"/>
                </a:lnTo>
                <a:lnTo>
                  <a:pt x="1" y="155"/>
                </a:lnTo>
                <a:lnTo>
                  <a:pt x="0" y="0"/>
                </a:lnTo>
                <a:close/>
              </a:path>
            </a:pathLst>
          </a:custGeom>
          <a:solidFill>
            <a:srgbClr val="99FF99"/>
          </a:solidFill>
          <a:ln w="9525">
            <a:noFill/>
            <a:round/>
            <a:headEnd/>
            <a:tailEnd/>
          </a:ln>
        </xdr:spPr>
      </xdr:sp>
      <xdr:sp macro="" textlink="">
        <xdr:nvSpPr>
          <xdr:cNvPr id="210" name="Line 88"/>
          <xdr:cNvSpPr>
            <a:spLocks noChangeShapeType="1"/>
          </xdr:cNvSpPr>
        </xdr:nvSpPr>
        <xdr:spPr bwMode="auto">
          <a:xfrm>
            <a:off x="4257675" y="2600325"/>
            <a:ext cx="0" cy="1781175"/>
          </a:xfrm>
          <a:prstGeom prst="line">
            <a:avLst/>
          </a:prstGeom>
          <a:noFill/>
          <a:ln w="28575">
            <a:solidFill>
              <a:srgbClr val="A6CAF0"/>
            </a:solidFill>
            <a:round/>
            <a:headEnd/>
            <a:tailEnd/>
          </a:ln>
        </xdr:spPr>
      </xdr:sp>
      <xdr:sp macro="" textlink="">
        <xdr:nvSpPr>
          <xdr:cNvPr id="211" name="Line 89"/>
          <xdr:cNvSpPr>
            <a:spLocks noChangeShapeType="1"/>
          </xdr:cNvSpPr>
        </xdr:nvSpPr>
        <xdr:spPr bwMode="auto">
          <a:xfrm>
            <a:off x="4133850" y="2619375"/>
            <a:ext cx="9525" cy="1447800"/>
          </a:xfrm>
          <a:prstGeom prst="line">
            <a:avLst/>
          </a:prstGeom>
          <a:noFill/>
          <a:ln w="19050">
            <a:solidFill>
              <a:srgbClr val="A6CAF0"/>
            </a:solidFill>
            <a:round/>
            <a:headEnd/>
            <a:tailEnd/>
          </a:ln>
        </xdr:spPr>
      </xdr:sp>
      <xdr:sp macro="" textlink="">
        <xdr:nvSpPr>
          <xdr:cNvPr id="212" name="Line 90"/>
          <xdr:cNvSpPr>
            <a:spLocks noChangeShapeType="1"/>
          </xdr:cNvSpPr>
        </xdr:nvSpPr>
        <xdr:spPr bwMode="auto">
          <a:xfrm>
            <a:off x="4019550" y="2752725"/>
            <a:ext cx="9525" cy="1447800"/>
          </a:xfrm>
          <a:prstGeom prst="line">
            <a:avLst/>
          </a:prstGeom>
          <a:noFill/>
          <a:ln w="19050">
            <a:solidFill>
              <a:srgbClr val="00CCFF"/>
            </a:solidFill>
            <a:round/>
            <a:headEnd/>
            <a:tailEnd/>
          </a:ln>
        </xdr:spPr>
      </xdr:sp>
      <xdr:sp macro="" textlink="">
        <xdr:nvSpPr>
          <xdr:cNvPr id="213" name="Freeform 91"/>
          <xdr:cNvSpPr>
            <a:spLocks/>
          </xdr:cNvSpPr>
        </xdr:nvSpPr>
        <xdr:spPr bwMode="auto">
          <a:xfrm>
            <a:off x="4000500" y="2619375"/>
            <a:ext cx="19050" cy="142875"/>
          </a:xfrm>
          <a:custGeom>
            <a:avLst/>
            <a:gdLst>
              <a:gd name="T0" fmla="*/ 2 w 2"/>
              <a:gd name="T1" fmla="*/ 15 h 15"/>
              <a:gd name="T2" fmla="*/ 0 w 2"/>
              <a:gd name="T3" fmla="*/ 11 h 15"/>
              <a:gd name="T4" fmla="*/ 0 w 2"/>
              <a:gd name="T5" fmla="*/ 0 h 15"/>
              <a:gd name="T6" fmla="*/ 0 60000 65536"/>
              <a:gd name="T7" fmla="*/ 0 60000 65536"/>
              <a:gd name="T8" fmla="*/ 0 60000 65536"/>
              <a:gd name="T9" fmla="*/ 0 w 2"/>
              <a:gd name="T10" fmla="*/ 0 h 15"/>
              <a:gd name="T11" fmla="*/ 2 w 2"/>
              <a:gd name="T12" fmla="*/ 15 h 15"/>
            </a:gdLst>
            <a:ahLst/>
            <a:cxnLst>
              <a:cxn ang="T6">
                <a:pos x="T0" y="T1"/>
              </a:cxn>
              <a:cxn ang="T7">
                <a:pos x="T2" y="T3"/>
              </a:cxn>
              <a:cxn ang="T8">
                <a:pos x="T4" y="T5"/>
              </a:cxn>
            </a:cxnLst>
            <a:rect l="T9" t="T10" r="T11" b="T12"/>
            <a:pathLst>
              <a:path w="2" h="15">
                <a:moveTo>
                  <a:pt x="2" y="15"/>
                </a:moveTo>
                <a:lnTo>
                  <a:pt x="0" y="11"/>
                </a:lnTo>
                <a:lnTo>
                  <a:pt x="0" y="0"/>
                </a:lnTo>
              </a:path>
            </a:pathLst>
          </a:custGeom>
          <a:noFill/>
          <a:ln w="19050" cmpd="sng">
            <a:solidFill>
              <a:srgbClr val="00CCFF"/>
            </a:solidFill>
            <a:round/>
            <a:headEnd/>
            <a:tailEnd/>
          </a:ln>
        </xdr:spPr>
      </xdr:sp>
      <xdr:sp macro="" textlink="">
        <xdr:nvSpPr>
          <xdr:cNvPr id="214" name="Line 92"/>
          <xdr:cNvSpPr>
            <a:spLocks noChangeShapeType="1"/>
          </xdr:cNvSpPr>
        </xdr:nvSpPr>
        <xdr:spPr bwMode="auto">
          <a:xfrm>
            <a:off x="3981450" y="2609850"/>
            <a:ext cx="0" cy="0"/>
          </a:xfrm>
          <a:prstGeom prst="line">
            <a:avLst/>
          </a:prstGeom>
          <a:noFill/>
          <a:ln w="9525">
            <a:solidFill>
              <a:srgbClr val="000000"/>
            </a:solidFill>
            <a:round/>
            <a:headEnd/>
            <a:tailEnd/>
          </a:ln>
        </xdr:spPr>
      </xdr:sp>
      <xdr:sp macro="" textlink="">
        <xdr:nvSpPr>
          <xdr:cNvPr id="215" name="Freeform 93"/>
          <xdr:cNvSpPr>
            <a:spLocks/>
          </xdr:cNvSpPr>
        </xdr:nvSpPr>
        <xdr:spPr bwMode="auto">
          <a:xfrm>
            <a:off x="3933825" y="2133600"/>
            <a:ext cx="695325" cy="638175"/>
          </a:xfrm>
          <a:custGeom>
            <a:avLst/>
            <a:gdLst>
              <a:gd name="T0" fmla="*/ 0 w 73"/>
              <a:gd name="T1" fmla="*/ 67 h 67"/>
              <a:gd name="T2" fmla="*/ 0 w 73"/>
              <a:gd name="T3" fmla="*/ 65 h 67"/>
              <a:gd name="T4" fmla="*/ 2 w 73"/>
              <a:gd name="T5" fmla="*/ 63 h 67"/>
              <a:gd name="T6" fmla="*/ 4 w 73"/>
              <a:gd name="T7" fmla="*/ 61 h 67"/>
              <a:gd name="T8" fmla="*/ 4 w 73"/>
              <a:gd name="T9" fmla="*/ 48 h 67"/>
              <a:gd name="T10" fmla="*/ 25 w 73"/>
              <a:gd name="T11" fmla="*/ 48 h 67"/>
              <a:gd name="T12" fmla="*/ 73 w 73"/>
              <a:gd name="T13" fmla="*/ 0 h 67"/>
              <a:gd name="T14" fmla="*/ 73 w 73"/>
              <a:gd name="T15" fmla="*/ 2 h 67"/>
              <a:gd name="T16" fmla="*/ 25 w 73"/>
              <a:gd name="T17" fmla="*/ 50 h 67"/>
              <a:gd name="T18" fmla="*/ 6 w 73"/>
              <a:gd name="T19" fmla="*/ 50 h 67"/>
              <a:gd name="T20" fmla="*/ 6 w 73"/>
              <a:gd name="T21" fmla="*/ 63 h 67"/>
              <a:gd name="T22" fmla="*/ 4 w 73"/>
              <a:gd name="T23" fmla="*/ 64 h 67"/>
              <a:gd name="T24" fmla="*/ 0 w 73"/>
              <a:gd name="T25" fmla="*/ 67 h 67"/>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73"/>
              <a:gd name="T40" fmla="*/ 0 h 67"/>
              <a:gd name="T41" fmla="*/ 73 w 73"/>
              <a:gd name="T42" fmla="*/ 67 h 67"/>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73" h="67">
                <a:moveTo>
                  <a:pt x="0" y="67"/>
                </a:moveTo>
                <a:lnTo>
                  <a:pt x="0" y="65"/>
                </a:lnTo>
                <a:lnTo>
                  <a:pt x="2" y="63"/>
                </a:lnTo>
                <a:lnTo>
                  <a:pt x="4" y="61"/>
                </a:lnTo>
                <a:lnTo>
                  <a:pt x="4" y="48"/>
                </a:lnTo>
                <a:lnTo>
                  <a:pt x="25" y="48"/>
                </a:lnTo>
                <a:lnTo>
                  <a:pt x="73" y="0"/>
                </a:lnTo>
                <a:lnTo>
                  <a:pt x="73" y="2"/>
                </a:lnTo>
                <a:lnTo>
                  <a:pt x="25" y="50"/>
                </a:lnTo>
                <a:lnTo>
                  <a:pt x="6" y="50"/>
                </a:lnTo>
                <a:lnTo>
                  <a:pt x="6" y="63"/>
                </a:lnTo>
                <a:lnTo>
                  <a:pt x="4" y="64"/>
                </a:lnTo>
                <a:lnTo>
                  <a:pt x="0" y="67"/>
                </a:lnTo>
                <a:close/>
              </a:path>
            </a:pathLst>
          </a:custGeom>
          <a:solidFill>
            <a:srgbClr val="00CCFF"/>
          </a:solidFill>
          <a:ln w="6350" cmpd="sng">
            <a:solidFill>
              <a:srgbClr val="000000"/>
            </a:solidFill>
            <a:round/>
            <a:headEnd/>
            <a:tailEnd/>
          </a:ln>
        </xdr:spPr>
      </xdr:sp>
      <xdr:grpSp>
        <xdr:nvGrpSpPr>
          <xdr:cNvPr id="216" name="Group 94"/>
          <xdr:cNvGrpSpPr>
            <a:grpSpLocks/>
          </xdr:cNvGrpSpPr>
        </xdr:nvGrpSpPr>
        <xdr:grpSpPr bwMode="auto">
          <a:xfrm>
            <a:off x="4019550" y="2095500"/>
            <a:ext cx="619125" cy="447675"/>
            <a:chOff x="112" y="627"/>
            <a:chExt cx="65" cy="47"/>
          </a:xfrm>
        </xdr:grpSpPr>
        <xdr:sp macro="" textlink="">
          <xdr:nvSpPr>
            <xdr:cNvPr id="416" name="Freeform 95"/>
            <xdr:cNvSpPr>
              <a:spLocks/>
            </xdr:cNvSpPr>
          </xdr:nvSpPr>
          <xdr:spPr bwMode="auto">
            <a:xfrm>
              <a:off x="112" y="627"/>
              <a:ext cx="65" cy="41"/>
            </a:xfrm>
            <a:custGeom>
              <a:avLst/>
              <a:gdLst>
                <a:gd name="T0" fmla="*/ 24 w 65"/>
                <a:gd name="T1" fmla="*/ 41 h 41"/>
                <a:gd name="T2" fmla="*/ 0 w 65"/>
                <a:gd name="T3" fmla="*/ 41 h 41"/>
                <a:gd name="T4" fmla="*/ 41 w 65"/>
                <a:gd name="T5" fmla="*/ 0 h 41"/>
                <a:gd name="T6" fmla="*/ 65 w 65"/>
                <a:gd name="T7" fmla="*/ 0 h 41"/>
                <a:gd name="T8" fmla="*/ 24 w 65"/>
                <a:gd name="T9" fmla="*/ 41 h 41"/>
                <a:gd name="T10" fmla="*/ 0 60000 65536"/>
                <a:gd name="T11" fmla="*/ 0 60000 65536"/>
                <a:gd name="T12" fmla="*/ 0 60000 65536"/>
                <a:gd name="T13" fmla="*/ 0 60000 65536"/>
                <a:gd name="T14" fmla="*/ 0 60000 65536"/>
                <a:gd name="T15" fmla="*/ 0 w 65"/>
                <a:gd name="T16" fmla="*/ 0 h 41"/>
                <a:gd name="T17" fmla="*/ 65 w 65"/>
                <a:gd name="T18" fmla="*/ 41 h 41"/>
              </a:gdLst>
              <a:ahLst/>
              <a:cxnLst>
                <a:cxn ang="T10">
                  <a:pos x="T0" y="T1"/>
                </a:cxn>
                <a:cxn ang="T11">
                  <a:pos x="T2" y="T3"/>
                </a:cxn>
                <a:cxn ang="T12">
                  <a:pos x="T4" y="T5"/>
                </a:cxn>
                <a:cxn ang="T13">
                  <a:pos x="T6" y="T7"/>
                </a:cxn>
                <a:cxn ang="T14">
                  <a:pos x="T8" y="T9"/>
                </a:cxn>
              </a:cxnLst>
              <a:rect l="T15" t="T16" r="T17" b="T18"/>
              <a:pathLst>
                <a:path w="65" h="41">
                  <a:moveTo>
                    <a:pt x="24" y="41"/>
                  </a:moveTo>
                  <a:lnTo>
                    <a:pt x="0" y="41"/>
                  </a:lnTo>
                  <a:lnTo>
                    <a:pt x="41" y="0"/>
                  </a:lnTo>
                  <a:lnTo>
                    <a:pt x="65" y="0"/>
                  </a:lnTo>
                  <a:lnTo>
                    <a:pt x="24" y="41"/>
                  </a:lnTo>
                  <a:close/>
                </a:path>
              </a:pathLst>
            </a:custGeom>
            <a:gradFill rotWithShape="1">
              <a:gsLst>
                <a:gs pos="0">
                  <a:srgbClr val="767676"/>
                </a:gs>
                <a:gs pos="50000">
                  <a:srgbClr val="FFFFFF"/>
                </a:gs>
                <a:gs pos="100000">
                  <a:srgbClr val="767676"/>
                </a:gs>
              </a:gsLst>
              <a:lin ang="18900000" scaled="1"/>
            </a:gradFill>
            <a:ln w="9525">
              <a:solidFill>
                <a:srgbClr val="000000"/>
              </a:solidFill>
              <a:round/>
              <a:headEnd/>
              <a:tailEnd/>
            </a:ln>
          </xdr:spPr>
        </xdr:sp>
        <xdr:sp macro="" textlink="">
          <xdr:nvSpPr>
            <xdr:cNvPr id="417" name="Freeform 96"/>
            <xdr:cNvSpPr>
              <a:spLocks/>
            </xdr:cNvSpPr>
          </xdr:nvSpPr>
          <xdr:spPr bwMode="auto">
            <a:xfrm>
              <a:off x="112" y="627"/>
              <a:ext cx="65" cy="47"/>
            </a:xfrm>
            <a:custGeom>
              <a:avLst/>
              <a:gdLst>
                <a:gd name="T0" fmla="*/ 0 w 65"/>
                <a:gd name="T1" fmla="*/ 41 h 47"/>
                <a:gd name="T2" fmla="*/ 0 w 65"/>
                <a:gd name="T3" fmla="*/ 47 h 47"/>
                <a:gd name="T4" fmla="*/ 3 w 65"/>
                <a:gd name="T5" fmla="*/ 44 h 47"/>
                <a:gd name="T6" fmla="*/ 24 w 65"/>
                <a:gd name="T7" fmla="*/ 44 h 47"/>
                <a:gd name="T8" fmla="*/ 65 w 65"/>
                <a:gd name="T9" fmla="*/ 3 h 47"/>
                <a:gd name="T10" fmla="*/ 65 w 65"/>
                <a:gd name="T11" fmla="*/ 0 h 47"/>
                <a:gd name="T12" fmla="*/ 24 w 65"/>
                <a:gd name="T13" fmla="*/ 41 h 47"/>
                <a:gd name="T14" fmla="*/ 0 w 65"/>
                <a:gd name="T15" fmla="*/ 41 h 47"/>
                <a:gd name="T16" fmla="*/ 0 60000 65536"/>
                <a:gd name="T17" fmla="*/ 0 60000 65536"/>
                <a:gd name="T18" fmla="*/ 0 60000 65536"/>
                <a:gd name="T19" fmla="*/ 0 60000 65536"/>
                <a:gd name="T20" fmla="*/ 0 60000 65536"/>
                <a:gd name="T21" fmla="*/ 0 60000 65536"/>
                <a:gd name="T22" fmla="*/ 0 60000 65536"/>
                <a:gd name="T23" fmla="*/ 0 60000 65536"/>
                <a:gd name="T24" fmla="*/ 0 w 65"/>
                <a:gd name="T25" fmla="*/ 0 h 47"/>
                <a:gd name="T26" fmla="*/ 65 w 65"/>
                <a:gd name="T27" fmla="*/ 47 h 47"/>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65" h="47">
                  <a:moveTo>
                    <a:pt x="0" y="41"/>
                  </a:moveTo>
                  <a:lnTo>
                    <a:pt x="0" y="47"/>
                  </a:lnTo>
                  <a:lnTo>
                    <a:pt x="3" y="44"/>
                  </a:lnTo>
                  <a:lnTo>
                    <a:pt x="24" y="44"/>
                  </a:lnTo>
                  <a:lnTo>
                    <a:pt x="65" y="3"/>
                  </a:lnTo>
                  <a:lnTo>
                    <a:pt x="65" y="0"/>
                  </a:lnTo>
                  <a:lnTo>
                    <a:pt x="24" y="41"/>
                  </a:lnTo>
                  <a:lnTo>
                    <a:pt x="0" y="41"/>
                  </a:lnTo>
                  <a:close/>
                </a:path>
              </a:pathLst>
            </a:custGeom>
            <a:solidFill>
              <a:srgbClr val="808080"/>
            </a:solidFill>
            <a:ln w="6350" cmpd="sng">
              <a:solidFill>
                <a:srgbClr val="000000"/>
              </a:solidFill>
              <a:round/>
              <a:headEnd/>
              <a:tailEnd/>
            </a:ln>
          </xdr:spPr>
        </xdr:sp>
      </xdr:grpSp>
      <xdr:sp macro="" textlink="">
        <xdr:nvSpPr>
          <xdr:cNvPr id="217" name="Line 97"/>
          <xdr:cNvSpPr>
            <a:spLocks noChangeShapeType="1"/>
          </xdr:cNvSpPr>
        </xdr:nvSpPr>
        <xdr:spPr bwMode="auto">
          <a:xfrm>
            <a:off x="4248150" y="2486025"/>
            <a:ext cx="0" cy="28575"/>
          </a:xfrm>
          <a:prstGeom prst="line">
            <a:avLst/>
          </a:prstGeom>
          <a:noFill/>
          <a:ln w="9525">
            <a:solidFill>
              <a:srgbClr val="000000"/>
            </a:solidFill>
            <a:round/>
            <a:headEnd/>
            <a:tailEnd/>
          </a:ln>
        </xdr:spPr>
      </xdr:sp>
      <xdr:sp macro="" textlink="">
        <xdr:nvSpPr>
          <xdr:cNvPr id="218" name="Line 98"/>
          <xdr:cNvSpPr>
            <a:spLocks noChangeShapeType="1"/>
          </xdr:cNvSpPr>
        </xdr:nvSpPr>
        <xdr:spPr bwMode="auto">
          <a:xfrm flipV="1">
            <a:off x="4029075" y="2657475"/>
            <a:ext cx="104775" cy="104775"/>
          </a:xfrm>
          <a:prstGeom prst="line">
            <a:avLst/>
          </a:prstGeom>
          <a:noFill/>
          <a:ln w="19050">
            <a:solidFill>
              <a:srgbClr val="A6CAF0"/>
            </a:solidFill>
            <a:round/>
            <a:headEnd/>
            <a:tailEnd/>
          </a:ln>
        </xdr:spPr>
      </xdr:sp>
      <xdr:sp macro="" textlink="">
        <xdr:nvSpPr>
          <xdr:cNvPr id="219" name="Line 99"/>
          <xdr:cNvSpPr>
            <a:spLocks noChangeShapeType="1"/>
          </xdr:cNvSpPr>
        </xdr:nvSpPr>
        <xdr:spPr bwMode="auto">
          <a:xfrm flipV="1">
            <a:off x="3990975" y="2619375"/>
            <a:ext cx="114300" cy="123825"/>
          </a:xfrm>
          <a:prstGeom prst="line">
            <a:avLst/>
          </a:prstGeom>
          <a:noFill/>
          <a:ln w="19050">
            <a:solidFill>
              <a:srgbClr val="A6CAF0"/>
            </a:solidFill>
            <a:round/>
            <a:headEnd/>
            <a:tailEnd/>
          </a:ln>
        </xdr:spPr>
      </xdr:sp>
      <xdr:sp macro="" textlink="">
        <xdr:nvSpPr>
          <xdr:cNvPr id="220" name="Freeform 100"/>
          <xdr:cNvSpPr>
            <a:spLocks/>
          </xdr:cNvSpPr>
        </xdr:nvSpPr>
        <xdr:spPr bwMode="auto">
          <a:xfrm>
            <a:off x="3562350" y="2733675"/>
            <a:ext cx="457200" cy="209550"/>
          </a:xfrm>
          <a:custGeom>
            <a:avLst/>
            <a:gdLst>
              <a:gd name="T0" fmla="*/ 0 w 48"/>
              <a:gd name="T1" fmla="*/ 22 h 22"/>
              <a:gd name="T2" fmla="*/ 3 w 48"/>
              <a:gd name="T3" fmla="*/ 19 h 22"/>
              <a:gd name="T4" fmla="*/ 25 w 48"/>
              <a:gd name="T5" fmla="*/ 19 h 22"/>
              <a:gd name="T6" fmla="*/ 44 w 48"/>
              <a:gd name="T7" fmla="*/ 0 h 22"/>
              <a:gd name="T8" fmla="*/ 48 w 48"/>
              <a:gd name="T9" fmla="*/ 1 h 22"/>
              <a:gd name="T10" fmla="*/ 27 w 48"/>
              <a:gd name="T11" fmla="*/ 22 h 22"/>
              <a:gd name="T12" fmla="*/ 0 w 48"/>
              <a:gd name="T13" fmla="*/ 22 h 22"/>
              <a:gd name="T14" fmla="*/ 0 60000 65536"/>
              <a:gd name="T15" fmla="*/ 0 60000 65536"/>
              <a:gd name="T16" fmla="*/ 0 60000 65536"/>
              <a:gd name="T17" fmla="*/ 0 60000 65536"/>
              <a:gd name="T18" fmla="*/ 0 60000 65536"/>
              <a:gd name="T19" fmla="*/ 0 60000 65536"/>
              <a:gd name="T20" fmla="*/ 0 60000 65536"/>
              <a:gd name="T21" fmla="*/ 0 w 48"/>
              <a:gd name="T22" fmla="*/ 0 h 22"/>
              <a:gd name="T23" fmla="*/ 48 w 48"/>
              <a:gd name="T24" fmla="*/ 22 h 22"/>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8" h="22">
                <a:moveTo>
                  <a:pt x="0" y="22"/>
                </a:moveTo>
                <a:lnTo>
                  <a:pt x="3" y="19"/>
                </a:lnTo>
                <a:lnTo>
                  <a:pt x="25" y="19"/>
                </a:lnTo>
                <a:lnTo>
                  <a:pt x="44" y="0"/>
                </a:lnTo>
                <a:lnTo>
                  <a:pt x="48" y="1"/>
                </a:lnTo>
                <a:lnTo>
                  <a:pt x="27" y="22"/>
                </a:lnTo>
                <a:lnTo>
                  <a:pt x="0" y="22"/>
                </a:lnTo>
                <a:close/>
              </a:path>
            </a:pathLst>
          </a:custGeom>
          <a:solidFill>
            <a:srgbClr val="C0C0C0"/>
          </a:solidFill>
          <a:ln w="9525">
            <a:solidFill>
              <a:srgbClr val="000000"/>
            </a:solidFill>
            <a:round/>
            <a:headEnd/>
            <a:tailEnd/>
          </a:ln>
        </xdr:spPr>
      </xdr:sp>
      <xdr:sp macro="" textlink="">
        <xdr:nvSpPr>
          <xdr:cNvPr id="221" name="Freeform 101"/>
          <xdr:cNvSpPr>
            <a:spLocks/>
          </xdr:cNvSpPr>
        </xdr:nvSpPr>
        <xdr:spPr bwMode="auto">
          <a:xfrm>
            <a:off x="3990975" y="2152650"/>
            <a:ext cx="638175" cy="1685925"/>
          </a:xfrm>
          <a:custGeom>
            <a:avLst/>
            <a:gdLst>
              <a:gd name="T0" fmla="*/ 67 w 67"/>
              <a:gd name="T1" fmla="*/ 0 h 177"/>
              <a:gd name="T2" fmla="*/ 67 w 67"/>
              <a:gd name="T3" fmla="*/ 2 h 177"/>
              <a:gd name="T4" fmla="*/ 19 w 67"/>
              <a:gd name="T5" fmla="*/ 50 h 177"/>
              <a:gd name="T6" fmla="*/ 2 w 67"/>
              <a:gd name="T7" fmla="*/ 50 h 177"/>
              <a:gd name="T8" fmla="*/ 2 w 67"/>
              <a:gd name="T9" fmla="*/ 60 h 177"/>
              <a:gd name="T10" fmla="*/ 3 w 67"/>
              <a:gd name="T11" fmla="*/ 62 h 177"/>
              <a:gd name="T12" fmla="*/ 4 w 67"/>
              <a:gd name="T13" fmla="*/ 64 h 177"/>
              <a:gd name="T14" fmla="*/ 5 w 67"/>
              <a:gd name="T15" fmla="*/ 177 h 177"/>
              <a:gd name="T16" fmla="*/ 3 w 67"/>
              <a:gd name="T17" fmla="*/ 175 h 177"/>
              <a:gd name="T18" fmla="*/ 2 w 67"/>
              <a:gd name="T19" fmla="*/ 66 h 177"/>
              <a:gd name="T20" fmla="*/ 1 w 67"/>
              <a:gd name="T21" fmla="*/ 63 h 177"/>
              <a:gd name="T22" fmla="*/ 0 w 67"/>
              <a:gd name="T23" fmla="*/ 61 h 177"/>
              <a:gd name="T24" fmla="*/ 0 w 67"/>
              <a:gd name="T25" fmla="*/ 48 h 177"/>
              <a:gd name="T26" fmla="*/ 19 w 67"/>
              <a:gd name="T27" fmla="*/ 48 h 177"/>
              <a:gd name="T28" fmla="*/ 67 w 67"/>
              <a:gd name="T29" fmla="*/ 0 h 177"/>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67"/>
              <a:gd name="T46" fmla="*/ 0 h 177"/>
              <a:gd name="T47" fmla="*/ 67 w 67"/>
              <a:gd name="T48" fmla="*/ 177 h 177"/>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67" h="177">
                <a:moveTo>
                  <a:pt x="67" y="0"/>
                </a:moveTo>
                <a:lnTo>
                  <a:pt x="67" y="2"/>
                </a:lnTo>
                <a:lnTo>
                  <a:pt x="19" y="50"/>
                </a:lnTo>
                <a:lnTo>
                  <a:pt x="2" y="50"/>
                </a:lnTo>
                <a:lnTo>
                  <a:pt x="2" y="60"/>
                </a:lnTo>
                <a:lnTo>
                  <a:pt x="3" y="62"/>
                </a:lnTo>
                <a:lnTo>
                  <a:pt x="4" y="64"/>
                </a:lnTo>
                <a:lnTo>
                  <a:pt x="5" y="177"/>
                </a:lnTo>
                <a:lnTo>
                  <a:pt x="3" y="175"/>
                </a:lnTo>
                <a:lnTo>
                  <a:pt x="2" y="66"/>
                </a:lnTo>
                <a:lnTo>
                  <a:pt x="1" y="63"/>
                </a:lnTo>
                <a:lnTo>
                  <a:pt x="0" y="61"/>
                </a:lnTo>
                <a:lnTo>
                  <a:pt x="0" y="48"/>
                </a:lnTo>
                <a:lnTo>
                  <a:pt x="19" y="48"/>
                </a:lnTo>
                <a:lnTo>
                  <a:pt x="67" y="0"/>
                </a:lnTo>
                <a:close/>
              </a:path>
            </a:pathLst>
          </a:custGeom>
          <a:solidFill>
            <a:srgbClr val="00CCFF"/>
          </a:solidFill>
          <a:ln w="6350" cmpd="sng">
            <a:solidFill>
              <a:srgbClr val="000000"/>
            </a:solidFill>
            <a:round/>
            <a:headEnd/>
            <a:tailEnd/>
          </a:ln>
        </xdr:spPr>
      </xdr:sp>
      <xdr:sp macro="" textlink="">
        <xdr:nvSpPr>
          <xdr:cNvPr id="222" name="Line 102"/>
          <xdr:cNvSpPr>
            <a:spLocks noChangeShapeType="1"/>
          </xdr:cNvSpPr>
        </xdr:nvSpPr>
        <xdr:spPr bwMode="auto">
          <a:xfrm>
            <a:off x="4476750" y="2609850"/>
            <a:ext cx="0" cy="0"/>
          </a:xfrm>
          <a:prstGeom prst="line">
            <a:avLst/>
          </a:prstGeom>
          <a:noFill/>
          <a:ln w="9525">
            <a:solidFill>
              <a:srgbClr val="000000"/>
            </a:solidFill>
            <a:round/>
            <a:headEnd/>
            <a:tailEnd/>
          </a:ln>
        </xdr:spPr>
      </xdr:sp>
      <xdr:sp macro="" textlink="">
        <xdr:nvSpPr>
          <xdr:cNvPr id="223" name="Freeform 103"/>
          <xdr:cNvSpPr>
            <a:spLocks/>
          </xdr:cNvSpPr>
        </xdr:nvSpPr>
        <xdr:spPr bwMode="auto">
          <a:xfrm>
            <a:off x="4229100" y="2190750"/>
            <a:ext cx="590550" cy="400050"/>
          </a:xfrm>
          <a:custGeom>
            <a:avLst/>
            <a:gdLst>
              <a:gd name="T0" fmla="*/ 0 w 62"/>
              <a:gd name="T1" fmla="*/ 42 h 42"/>
              <a:gd name="T2" fmla="*/ 42 w 62"/>
              <a:gd name="T3" fmla="*/ 0 h 42"/>
              <a:gd name="T4" fmla="*/ 62 w 62"/>
              <a:gd name="T5" fmla="*/ 0 h 42"/>
              <a:gd name="T6" fmla="*/ 23 w 62"/>
              <a:gd name="T7" fmla="*/ 42 h 42"/>
              <a:gd name="T8" fmla="*/ 0 w 62"/>
              <a:gd name="T9" fmla="*/ 42 h 42"/>
              <a:gd name="T10" fmla="*/ 0 60000 65536"/>
              <a:gd name="T11" fmla="*/ 0 60000 65536"/>
              <a:gd name="T12" fmla="*/ 0 60000 65536"/>
              <a:gd name="T13" fmla="*/ 0 60000 65536"/>
              <a:gd name="T14" fmla="*/ 0 60000 65536"/>
              <a:gd name="T15" fmla="*/ 0 w 62"/>
              <a:gd name="T16" fmla="*/ 0 h 42"/>
              <a:gd name="T17" fmla="*/ 62 w 62"/>
              <a:gd name="T18" fmla="*/ 42 h 42"/>
            </a:gdLst>
            <a:ahLst/>
            <a:cxnLst>
              <a:cxn ang="T10">
                <a:pos x="T0" y="T1"/>
              </a:cxn>
              <a:cxn ang="T11">
                <a:pos x="T2" y="T3"/>
              </a:cxn>
              <a:cxn ang="T12">
                <a:pos x="T4" y="T5"/>
              </a:cxn>
              <a:cxn ang="T13">
                <a:pos x="T6" y="T7"/>
              </a:cxn>
              <a:cxn ang="T14">
                <a:pos x="T8" y="T9"/>
              </a:cxn>
            </a:cxnLst>
            <a:rect l="T15" t="T16" r="T17" b="T18"/>
            <a:pathLst>
              <a:path w="62" h="42">
                <a:moveTo>
                  <a:pt x="0" y="42"/>
                </a:moveTo>
                <a:lnTo>
                  <a:pt x="42" y="0"/>
                </a:lnTo>
                <a:lnTo>
                  <a:pt x="62" y="0"/>
                </a:lnTo>
                <a:lnTo>
                  <a:pt x="23" y="42"/>
                </a:lnTo>
                <a:lnTo>
                  <a:pt x="0" y="42"/>
                </a:lnTo>
                <a:close/>
              </a:path>
            </a:pathLst>
          </a:custGeom>
          <a:gradFill rotWithShape="1">
            <a:gsLst>
              <a:gs pos="0">
                <a:srgbClr val="69FFFF"/>
              </a:gs>
              <a:gs pos="100000">
                <a:srgbClr val="CCFFCC"/>
              </a:gs>
            </a:gsLst>
            <a:lin ang="0" scaled="1"/>
          </a:gradFill>
          <a:ln w="9525">
            <a:solidFill>
              <a:srgbClr val="000000"/>
            </a:solidFill>
            <a:round/>
            <a:headEnd/>
            <a:tailEnd/>
          </a:ln>
        </xdr:spPr>
      </xdr:sp>
      <xdr:sp macro="" textlink="">
        <xdr:nvSpPr>
          <xdr:cNvPr id="224" name="Freeform 104"/>
          <xdr:cNvSpPr>
            <a:spLocks/>
          </xdr:cNvSpPr>
        </xdr:nvSpPr>
        <xdr:spPr bwMode="auto">
          <a:xfrm>
            <a:off x="4057650" y="2743200"/>
            <a:ext cx="219075" cy="1676400"/>
          </a:xfrm>
          <a:custGeom>
            <a:avLst/>
            <a:gdLst>
              <a:gd name="T0" fmla="*/ 0 w 23"/>
              <a:gd name="T1" fmla="*/ 18 h 176"/>
              <a:gd name="T2" fmla="*/ 23 w 23"/>
              <a:gd name="T3" fmla="*/ 0 h 176"/>
              <a:gd name="T4" fmla="*/ 23 w 23"/>
              <a:gd name="T5" fmla="*/ 176 h 176"/>
              <a:gd name="T6" fmla="*/ 0 w 23"/>
              <a:gd name="T7" fmla="*/ 176 h 176"/>
              <a:gd name="T8" fmla="*/ 0 w 23"/>
              <a:gd name="T9" fmla="*/ 18 h 176"/>
              <a:gd name="T10" fmla="*/ 0 60000 65536"/>
              <a:gd name="T11" fmla="*/ 0 60000 65536"/>
              <a:gd name="T12" fmla="*/ 0 60000 65536"/>
              <a:gd name="T13" fmla="*/ 0 60000 65536"/>
              <a:gd name="T14" fmla="*/ 0 60000 65536"/>
              <a:gd name="T15" fmla="*/ 0 w 23"/>
              <a:gd name="T16" fmla="*/ 0 h 176"/>
              <a:gd name="T17" fmla="*/ 23 w 23"/>
              <a:gd name="T18" fmla="*/ 176 h 176"/>
            </a:gdLst>
            <a:ahLst/>
            <a:cxnLst>
              <a:cxn ang="T10">
                <a:pos x="T0" y="T1"/>
              </a:cxn>
              <a:cxn ang="T11">
                <a:pos x="T2" y="T3"/>
              </a:cxn>
              <a:cxn ang="T12">
                <a:pos x="T4" y="T5"/>
              </a:cxn>
              <a:cxn ang="T13">
                <a:pos x="T6" y="T7"/>
              </a:cxn>
              <a:cxn ang="T14">
                <a:pos x="T8" y="T9"/>
              </a:cxn>
            </a:cxnLst>
            <a:rect l="T15" t="T16" r="T17" b="T18"/>
            <a:pathLst>
              <a:path w="23" h="176">
                <a:moveTo>
                  <a:pt x="0" y="18"/>
                </a:moveTo>
                <a:lnTo>
                  <a:pt x="23" y="0"/>
                </a:lnTo>
                <a:lnTo>
                  <a:pt x="23" y="176"/>
                </a:lnTo>
                <a:lnTo>
                  <a:pt x="0" y="176"/>
                </a:lnTo>
                <a:lnTo>
                  <a:pt x="0" y="18"/>
                </a:lnTo>
                <a:close/>
              </a:path>
            </a:pathLst>
          </a:custGeom>
          <a:gradFill rotWithShape="1">
            <a:gsLst>
              <a:gs pos="0">
                <a:srgbClr val="DDDDDD"/>
              </a:gs>
              <a:gs pos="100000">
                <a:srgbClr val="666666"/>
              </a:gs>
            </a:gsLst>
            <a:lin ang="0" scaled="1"/>
          </a:gradFill>
          <a:ln w="9525">
            <a:solidFill>
              <a:srgbClr val="000000"/>
            </a:solidFill>
            <a:round/>
            <a:headEnd/>
            <a:tailEnd/>
          </a:ln>
        </xdr:spPr>
      </xdr:sp>
      <xdr:sp macro="" textlink="">
        <xdr:nvSpPr>
          <xdr:cNvPr id="225" name="Line 105"/>
          <xdr:cNvSpPr>
            <a:spLocks noChangeShapeType="1"/>
          </xdr:cNvSpPr>
        </xdr:nvSpPr>
        <xdr:spPr bwMode="auto">
          <a:xfrm flipV="1">
            <a:off x="4276725" y="2619375"/>
            <a:ext cx="123825" cy="123825"/>
          </a:xfrm>
          <a:prstGeom prst="line">
            <a:avLst/>
          </a:prstGeom>
          <a:noFill/>
          <a:ln w="28575">
            <a:solidFill>
              <a:srgbClr val="A6CAF0"/>
            </a:solidFill>
            <a:round/>
            <a:headEnd/>
            <a:tailEnd/>
          </a:ln>
        </xdr:spPr>
      </xdr:sp>
      <xdr:sp macro="" textlink="">
        <xdr:nvSpPr>
          <xdr:cNvPr id="226" name="Freeform 106"/>
          <xdr:cNvSpPr>
            <a:spLocks/>
          </xdr:cNvSpPr>
        </xdr:nvSpPr>
        <xdr:spPr bwMode="auto">
          <a:xfrm>
            <a:off x="4381500" y="2524125"/>
            <a:ext cx="257175" cy="1924050"/>
          </a:xfrm>
          <a:custGeom>
            <a:avLst/>
            <a:gdLst>
              <a:gd name="T0" fmla="*/ 0 w 27"/>
              <a:gd name="T1" fmla="*/ 9 h 202"/>
              <a:gd name="T2" fmla="*/ 0 w 27"/>
              <a:gd name="T3" fmla="*/ 201 h 202"/>
              <a:gd name="T4" fmla="*/ 0 w 27"/>
              <a:gd name="T5" fmla="*/ 202 h 202"/>
              <a:gd name="T6" fmla="*/ 22 w 27"/>
              <a:gd name="T7" fmla="*/ 202 h 202"/>
              <a:gd name="T8" fmla="*/ 27 w 27"/>
              <a:gd name="T9" fmla="*/ 0 h 202"/>
              <a:gd name="T10" fmla="*/ 15 w 27"/>
              <a:gd name="T11" fmla="*/ 0 h 202"/>
              <a:gd name="T12" fmla="*/ 0 60000 65536"/>
              <a:gd name="T13" fmla="*/ 0 60000 65536"/>
              <a:gd name="T14" fmla="*/ 0 60000 65536"/>
              <a:gd name="T15" fmla="*/ 0 60000 65536"/>
              <a:gd name="T16" fmla="*/ 0 60000 65536"/>
              <a:gd name="T17" fmla="*/ 0 60000 65536"/>
              <a:gd name="T18" fmla="*/ 0 w 27"/>
              <a:gd name="T19" fmla="*/ 0 h 202"/>
              <a:gd name="T20" fmla="*/ 27 w 27"/>
              <a:gd name="T21" fmla="*/ 202 h 202"/>
            </a:gdLst>
            <a:ahLst/>
            <a:cxnLst>
              <a:cxn ang="T12">
                <a:pos x="T0" y="T1"/>
              </a:cxn>
              <a:cxn ang="T13">
                <a:pos x="T2" y="T3"/>
              </a:cxn>
              <a:cxn ang="T14">
                <a:pos x="T4" y="T5"/>
              </a:cxn>
              <a:cxn ang="T15">
                <a:pos x="T6" y="T7"/>
              </a:cxn>
              <a:cxn ang="T16">
                <a:pos x="T8" y="T9"/>
              </a:cxn>
              <a:cxn ang="T17">
                <a:pos x="T10" y="T11"/>
              </a:cxn>
            </a:cxnLst>
            <a:rect l="T18" t="T19" r="T20" b="T21"/>
            <a:pathLst>
              <a:path w="27" h="202">
                <a:moveTo>
                  <a:pt x="0" y="9"/>
                </a:moveTo>
                <a:lnTo>
                  <a:pt x="0" y="201"/>
                </a:lnTo>
                <a:lnTo>
                  <a:pt x="0" y="202"/>
                </a:lnTo>
                <a:lnTo>
                  <a:pt x="22" y="202"/>
                </a:lnTo>
                <a:lnTo>
                  <a:pt x="27" y="0"/>
                </a:lnTo>
                <a:lnTo>
                  <a:pt x="15" y="0"/>
                </a:lnTo>
              </a:path>
            </a:pathLst>
          </a:custGeom>
          <a:solidFill>
            <a:srgbClr val="336666"/>
          </a:solidFill>
          <a:ln w="9525">
            <a:noFill/>
            <a:round/>
            <a:headEnd/>
            <a:tailEnd/>
          </a:ln>
        </xdr:spPr>
      </xdr:sp>
      <xdr:sp macro="" textlink="">
        <xdr:nvSpPr>
          <xdr:cNvPr id="227" name="Freeform 107"/>
          <xdr:cNvSpPr>
            <a:spLocks/>
          </xdr:cNvSpPr>
        </xdr:nvSpPr>
        <xdr:spPr bwMode="auto">
          <a:xfrm>
            <a:off x="4267200" y="2619375"/>
            <a:ext cx="123825" cy="1485900"/>
          </a:xfrm>
          <a:custGeom>
            <a:avLst/>
            <a:gdLst>
              <a:gd name="T0" fmla="*/ 0 w 13"/>
              <a:gd name="T1" fmla="*/ 0 h 155"/>
              <a:gd name="T2" fmla="*/ 13 w 13"/>
              <a:gd name="T3" fmla="*/ 0 h 155"/>
              <a:gd name="T4" fmla="*/ 13 w 13"/>
              <a:gd name="T5" fmla="*/ 172 h 155"/>
              <a:gd name="T6" fmla="*/ 1 w 13"/>
              <a:gd name="T7" fmla="*/ 178 h 155"/>
              <a:gd name="T8" fmla="*/ 0 w 13"/>
              <a:gd name="T9" fmla="*/ 0 h 155"/>
              <a:gd name="T10" fmla="*/ 0 60000 65536"/>
              <a:gd name="T11" fmla="*/ 0 60000 65536"/>
              <a:gd name="T12" fmla="*/ 0 60000 65536"/>
              <a:gd name="T13" fmla="*/ 0 60000 65536"/>
              <a:gd name="T14" fmla="*/ 0 60000 65536"/>
              <a:gd name="T15" fmla="*/ 0 w 13"/>
              <a:gd name="T16" fmla="*/ 0 h 155"/>
              <a:gd name="T17" fmla="*/ 13 w 13"/>
              <a:gd name="T18" fmla="*/ 155 h 155"/>
            </a:gdLst>
            <a:ahLst/>
            <a:cxnLst>
              <a:cxn ang="T10">
                <a:pos x="T0" y="T1"/>
              </a:cxn>
              <a:cxn ang="T11">
                <a:pos x="T2" y="T3"/>
              </a:cxn>
              <a:cxn ang="T12">
                <a:pos x="T4" y="T5"/>
              </a:cxn>
              <a:cxn ang="T13">
                <a:pos x="T6" y="T7"/>
              </a:cxn>
              <a:cxn ang="T14">
                <a:pos x="T8" y="T9"/>
              </a:cxn>
            </a:cxnLst>
            <a:rect l="T15" t="T16" r="T17" b="T18"/>
            <a:pathLst>
              <a:path w="13" h="155">
                <a:moveTo>
                  <a:pt x="0" y="0"/>
                </a:moveTo>
                <a:lnTo>
                  <a:pt x="13" y="0"/>
                </a:lnTo>
                <a:lnTo>
                  <a:pt x="13" y="149"/>
                </a:lnTo>
                <a:lnTo>
                  <a:pt x="1" y="155"/>
                </a:lnTo>
                <a:lnTo>
                  <a:pt x="0" y="0"/>
                </a:lnTo>
                <a:close/>
              </a:path>
            </a:pathLst>
          </a:custGeom>
          <a:solidFill>
            <a:srgbClr val="99FF99"/>
          </a:solidFill>
          <a:ln w="9525">
            <a:noFill/>
            <a:round/>
            <a:headEnd/>
            <a:tailEnd/>
          </a:ln>
        </xdr:spPr>
      </xdr:sp>
      <xdr:sp macro="" textlink="">
        <xdr:nvSpPr>
          <xdr:cNvPr id="228" name="Line 108"/>
          <xdr:cNvSpPr>
            <a:spLocks noChangeShapeType="1"/>
          </xdr:cNvSpPr>
        </xdr:nvSpPr>
        <xdr:spPr bwMode="auto">
          <a:xfrm>
            <a:off x="4514850" y="2600325"/>
            <a:ext cx="0" cy="1781175"/>
          </a:xfrm>
          <a:prstGeom prst="line">
            <a:avLst/>
          </a:prstGeom>
          <a:noFill/>
          <a:ln w="28575">
            <a:solidFill>
              <a:srgbClr val="A6CAF0"/>
            </a:solidFill>
            <a:round/>
            <a:headEnd/>
            <a:tailEnd/>
          </a:ln>
        </xdr:spPr>
      </xdr:sp>
      <xdr:sp macro="" textlink="">
        <xdr:nvSpPr>
          <xdr:cNvPr id="229" name="Line 109"/>
          <xdr:cNvSpPr>
            <a:spLocks noChangeShapeType="1"/>
          </xdr:cNvSpPr>
        </xdr:nvSpPr>
        <xdr:spPr bwMode="auto">
          <a:xfrm>
            <a:off x="4391025" y="2619375"/>
            <a:ext cx="9525" cy="1447800"/>
          </a:xfrm>
          <a:prstGeom prst="line">
            <a:avLst/>
          </a:prstGeom>
          <a:noFill/>
          <a:ln w="19050">
            <a:solidFill>
              <a:srgbClr val="A6CAF0"/>
            </a:solidFill>
            <a:round/>
            <a:headEnd/>
            <a:tailEnd/>
          </a:ln>
        </xdr:spPr>
      </xdr:sp>
      <xdr:sp macro="" textlink="">
        <xdr:nvSpPr>
          <xdr:cNvPr id="230" name="Line 110"/>
          <xdr:cNvSpPr>
            <a:spLocks noChangeShapeType="1"/>
          </xdr:cNvSpPr>
        </xdr:nvSpPr>
        <xdr:spPr bwMode="auto">
          <a:xfrm>
            <a:off x="4276725" y="2752725"/>
            <a:ext cx="9525" cy="1447800"/>
          </a:xfrm>
          <a:prstGeom prst="line">
            <a:avLst/>
          </a:prstGeom>
          <a:noFill/>
          <a:ln w="19050">
            <a:solidFill>
              <a:srgbClr val="00CCFF"/>
            </a:solidFill>
            <a:round/>
            <a:headEnd/>
            <a:tailEnd/>
          </a:ln>
        </xdr:spPr>
      </xdr:sp>
      <xdr:sp macro="" textlink="">
        <xdr:nvSpPr>
          <xdr:cNvPr id="231" name="Freeform 111"/>
          <xdr:cNvSpPr>
            <a:spLocks/>
          </xdr:cNvSpPr>
        </xdr:nvSpPr>
        <xdr:spPr bwMode="auto">
          <a:xfrm>
            <a:off x="4257675" y="2619375"/>
            <a:ext cx="19050" cy="142875"/>
          </a:xfrm>
          <a:custGeom>
            <a:avLst/>
            <a:gdLst>
              <a:gd name="T0" fmla="*/ 2 w 2"/>
              <a:gd name="T1" fmla="*/ 15 h 15"/>
              <a:gd name="T2" fmla="*/ 0 w 2"/>
              <a:gd name="T3" fmla="*/ 11 h 15"/>
              <a:gd name="T4" fmla="*/ 0 w 2"/>
              <a:gd name="T5" fmla="*/ 0 h 15"/>
              <a:gd name="T6" fmla="*/ 0 60000 65536"/>
              <a:gd name="T7" fmla="*/ 0 60000 65536"/>
              <a:gd name="T8" fmla="*/ 0 60000 65536"/>
              <a:gd name="T9" fmla="*/ 0 w 2"/>
              <a:gd name="T10" fmla="*/ 0 h 15"/>
              <a:gd name="T11" fmla="*/ 2 w 2"/>
              <a:gd name="T12" fmla="*/ 15 h 15"/>
            </a:gdLst>
            <a:ahLst/>
            <a:cxnLst>
              <a:cxn ang="T6">
                <a:pos x="T0" y="T1"/>
              </a:cxn>
              <a:cxn ang="T7">
                <a:pos x="T2" y="T3"/>
              </a:cxn>
              <a:cxn ang="T8">
                <a:pos x="T4" y="T5"/>
              </a:cxn>
            </a:cxnLst>
            <a:rect l="T9" t="T10" r="T11" b="T12"/>
            <a:pathLst>
              <a:path w="2" h="15">
                <a:moveTo>
                  <a:pt x="2" y="15"/>
                </a:moveTo>
                <a:lnTo>
                  <a:pt x="0" y="11"/>
                </a:lnTo>
                <a:lnTo>
                  <a:pt x="0" y="0"/>
                </a:lnTo>
              </a:path>
            </a:pathLst>
          </a:custGeom>
          <a:noFill/>
          <a:ln w="19050" cmpd="sng">
            <a:solidFill>
              <a:srgbClr val="00CCFF"/>
            </a:solidFill>
            <a:round/>
            <a:headEnd/>
            <a:tailEnd/>
          </a:ln>
        </xdr:spPr>
      </xdr:sp>
      <xdr:sp macro="" textlink="">
        <xdr:nvSpPr>
          <xdr:cNvPr id="232" name="Line 112"/>
          <xdr:cNvSpPr>
            <a:spLocks noChangeShapeType="1"/>
          </xdr:cNvSpPr>
        </xdr:nvSpPr>
        <xdr:spPr bwMode="auto">
          <a:xfrm>
            <a:off x="4238625" y="2609850"/>
            <a:ext cx="0" cy="0"/>
          </a:xfrm>
          <a:prstGeom prst="line">
            <a:avLst/>
          </a:prstGeom>
          <a:noFill/>
          <a:ln w="9525">
            <a:solidFill>
              <a:srgbClr val="000000"/>
            </a:solidFill>
            <a:round/>
            <a:headEnd/>
            <a:tailEnd/>
          </a:ln>
        </xdr:spPr>
      </xdr:sp>
      <xdr:sp macro="" textlink="">
        <xdr:nvSpPr>
          <xdr:cNvPr id="233" name="Freeform 113"/>
          <xdr:cNvSpPr>
            <a:spLocks/>
          </xdr:cNvSpPr>
        </xdr:nvSpPr>
        <xdr:spPr bwMode="auto">
          <a:xfrm>
            <a:off x="4191000" y="2133600"/>
            <a:ext cx="695325" cy="638175"/>
          </a:xfrm>
          <a:custGeom>
            <a:avLst/>
            <a:gdLst>
              <a:gd name="T0" fmla="*/ 0 w 73"/>
              <a:gd name="T1" fmla="*/ 67 h 67"/>
              <a:gd name="T2" fmla="*/ 0 w 73"/>
              <a:gd name="T3" fmla="*/ 65 h 67"/>
              <a:gd name="T4" fmla="*/ 2 w 73"/>
              <a:gd name="T5" fmla="*/ 63 h 67"/>
              <a:gd name="T6" fmla="*/ 4 w 73"/>
              <a:gd name="T7" fmla="*/ 61 h 67"/>
              <a:gd name="T8" fmla="*/ 4 w 73"/>
              <a:gd name="T9" fmla="*/ 48 h 67"/>
              <a:gd name="T10" fmla="*/ 25 w 73"/>
              <a:gd name="T11" fmla="*/ 48 h 67"/>
              <a:gd name="T12" fmla="*/ 73 w 73"/>
              <a:gd name="T13" fmla="*/ 0 h 67"/>
              <a:gd name="T14" fmla="*/ 73 w 73"/>
              <a:gd name="T15" fmla="*/ 2 h 67"/>
              <a:gd name="T16" fmla="*/ 25 w 73"/>
              <a:gd name="T17" fmla="*/ 50 h 67"/>
              <a:gd name="T18" fmla="*/ 6 w 73"/>
              <a:gd name="T19" fmla="*/ 50 h 67"/>
              <a:gd name="T20" fmla="*/ 6 w 73"/>
              <a:gd name="T21" fmla="*/ 63 h 67"/>
              <a:gd name="T22" fmla="*/ 4 w 73"/>
              <a:gd name="T23" fmla="*/ 64 h 67"/>
              <a:gd name="T24" fmla="*/ 0 w 73"/>
              <a:gd name="T25" fmla="*/ 67 h 67"/>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73"/>
              <a:gd name="T40" fmla="*/ 0 h 67"/>
              <a:gd name="T41" fmla="*/ 73 w 73"/>
              <a:gd name="T42" fmla="*/ 67 h 67"/>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73" h="67">
                <a:moveTo>
                  <a:pt x="0" y="67"/>
                </a:moveTo>
                <a:lnTo>
                  <a:pt x="0" y="65"/>
                </a:lnTo>
                <a:lnTo>
                  <a:pt x="2" y="63"/>
                </a:lnTo>
                <a:lnTo>
                  <a:pt x="4" y="61"/>
                </a:lnTo>
                <a:lnTo>
                  <a:pt x="4" y="48"/>
                </a:lnTo>
                <a:lnTo>
                  <a:pt x="25" y="48"/>
                </a:lnTo>
                <a:lnTo>
                  <a:pt x="73" y="0"/>
                </a:lnTo>
                <a:lnTo>
                  <a:pt x="73" y="2"/>
                </a:lnTo>
                <a:lnTo>
                  <a:pt x="25" y="50"/>
                </a:lnTo>
                <a:lnTo>
                  <a:pt x="6" y="50"/>
                </a:lnTo>
                <a:lnTo>
                  <a:pt x="6" y="63"/>
                </a:lnTo>
                <a:lnTo>
                  <a:pt x="4" y="64"/>
                </a:lnTo>
                <a:lnTo>
                  <a:pt x="0" y="67"/>
                </a:lnTo>
                <a:close/>
              </a:path>
            </a:pathLst>
          </a:custGeom>
          <a:solidFill>
            <a:srgbClr val="00CCFF"/>
          </a:solidFill>
          <a:ln w="6350" cmpd="sng">
            <a:solidFill>
              <a:srgbClr val="000000"/>
            </a:solidFill>
            <a:round/>
            <a:headEnd/>
            <a:tailEnd/>
          </a:ln>
        </xdr:spPr>
      </xdr:sp>
      <xdr:sp macro="" textlink="">
        <xdr:nvSpPr>
          <xdr:cNvPr id="234" name="Freeform 115"/>
          <xdr:cNvSpPr>
            <a:spLocks/>
          </xdr:cNvSpPr>
        </xdr:nvSpPr>
        <xdr:spPr bwMode="auto">
          <a:xfrm>
            <a:off x="4276725" y="2095500"/>
            <a:ext cx="619125" cy="390525"/>
          </a:xfrm>
          <a:custGeom>
            <a:avLst/>
            <a:gdLst>
              <a:gd name="T0" fmla="*/ 24 w 65"/>
              <a:gd name="T1" fmla="*/ 41 h 41"/>
              <a:gd name="T2" fmla="*/ 0 w 65"/>
              <a:gd name="T3" fmla="*/ 41 h 41"/>
              <a:gd name="T4" fmla="*/ 41 w 65"/>
              <a:gd name="T5" fmla="*/ 0 h 41"/>
              <a:gd name="T6" fmla="*/ 65 w 65"/>
              <a:gd name="T7" fmla="*/ 0 h 41"/>
              <a:gd name="T8" fmla="*/ 24 w 65"/>
              <a:gd name="T9" fmla="*/ 41 h 41"/>
              <a:gd name="T10" fmla="*/ 0 60000 65536"/>
              <a:gd name="T11" fmla="*/ 0 60000 65536"/>
              <a:gd name="T12" fmla="*/ 0 60000 65536"/>
              <a:gd name="T13" fmla="*/ 0 60000 65536"/>
              <a:gd name="T14" fmla="*/ 0 60000 65536"/>
              <a:gd name="T15" fmla="*/ 0 w 65"/>
              <a:gd name="T16" fmla="*/ 0 h 41"/>
              <a:gd name="T17" fmla="*/ 65 w 65"/>
              <a:gd name="T18" fmla="*/ 41 h 41"/>
            </a:gdLst>
            <a:ahLst/>
            <a:cxnLst>
              <a:cxn ang="T10">
                <a:pos x="T0" y="T1"/>
              </a:cxn>
              <a:cxn ang="T11">
                <a:pos x="T2" y="T3"/>
              </a:cxn>
              <a:cxn ang="T12">
                <a:pos x="T4" y="T5"/>
              </a:cxn>
              <a:cxn ang="T13">
                <a:pos x="T6" y="T7"/>
              </a:cxn>
              <a:cxn ang="T14">
                <a:pos x="T8" y="T9"/>
              </a:cxn>
            </a:cxnLst>
            <a:rect l="T15" t="T16" r="T17" b="T18"/>
            <a:pathLst>
              <a:path w="65" h="41">
                <a:moveTo>
                  <a:pt x="24" y="41"/>
                </a:moveTo>
                <a:lnTo>
                  <a:pt x="0" y="41"/>
                </a:lnTo>
                <a:lnTo>
                  <a:pt x="41" y="0"/>
                </a:lnTo>
                <a:lnTo>
                  <a:pt x="65" y="0"/>
                </a:lnTo>
                <a:lnTo>
                  <a:pt x="24" y="41"/>
                </a:lnTo>
                <a:close/>
              </a:path>
            </a:pathLst>
          </a:custGeom>
          <a:gradFill rotWithShape="1">
            <a:gsLst>
              <a:gs pos="0">
                <a:srgbClr val="767676"/>
              </a:gs>
              <a:gs pos="50000">
                <a:srgbClr val="FFFFFF"/>
              </a:gs>
              <a:gs pos="100000">
                <a:srgbClr val="767676"/>
              </a:gs>
            </a:gsLst>
            <a:lin ang="18900000" scaled="1"/>
          </a:gradFill>
          <a:ln w="9525">
            <a:solidFill>
              <a:srgbClr val="000000"/>
            </a:solidFill>
            <a:round/>
            <a:headEnd/>
            <a:tailEnd/>
          </a:ln>
        </xdr:spPr>
      </xdr:sp>
      <xdr:sp macro="" textlink="">
        <xdr:nvSpPr>
          <xdr:cNvPr id="235" name="Freeform 116"/>
          <xdr:cNvSpPr>
            <a:spLocks/>
          </xdr:cNvSpPr>
        </xdr:nvSpPr>
        <xdr:spPr bwMode="auto">
          <a:xfrm>
            <a:off x="4276725" y="2095500"/>
            <a:ext cx="619125" cy="447675"/>
          </a:xfrm>
          <a:custGeom>
            <a:avLst/>
            <a:gdLst>
              <a:gd name="T0" fmla="*/ 0 w 65"/>
              <a:gd name="T1" fmla="*/ 41 h 47"/>
              <a:gd name="T2" fmla="*/ 0 w 65"/>
              <a:gd name="T3" fmla="*/ 47 h 47"/>
              <a:gd name="T4" fmla="*/ 3 w 65"/>
              <a:gd name="T5" fmla="*/ 44 h 47"/>
              <a:gd name="T6" fmla="*/ 24 w 65"/>
              <a:gd name="T7" fmla="*/ 44 h 47"/>
              <a:gd name="T8" fmla="*/ 65 w 65"/>
              <a:gd name="T9" fmla="*/ 3 h 47"/>
              <a:gd name="T10" fmla="*/ 65 w 65"/>
              <a:gd name="T11" fmla="*/ 0 h 47"/>
              <a:gd name="T12" fmla="*/ 24 w 65"/>
              <a:gd name="T13" fmla="*/ 41 h 47"/>
              <a:gd name="T14" fmla="*/ 0 w 65"/>
              <a:gd name="T15" fmla="*/ 41 h 47"/>
              <a:gd name="T16" fmla="*/ 0 60000 65536"/>
              <a:gd name="T17" fmla="*/ 0 60000 65536"/>
              <a:gd name="T18" fmla="*/ 0 60000 65536"/>
              <a:gd name="T19" fmla="*/ 0 60000 65536"/>
              <a:gd name="T20" fmla="*/ 0 60000 65536"/>
              <a:gd name="T21" fmla="*/ 0 60000 65536"/>
              <a:gd name="T22" fmla="*/ 0 60000 65536"/>
              <a:gd name="T23" fmla="*/ 0 60000 65536"/>
              <a:gd name="T24" fmla="*/ 0 w 65"/>
              <a:gd name="T25" fmla="*/ 0 h 47"/>
              <a:gd name="T26" fmla="*/ 65 w 65"/>
              <a:gd name="T27" fmla="*/ 47 h 47"/>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65" h="47">
                <a:moveTo>
                  <a:pt x="0" y="41"/>
                </a:moveTo>
                <a:lnTo>
                  <a:pt x="0" y="47"/>
                </a:lnTo>
                <a:lnTo>
                  <a:pt x="3" y="44"/>
                </a:lnTo>
                <a:lnTo>
                  <a:pt x="24" y="44"/>
                </a:lnTo>
                <a:lnTo>
                  <a:pt x="65" y="3"/>
                </a:lnTo>
                <a:lnTo>
                  <a:pt x="65" y="0"/>
                </a:lnTo>
                <a:lnTo>
                  <a:pt x="24" y="41"/>
                </a:lnTo>
                <a:lnTo>
                  <a:pt x="0" y="41"/>
                </a:lnTo>
                <a:close/>
              </a:path>
            </a:pathLst>
          </a:custGeom>
          <a:solidFill>
            <a:srgbClr val="808080"/>
          </a:solidFill>
          <a:ln w="6350" cmpd="sng">
            <a:solidFill>
              <a:srgbClr val="000000"/>
            </a:solidFill>
            <a:round/>
            <a:headEnd/>
            <a:tailEnd/>
          </a:ln>
        </xdr:spPr>
      </xdr:sp>
      <xdr:sp macro="" textlink="">
        <xdr:nvSpPr>
          <xdr:cNvPr id="236" name="Line 117"/>
          <xdr:cNvSpPr>
            <a:spLocks noChangeShapeType="1"/>
          </xdr:cNvSpPr>
        </xdr:nvSpPr>
        <xdr:spPr bwMode="auto">
          <a:xfrm>
            <a:off x="4505325" y="2486025"/>
            <a:ext cx="0" cy="28575"/>
          </a:xfrm>
          <a:prstGeom prst="line">
            <a:avLst/>
          </a:prstGeom>
          <a:noFill/>
          <a:ln w="9525">
            <a:solidFill>
              <a:srgbClr val="000000"/>
            </a:solidFill>
            <a:round/>
            <a:headEnd/>
            <a:tailEnd/>
          </a:ln>
        </xdr:spPr>
      </xdr:sp>
      <xdr:sp macro="" textlink="">
        <xdr:nvSpPr>
          <xdr:cNvPr id="237" name="Line 118"/>
          <xdr:cNvSpPr>
            <a:spLocks noChangeShapeType="1"/>
          </xdr:cNvSpPr>
        </xdr:nvSpPr>
        <xdr:spPr bwMode="auto">
          <a:xfrm flipV="1">
            <a:off x="4286250" y="2657475"/>
            <a:ext cx="104775" cy="104775"/>
          </a:xfrm>
          <a:prstGeom prst="line">
            <a:avLst/>
          </a:prstGeom>
          <a:noFill/>
          <a:ln w="19050">
            <a:solidFill>
              <a:srgbClr val="A6CAF0"/>
            </a:solidFill>
            <a:round/>
            <a:headEnd/>
            <a:tailEnd/>
          </a:ln>
        </xdr:spPr>
      </xdr:sp>
      <xdr:sp macro="" textlink="">
        <xdr:nvSpPr>
          <xdr:cNvPr id="238" name="Line 119"/>
          <xdr:cNvSpPr>
            <a:spLocks noChangeShapeType="1"/>
          </xdr:cNvSpPr>
        </xdr:nvSpPr>
        <xdr:spPr bwMode="auto">
          <a:xfrm flipV="1">
            <a:off x="4248150" y="2619375"/>
            <a:ext cx="114300" cy="123825"/>
          </a:xfrm>
          <a:prstGeom prst="line">
            <a:avLst/>
          </a:prstGeom>
          <a:noFill/>
          <a:ln w="19050">
            <a:solidFill>
              <a:srgbClr val="A6CAF0"/>
            </a:solidFill>
            <a:round/>
            <a:headEnd/>
            <a:tailEnd/>
          </a:ln>
        </xdr:spPr>
      </xdr:sp>
      <xdr:sp macro="" textlink="">
        <xdr:nvSpPr>
          <xdr:cNvPr id="239" name="Freeform 120"/>
          <xdr:cNvSpPr>
            <a:spLocks/>
          </xdr:cNvSpPr>
        </xdr:nvSpPr>
        <xdr:spPr bwMode="auto">
          <a:xfrm>
            <a:off x="4248150" y="2152650"/>
            <a:ext cx="638175" cy="1685925"/>
          </a:xfrm>
          <a:custGeom>
            <a:avLst/>
            <a:gdLst>
              <a:gd name="T0" fmla="*/ 67 w 67"/>
              <a:gd name="T1" fmla="*/ 0 h 177"/>
              <a:gd name="T2" fmla="*/ 67 w 67"/>
              <a:gd name="T3" fmla="*/ 2 h 177"/>
              <a:gd name="T4" fmla="*/ 19 w 67"/>
              <a:gd name="T5" fmla="*/ 50 h 177"/>
              <a:gd name="T6" fmla="*/ 2 w 67"/>
              <a:gd name="T7" fmla="*/ 50 h 177"/>
              <a:gd name="T8" fmla="*/ 2 w 67"/>
              <a:gd name="T9" fmla="*/ 60 h 177"/>
              <a:gd name="T10" fmla="*/ 3 w 67"/>
              <a:gd name="T11" fmla="*/ 62 h 177"/>
              <a:gd name="T12" fmla="*/ 4 w 67"/>
              <a:gd name="T13" fmla="*/ 64 h 177"/>
              <a:gd name="T14" fmla="*/ 5 w 67"/>
              <a:gd name="T15" fmla="*/ 177 h 177"/>
              <a:gd name="T16" fmla="*/ 3 w 67"/>
              <a:gd name="T17" fmla="*/ 175 h 177"/>
              <a:gd name="T18" fmla="*/ 2 w 67"/>
              <a:gd name="T19" fmla="*/ 66 h 177"/>
              <a:gd name="T20" fmla="*/ 1 w 67"/>
              <a:gd name="T21" fmla="*/ 63 h 177"/>
              <a:gd name="T22" fmla="*/ 0 w 67"/>
              <a:gd name="T23" fmla="*/ 61 h 177"/>
              <a:gd name="T24" fmla="*/ 0 w 67"/>
              <a:gd name="T25" fmla="*/ 48 h 177"/>
              <a:gd name="T26" fmla="*/ 19 w 67"/>
              <a:gd name="T27" fmla="*/ 48 h 177"/>
              <a:gd name="T28" fmla="*/ 67 w 67"/>
              <a:gd name="T29" fmla="*/ 0 h 177"/>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67"/>
              <a:gd name="T46" fmla="*/ 0 h 177"/>
              <a:gd name="T47" fmla="*/ 67 w 67"/>
              <a:gd name="T48" fmla="*/ 177 h 177"/>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67" h="177">
                <a:moveTo>
                  <a:pt x="67" y="0"/>
                </a:moveTo>
                <a:lnTo>
                  <a:pt x="67" y="2"/>
                </a:lnTo>
                <a:lnTo>
                  <a:pt x="19" y="50"/>
                </a:lnTo>
                <a:lnTo>
                  <a:pt x="2" y="50"/>
                </a:lnTo>
                <a:lnTo>
                  <a:pt x="2" y="60"/>
                </a:lnTo>
                <a:lnTo>
                  <a:pt x="3" y="62"/>
                </a:lnTo>
                <a:lnTo>
                  <a:pt x="4" y="64"/>
                </a:lnTo>
                <a:lnTo>
                  <a:pt x="5" y="177"/>
                </a:lnTo>
                <a:lnTo>
                  <a:pt x="3" y="175"/>
                </a:lnTo>
                <a:lnTo>
                  <a:pt x="2" y="66"/>
                </a:lnTo>
                <a:lnTo>
                  <a:pt x="1" y="63"/>
                </a:lnTo>
                <a:lnTo>
                  <a:pt x="0" y="61"/>
                </a:lnTo>
                <a:lnTo>
                  <a:pt x="0" y="48"/>
                </a:lnTo>
                <a:lnTo>
                  <a:pt x="19" y="48"/>
                </a:lnTo>
                <a:lnTo>
                  <a:pt x="67" y="0"/>
                </a:lnTo>
                <a:close/>
              </a:path>
            </a:pathLst>
          </a:custGeom>
          <a:solidFill>
            <a:srgbClr val="00CCFF"/>
          </a:solidFill>
          <a:ln w="6350" cmpd="sng">
            <a:solidFill>
              <a:srgbClr val="000000"/>
            </a:solidFill>
            <a:round/>
            <a:headEnd/>
            <a:tailEnd/>
          </a:ln>
        </xdr:spPr>
      </xdr:sp>
      <xdr:sp macro="" textlink="">
        <xdr:nvSpPr>
          <xdr:cNvPr id="240" name="Line 121"/>
          <xdr:cNvSpPr>
            <a:spLocks noChangeShapeType="1"/>
          </xdr:cNvSpPr>
        </xdr:nvSpPr>
        <xdr:spPr bwMode="auto">
          <a:xfrm>
            <a:off x="4733925" y="2609850"/>
            <a:ext cx="0" cy="0"/>
          </a:xfrm>
          <a:prstGeom prst="line">
            <a:avLst/>
          </a:prstGeom>
          <a:noFill/>
          <a:ln w="9525">
            <a:solidFill>
              <a:srgbClr val="000000"/>
            </a:solidFill>
            <a:round/>
            <a:headEnd/>
            <a:tailEnd/>
          </a:ln>
        </xdr:spPr>
      </xdr:sp>
      <xdr:sp macro="" textlink="">
        <xdr:nvSpPr>
          <xdr:cNvPr id="241" name="Freeform 122"/>
          <xdr:cNvSpPr>
            <a:spLocks/>
          </xdr:cNvSpPr>
        </xdr:nvSpPr>
        <xdr:spPr bwMode="auto">
          <a:xfrm>
            <a:off x="4057650" y="2733675"/>
            <a:ext cx="276225" cy="180975"/>
          </a:xfrm>
          <a:custGeom>
            <a:avLst/>
            <a:gdLst>
              <a:gd name="T0" fmla="*/ 29 w 29"/>
              <a:gd name="T1" fmla="*/ 16 h 19"/>
              <a:gd name="T2" fmla="*/ 25 w 29"/>
              <a:gd name="T3" fmla="*/ 19 h 19"/>
              <a:gd name="T4" fmla="*/ 0 w 29"/>
              <a:gd name="T5" fmla="*/ 19 h 19"/>
              <a:gd name="T6" fmla="*/ 19 w 29"/>
              <a:gd name="T7" fmla="*/ 0 h 19"/>
              <a:gd name="T8" fmla="*/ 21 w 29"/>
              <a:gd name="T9" fmla="*/ 2 h 19"/>
              <a:gd name="T10" fmla="*/ 21 w 29"/>
              <a:gd name="T11" fmla="*/ 4 h 19"/>
              <a:gd name="T12" fmla="*/ 8 w 29"/>
              <a:gd name="T13" fmla="*/ 16 h 19"/>
              <a:gd name="T14" fmla="*/ 29 w 29"/>
              <a:gd name="T15" fmla="*/ 16 h 19"/>
              <a:gd name="T16" fmla="*/ 0 60000 65536"/>
              <a:gd name="T17" fmla="*/ 0 60000 65536"/>
              <a:gd name="T18" fmla="*/ 0 60000 65536"/>
              <a:gd name="T19" fmla="*/ 0 60000 65536"/>
              <a:gd name="T20" fmla="*/ 0 60000 65536"/>
              <a:gd name="T21" fmla="*/ 0 60000 65536"/>
              <a:gd name="T22" fmla="*/ 0 60000 65536"/>
              <a:gd name="T23" fmla="*/ 0 60000 65536"/>
              <a:gd name="T24" fmla="*/ 0 w 29"/>
              <a:gd name="T25" fmla="*/ 0 h 19"/>
              <a:gd name="T26" fmla="*/ 29 w 29"/>
              <a:gd name="T27" fmla="*/ 19 h 19"/>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29" h="19">
                <a:moveTo>
                  <a:pt x="29" y="16"/>
                </a:moveTo>
                <a:lnTo>
                  <a:pt x="25" y="19"/>
                </a:lnTo>
                <a:lnTo>
                  <a:pt x="0" y="19"/>
                </a:lnTo>
                <a:lnTo>
                  <a:pt x="19" y="0"/>
                </a:lnTo>
                <a:lnTo>
                  <a:pt x="21" y="2"/>
                </a:lnTo>
                <a:lnTo>
                  <a:pt x="21" y="4"/>
                </a:lnTo>
                <a:lnTo>
                  <a:pt x="8" y="16"/>
                </a:lnTo>
                <a:lnTo>
                  <a:pt x="29" y="16"/>
                </a:lnTo>
                <a:close/>
              </a:path>
            </a:pathLst>
          </a:custGeom>
          <a:solidFill>
            <a:srgbClr val="C0C0C0"/>
          </a:solidFill>
          <a:ln w="9525">
            <a:solidFill>
              <a:srgbClr val="000000"/>
            </a:solidFill>
            <a:round/>
            <a:headEnd/>
            <a:tailEnd/>
          </a:ln>
        </xdr:spPr>
      </xdr:sp>
      <xdr:grpSp>
        <xdr:nvGrpSpPr>
          <xdr:cNvPr id="242" name="Group 123"/>
          <xdr:cNvGrpSpPr>
            <a:grpSpLocks/>
          </xdr:cNvGrpSpPr>
        </xdr:nvGrpSpPr>
        <xdr:grpSpPr bwMode="auto">
          <a:xfrm>
            <a:off x="4076700" y="2095500"/>
            <a:ext cx="1333500" cy="2352675"/>
            <a:chOff x="837" y="652"/>
            <a:chExt cx="140" cy="247"/>
          </a:xfrm>
        </xdr:grpSpPr>
        <xdr:sp macro="" textlink="">
          <xdr:nvSpPr>
            <xdr:cNvPr id="375" name="Freeform 124"/>
            <xdr:cNvSpPr>
              <a:spLocks/>
            </xdr:cNvSpPr>
          </xdr:nvSpPr>
          <xdr:spPr bwMode="auto">
            <a:xfrm>
              <a:off x="880" y="662"/>
              <a:ext cx="62" cy="42"/>
            </a:xfrm>
            <a:custGeom>
              <a:avLst/>
              <a:gdLst>
                <a:gd name="T0" fmla="*/ 0 w 62"/>
                <a:gd name="T1" fmla="*/ 42 h 42"/>
                <a:gd name="T2" fmla="*/ 42 w 62"/>
                <a:gd name="T3" fmla="*/ 0 h 42"/>
                <a:gd name="T4" fmla="*/ 62 w 62"/>
                <a:gd name="T5" fmla="*/ 0 h 42"/>
                <a:gd name="T6" fmla="*/ 23 w 62"/>
                <a:gd name="T7" fmla="*/ 42 h 42"/>
                <a:gd name="T8" fmla="*/ 0 w 62"/>
                <a:gd name="T9" fmla="*/ 42 h 42"/>
                <a:gd name="T10" fmla="*/ 0 60000 65536"/>
                <a:gd name="T11" fmla="*/ 0 60000 65536"/>
                <a:gd name="T12" fmla="*/ 0 60000 65536"/>
                <a:gd name="T13" fmla="*/ 0 60000 65536"/>
                <a:gd name="T14" fmla="*/ 0 60000 65536"/>
                <a:gd name="T15" fmla="*/ 0 w 62"/>
                <a:gd name="T16" fmla="*/ 0 h 42"/>
                <a:gd name="T17" fmla="*/ 62 w 62"/>
                <a:gd name="T18" fmla="*/ 42 h 42"/>
              </a:gdLst>
              <a:ahLst/>
              <a:cxnLst>
                <a:cxn ang="T10">
                  <a:pos x="T0" y="T1"/>
                </a:cxn>
                <a:cxn ang="T11">
                  <a:pos x="T2" y="T3"/>
                </a:cxn>
                <a:cxn ang="T12">
                  <a:pos x="T4" y="T5"/>
                </a:cxn>
                <a:cxn ang="T13">
                  <a:pos x="T6" y="T7"/>
                </a:cxn>
                <a:cxn ang="T14">
                  <a:pos x="T8" y="T9"/>
                </a:cxn>
              </a:cxnLst>
              <a:rect l="T15" t="T16" r="T17" b="T18"/>
              <a:pathLst>
                <a:path w="62" h="42">
                  <a:moveTo>
                    <a:pt x="0" y="42"/>
                  </a:moveTo>
                  <a:lnTo>
                    <a:pt x="42" y="0"/>
                  </a:lnTo>
                  <a:lnTo>
                    <a:pt x="62" y="0"/>
                  </a:lnTo>
                  <a:lnTo>
                    <a:pt x="23" y="42"/>
                  </a:lnTo>
                  <a:lnTo>
                    <a:pt x="0" y="42"/>
                  </a:lnTo>
                  <a:close/>
                </a:path>
              </a:pathLst>
            </a:custGeom>
            <a:gradFill rotWithShape="1">
              <a:gsLst>
                <a:gs pos="0">
                  <a:srgbClr val="69FFFF"/>
                </a:gs>
                <a:gs pos="100000">
                  <a:srgbClr val="CCFFCC"/>
                </a:gs>
              </a:gsLst>
              <a:lin ang="0" scaled="1"/>
            </a:gradFill>
            <a:ln w="9525">
              <a:solidFill>
                <a:srgbClr val="000000"/>
              </a:solidFill>
              <a:round/>
              <a:headEnd/>
              <a:tailEnd/>
            </a:ln>
          </xdr:spPr>
        </xdr:sp>
        <xdr:sp macro="" textlink="">
          <xdr:nvSpPr>
            <xdr:cNvPr id="376" name="Rectangle 125"/>
            <xdr:cNvSpPr>
              <a:spLocks noChangeArrowheads="1"/>
            </xdr:cNvSpPr>
          </xdr:nvSpPr>
          <xdr:spPr bwMode="auto">
            <a:xfrm>
              <a:off x="837" y="741"/>
              <a:ext cx="27" cy="151"/>
            </a:xfrm>
            <a:prstGeom prst="rect">
              <a:avLst/>
            </a:prstGeom>
            <a:gradFill rotWithShape="1">
              <a:gsLst>
                <a:gs pos="0">
                  <a:srgbClr val="FFFFFF"/>
                </a:gs>
                <a:gs pos="100000">
                  <a:srgbClr val="767676"/>
                </a:gs>
              </a:gsLst>
              <a:lin ang="2700000" scaled="1"/>
            </a:gradFill>
            <a:ln w="9525">
              <a:solidFill>
                <a:srgbClr val="000000"/>
              </a:solidFill>
              <a:miter lim="800000"/>
              <a:headEnd/>
              <a:tailEnd/>
            </a:ln>
          </xdr:spPr>
        </xdr:sp>
        <xdr:sp macro="" textlink="">
          <xdr:nvSpPr>
            <xdr:cNvPr id="377" name="Freeform 126"/>
            <xdr:cNvSpPr>
              <a:spLocks/>
            </xdr:cNvSpPr>
          </xdr:nvSpPr>
          <xdr:spPr bwMode="auto">
            <a:xfrm>
              <a:off x="864" y="720"/>
              <a:ext cx="21" cy="177"/>
            </a:xfrm>
            <a:custGeom>
              <a:avLst/>
              <a:gdLst>
                <a:gd name="T0" fmla="*/ 0 w 21"/>
                <a:gd name="T1" fmla="*/ 20 h 177"/>
                <a:gd name="T2" fmla="*/ 21 w 21"/>
                <a:gd name="T3" fmla="*/ 0 h 177"/>
                <a:gd name="T4" fmla="*/ 21 w 21"/>
                <a:gd name="T5" fmla="*/ 176 h 177"/>
                <a:gd name="T6" fmla="*/ 0 w 21"/>
                <a:gd name="T7" fmla="*/ 177 h 177"/>
                <a:gd name="T8" fmla="*/ 0 w 21"/>
                <a:gd name="T9" fmla="*/ 20 h 177"/>
                <a:gd name="T10" fmla="*/ 0 60000 65536"/>
                <a:gd name="T11" fmla="*/ 0 60000 65536"/>
                <a:gd name="T12" fmla="*/ 0 60000 65536"/>
                <a:gd name="T13" fmla="*/ 0 60000 65536"/>
                <a:gd name="T14" fmla="*/ 0 60000 65536"/>
                <a:gd name="T15" fmla="*/ 0 w 21"/>
                <a:gd name="T16" fmla="*/ 0 h 177"/>
                <a:gd name="T17" fmla="*/ 21 w 21"/>
                <a:gd name="T18" fmla="*/ 177 h 177"/>
              </a:gdLst>
              <a:ahLst/>
              <a:cxnLst>
                <a:cxn ang="T10">
                  <a:pos x="T0" y="T1"/>
                </a:cxn>
                <a:cxn ang="T11">
                  <a:pos x="T2" y="T3"/>
                </a:cxn>
                <a:cxn ang="T12">
                  <a:pos x="T4" y="T5"/>
                </a:cxn>
                <a:cxn ang="T13">
                  <a:pos x="T6" y="T7"/>
                </a:cxn>
                <a:cxn ang="T14">
                  <a:pos x="T8" y="T9"/>
                </a:cxn>
              </a:cxnLst>
              <a:rect l="T15" t="T16" r="T17" b="T18"/>
              <a:pathLst>
                <a:path w="21" h="177">
                  <a:moveTo>
                    <a:pt x="0" y="20"/>
                  </a:moveTo>
                  <a:lnTo>
                    <a:pt x="21" y="0"/>
                  </a:lnTo>
                  <a:lnTo>
                    <a:pt x="21" y="176"/>
                  </a:lnTo>
                  <a:lnTo>
                    <a:pt x="0" y="177"/>
                  </a:lnTo>
                  <a:lnTo>
                    <a:pt x="0" y="20"/>
                  </a:lnTo>
                  <a:close/>
                </a:path>
              </a:pathLst>
            </a:custGeom>
            <a:gradFill rotWithShape="1">
              <a:gsLst>
                <a:gs pos="0">
                  <a:srgbClr val="767676"/>
                </a:gs>
                <a:gs pos="50000">
                  <a:srgbClr val="FFFFFF"/>
                </a:gs>
                <a:gs pos="100000">
                  <a:srgbClr val="767676"/>
                </a:gs>
              </a:gsLst>
              <a:lin ang="0" scaled="1"/>
            </a:gradFill>
            <a:ln w="9525">
              <a:solidFill>
                <a:srgbClr val="000000"/>
              </a:solidFill>
              <a:round/>
              <a:headEnd/>
              <a:tailEnd/>
            </a:ln>
          </xdr:spPr>
        </xdr:sp>
        <xdr:sp macro="" textlink="">
          <xdr:nvSpPr>
            <xdr:cNvPr id="378" name="Line 127"/>
            <xdr:cNvSpPr>
              <a:spLocks noChangeShapeType="1"/>
            </xdr:cNvSpPr>
          </xdr:nvSpPr>
          <xdr:spPr bwMode="auto">
            <a:xfrm flipV="1">
              <a:off x="885" y="707"/>
              <a:ext cx="13" cy="13"/>
            </a:xfrm>
            <a:prstGeom prst="line">
              <a:avLst/>
            </a:prstGeom>
            <a:noFill/>
            <a:ln w="28575">
              <a:solidFill>
                <a:srgbClr val="A6CAF0"/>
              </a:solidFill>
              <a:round/>
              <a:headEnd/>
              <a:tailEnd/>
            </a:ln>
          </xdr:spPr>
        </xdr:sp>
        <xdr:sp macro="" textlink="">
          <xdr:nvSpPr>
            <xdr:cNvPr id="379" name="Freeform 128"/>
            <xdr:cNvSpPr>
              <a:spLocks/>
            </xdr:cNvSpPr>
          </xdr:nvSpPr>
          <xdr:spPr bwMode="auto">
            <a:xfrm>
              <a:off x="896" y="697"/>
              <a:ext cx="27" cy="202"/>
            </a:xfrm>
            <a:custGeom>
              <a:avLst/>
              <a:gdLst>
                <a:gd name="T0" fmla="*/ 0 w 27"/>
                <a:gd name="T1" fmla="*/ 9 h 202"/>
                <a:gd name="T2" fmla="*/ 0 w 27"/>
                <a:gd name="T3" fmla="*/ 201 h 202"/>
                <a:gd name="T4" fmla="*/ 0 w 27"/>
                <a:gd name="T5" fmla="*/ 202 h 202"/>
                <a:gd name="T6" fmla="*/ 22 w 27"/>
                <a:gd name="T7" fmla="*/ 202 h 202"/>
                <a:gd name="T8" fmla="*/ 27 w 27"/>
                <a:gd name="T9" fmla="*/ 0 h 202"/>
                <a:gd name="T10" fmla="*/ 14 w 27"/>
                <a:gd name="T11" fmla="*/ 1 h 202"/>
                <a:gd name="T12" fmla="*/ 0 60000 65536"/>
                <a:gd name="T13" fmla="*/ 0 60000 65536"/>
                <a:gd name="T14" fmla="*/ 0 60000 65536"/>
                <a:gd name="T15" fmla="*/ 0 60000 65536"/>
                <a:gd name="T16" fmla="*/ 0 60000 65536"/>
                <a:gd name="T17" fmla="*/ 0 60000 65536"/>
                <a:gd name="T18" fmla="*/ 0 w 27"/>
                <a:gd name="T19" fmla="*/ 0 h 202"/>
                <a:gd name="T20" fmla="*/ 27 w 27"/>
                <a:gd name="T21" fmla="*/ 202 h 202"/>
              </a:gdLst>
              <a:ahLst/>
              <a:cxnLst>
                <a:cxn ang="T12">
                  <a:pos x="T0" y="T1"/>
                </a:cxn>
                <a:cxn ang="T13">
                  <a:pos x="T2" y="T3"/>
                </a:cxn>
                <a:cxn ang="T14">
                  <a:pos x="T4" y="T5"/>
                </a:cxn>
                <a:cxn ang="T15">
                  <a:pos x="T6" y="T7"/>
                </a:cxn>
                <a:cxn ang="T16">
                  <a:pos x="T8" y="T9"/>
                </a:cxn>
                <a:cxn ang="T17">
                  <a:pos x="T10" y="T11"/>
                </a:cxn>
              </a:cxnLst>
              <a:rect l="T18" t="T19" r="T20" b="T21"/>
              <a:pathLst>
                <a:path w="27" h="202">
                  <a:moveTo>
                    <a:pt x="0" y="9"/>
                  </a:moveTo>
                  <a:lnTo>
                    <a:pt x="0" y="201"/>
                  </a:lnTo>
                  <a:lnTo>
                    <a:pt x="0" y="202"/>
                  </a:lnTo>
                  <a:lnTo>
                    <a:pt x="22" y="202"/>
                  </a:lnTo>
                  <a:lnTo>
                    <a:pt x="27" y="0"/>
                  </a:lnTo>
                  <a:lnTo>
                    <a:pt x="14" y="1"/>
                  </a:lnTo>
                </a:path>
              </a:pathLst>
            </a:custGeom>
            <a:solidFill>
              <a:srgbClr val="336666"/>
            </a:solidFill>
            <a:ln w="9525">
              <a:noFill/>
              <a:round/>
              <a:headEnd/>
              <a:tailEnd/>
            </a:ln>
          </xdr:spPr>
        </xdr:sp>
        <xdr:sp macro="" textlink="">
          <xdr:nvSpPr>
            <xdr:cNvPr id="380" name="Freeform 129"/>
            <xdr:cNvSpPr>
              <a:spLocks/>
            </xdr:cNvSpPr>
          </xdr:nvSpPr>
          <xdr:spPr bwMode="auto">
            <a:xfrm>
              <a:off x="884" y="707"/>
              <a:ext cx="13" cy="156"/>
            </a:xfrm>
            <a:custGeom>
              <a:avLst/>
              <a:gdLst>
                <a:gd name="T0" fmla="*/ 0 w 13"/>
                <a:gd name="T1" fmla="*/ 0 h 155"/>
                <a:gd name="T2" fmla="*/ 13 w 13"/>
                <a:gd name="T3" fmla="*/ 0 h 155"/>
                <a:gd name="T4" fmla="*/ 13 w 13"/>
                <a:gd name="T5" fmla="*/ 172 h 155"/>
                <a:gd name="T6" fmla="*/ 1 w 13"/>
                <a:gd name="T7" fmla="*/ 178 h 155"/>
                <a:gd name="T8" fmla="*/ 0 w 13"/>
                <a:gd name="T9" fmla="*/ 0 h 155"/>
                <a:gd name="T10" fmla="*/ 0 60000 65536"/>
                <a:gd name="T11" fmla="*/ 0 60000 65536"/>
                <a:gd name="T12" fmla="*/ 0 60000 65536"/>
                <a:gd name="T13" fmla="*/ 0 60000 65536"/>
                <a:gd name="T14" fmla="*/ 0 60000 65536"/>
                <a:gd name="T15" fmla="*/ 0 w 13"/>
                <a:gd name="T16" fmla="*/ 0 h 155"/>
                <a:gd name="T17" fmla="*/ 13 w 13"/>
                <a:gd name="T18" fmla="*/ 155 h 155"/>
              </a:gdLst>
              <a:ahLst/>
              <a:cxnLst>
                <a:cxn ang="T10">
                  <a:pos x="T0" y="T1"/>
                </a:cxn>
                <a:cxn ang="T11">
                  <a:pos x="T2" y="T3"/>
                </a:cxn>
                <a:cxn ang="T12">
                  <a:pos x="T4" y="T5"/>
                </a:cxn>
                <a:cxn ang="T13">
                  <a:pos x="T6" y="T7"/>
                </a:cxn>
                <a:cxn ang="T14">
                  <a:pos x="T8" y="T9"/>
                </a:cxn>
              </a:cxnLst>
              <a:rect l="T15" t="T16" r="T17" b="T18"/>
              <a:pathLst>
                <a:path w="13" h="155">
                  <a:moveTo>
                    <a:pt x="0" y="0"/>
                  </a:moveTo>
                  <a:lnTo>
                    <a:pt x="13" y="0"/>
                  </a:lnTo>
                  <a:lnTo>
                    <a:pt x="13" y="149"/>
                  </a:lnTo>
                  <a:lnTo>
                    <a:pt x="1" y="155"/>
                  </a:lnTo>
                  <a:lnTo>
                    <a:pt x="0" y="0"/>
                  </a:lnTo>
                  <a:close/>
                </a:path>
              </a:pathLst>
            </a:custGeom>
            <a:solidFill>
              <a:srgbClr val="99FF99"/>
            </a:solidFill>
            <a:ln w="9525">
              <a:noFill/>
              <a:round/>
              <a:headEnd/>
              <a:tailEnd/>
            </a:ln>
          </xdr:spPr>
        </xdr:sp>
        <xdr:sp macro="" textlink="">
          <xdr:nvSpPr>
            <xdr:cNvPr id="381" name="Line 130"/>
            <xdr:cNvSpPr>
              <a:spLocks noChangeShapeType="1"/>
            </xdr:cNvSpPr>
          </xdr:nvSpPr>
          <xdr:spPr bwMode="auto">
            <a:xfrm>
              <a:off x="910" y="705"/>
              <a:ext cx="0" cy="187"/>
            </a:xfrm>
            <a:prstGeom prst="line">
              <a:avLst/>
            </a:prstGeom>
            <a:noFill/>
            <a:ln w="28575">
              <a:solidFill>
                <a:srgbClr val="A6CAF0"/>
              </a:solidFill>
              <a:round/>
              <a:headEnd/>
              <a:tailEnd/>
            </a:ln>
          </xdr:spPr>
        </xdr:sp>
        <xdr:sp macro="" textlink="">
          <xdr:nvSpPr>
            <xdr:cNvPr id="382" name="Line 131"/>
            <xdr:cNvSpPr>
              <a:spLocks noChangeShapeType="1"/>
            </xdr:cNvSpPr>
          </xdr:nvSpPr>
          <xdr:spPr bwMode="auto">
            <a:xfrm>
              <a:off x="897" y="707"/>
              <a:ext cx="1" cy="152"/>
            </a:xfrm>
            <a:prstGeom prst="line">
              <a:avLst/>
            </a:prstGeom>
            <a:noFill/>
            <a:ln w="19050">
              <a:solidFill>
                <a:srgbClr val="A6CAF0"/>
              </a:solidFill>
              <a:round/>
              <a:headEnd/>
              <a:tailEnd/>
            </a:ln>
          </xdr:spPr>
        </xdr:sp>
        <xdr:sp macro="" textlink="">
          <xdr:nvSpPr>
            <xdr:cNvPr id="383" name="Line 132"/>
            <xdr:cNvSpPr>
              <a:spLocks noChangeShapeType="1"/>
            </xdr:cNvSpPr>
          </xdr:nvSpPr>
          <xdr:spPr bwMode="auto">
            <a:xfrm>
              <a:off x="885" y="721"/>
              <a:ext cx="1" cy="152"/>
            </a:xfrm>
            <a:prstGeom prst="line">
              <a:avLst/>
            </a:prstGeom>
            <a:noFill/>
            <a:ln w="19050">
              <a:solidFill>
                <a:srgbClr val="00CCFF"/>
              </a:solidFill>
              <a:round/>
              <a:headEnd/>
              <a:tailEnd/>
            </a:ln>
          </xdr:spPr>
        </xdr:sp>
        <xdr:sp macro="" textlink="">
          <xdr:nvSpPr>
            <xdr:cNvPr id="384" name="Freeform 133"/>
            <xdr:cNvSpPr>
              <a:spLocks/>
            </xdr:cNvSpPr>
          </xdr:nvSpPr>
          <xdr:spPr bwMode="auto">
            <a:xfrm>
              <a:off x="883" y="707"/>
              <a:ext cx="2" cy="15"/>
            </a:xfrm>
            <a:custGeom>
              <a:avLst/>
              <a:gdLst>
                <a:gd name="T0" fmla="*/ 2 w 2"/>
                <a:gd name="T1" fmla="*/ 15 h 15"/>
                <a:gd name="T2" fmla="*/ 0 w 2"/>
                <a:gd name="T3" fmla="*/ 11 h 15"/>
                <a:gd name="T4" fmla="*/ 0 w 2"/>
                <a:gd name="T5" fmla="*/ 0 h 15"/>
                <a:gd name="T6" fmla="*/ 0 60000 65536"/>
                <a:gd name="T7" fmla="*/ 0 60000 65536"/>
                <a:gd name="T8" fmla="*/ 0 60000 65536"/>
                <a:gd name="T9" fmla="*/ 0 w 2"/>
                <a:gd name="T10" fmla="*/ 0 h 15"/>
                <a:gd name="T11" fmla="*/ 2 w 2"/>
                <a:gd name="T12" fmla="*/ 15 h 15"/>
              </a:gdLst>
              <a:ahLst/>
              <a:cxnLst>
                <a:cxn ang="T6">
                  <a:pos x="T0" y="T1"/>
                </a:cxn>
                <a:cxn ang="T7">
                  <a:pos x="T2" y="T3"/>
                </a:cxn>
                <a:cxn ang="T8">
                  <a:pos x="T4" y="T5"/>
                </a:cxn>
              </a:cxnLst>
              <a:rect l="T9" t="T10" r="T11" b="T12"/>
              <a:pathLst>
                <a:path w="2" h="15">
                  <a:moveTo>
                    <a:pt x="2" y="15"/>
                  </a:moveTo>
                  <a:lnTo>
                    <a:pt x="0" y="11"/>
                  </a:lnTo>
                  <a:lnTo>
                    <a:pt x="0" y="0"/>
                  </a:lnTo>
                </a:path>
              </a:pathLst>
            </a:custGeom>
            <a:noFill/>
            <a:ln w="19050" cmpd="sng">
              <a:solidFill>
                <a:srgbClr val="00CCFF"/>
              </a:solidFill>
              <a:round/>
              <a:headEnd/>
              <a:tailEnd/>
            </a:ln>
          </xdr:spPr>
        </xdr:sp>
        <xdr:sp macro="" textlink="">
          <xdr:nvSpPr>
            <xdr:cNvPr id="385" name="Line 134"/>
            <xdr:cNvSpPr>
              <a:spLocks noChangeShapeType="1"/>
            </xdr:cNvSpPr>
          </xdr:nvSpPr>
          <xdr:spPr bwMode="auto">
            <a:xfrm>
              <a:off x="881" y="706"/>
              <a:ext cx="0" cy="0"/>
            </a:xfrm>
            <a:prstGeom prst="line">
              <a:avLst/>
            </a:prstGeom>
            <a:noFill/>
            <a:ln w="9525">
              <a:solidFill>
                <a:srgbClr val="000000"/>
              </a:solidFill>
              <a:round/>
              <a:headEnd/>
              <a:tailEnd/>
            </a:ln>
          </xdr:spPr>
        </xdr:sp>
        <xdr:sp macro="" textlink="">
          <xdr:nvSpPr>
            <xdr:cNvPr id="386" name="Freeform 135"/>
            <xdr:cNvSpPr>
              <a:spLocks/>
            </xdr:cNvSpPr>
          </xdr:nvSpPr>
          <xdr:spPr bwMode="auto">
            <a:xfrm>
              <a:off x="876" y="656"/>
              <a:ext cx="73" cy="67"/>
            </a:xfrm>
            <a:custGeom>
              <a:avLst/>
              <a:gdLst>
                <a:gd name="T0" fmla="*/ 0 w 73"/>
                <a:gd name="T1" fmla="*/ 67 h 67"/>
                <a:gd name="T2" fmla="*/ 0 w 73"/>
                <a:gd name="T3" fmla="*/ 65 h 67"/>
                <a:gd name="T4" fmla="*/ 2 w 73"/>
                <a:gd name="T5" fmla="*/ 63 h 67"/>
                <a:gd name="T6" fmla="*/ 4 w 73"/>
                <a:gd name="T7" fmla="*/ 61 h 67"/>
                <a:gd name="T8" fmla="*/ 4 w 73"/>
                <a:gd name="T9" fmla="*/ 48 h 67"/>
                <a:gd name="T10" fmla="*/ 25 w 73"/>
                <a:gd name="T11" fmla="*/ 48 h 67"/>
                <a:gd name="T12" fmla="*/ 73 w 73"/>
                <a:gd name="T13" fmla="*/ 0 h 67"/>
                <a:gd name="T14" fmla="*/ 73 w 73"/>
                <a:gd name="T15" fmla="*/ 2 h 67"/>
                <a:gd name="T16" fmla="*/ 25 w 73"/>
                <a:gd name="T17" fmla="*/ 50 h 67"/>
                <a:gd name="T18" fmla="*/ 6 w 73"/>
                <a:gd name="T19" fmla="*/ 50 h 67"/>
                <a:gd name="T20" fmla="*/ 6 w 73"/>
                <a:gd name="T21" fmla="*/ 63 h 67"/>
                <a:gd name="T22" fmla="*/ 4 w 73"/>
                <a:gd name="T23" fmla="*/ 64 h 67"/>
                <a:gd name="T24" fmla="*/ 0 w 73"/>
                <a:gd name="T25" fmla="*/ 67 h 67"/>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73"/>
                <a:gd name="T40" fmla="*/ 0 h 67"/>
                <a:gd name="T41" fmla="*/ 73 w 73"/>
                <a:gd name="T42" fmla="*/ 67 h 67"/>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73" h="67">
                  <a:moveTo>
                    <a:pt x="0" y="67"/>
                  </a:moveTo>
                  <a:lnTo>
                    <a:pt x="0" y="65"/>
                  </a:lnTo>
                  <a:lnTo>
                    <a:pt x="2" y="63"/>
                  </a:lnTo>
                  <a:lnTo>
                    <a:pt x="4" y="61"/>
                  </a:lnTo>
                  <a:lnTo>
                    <a:pt x="4" y="48"/>
                  </a:lnTo>
                  <a:lnTo>
                    <a:pt x="25" y="48"/>
                  </a:lnTo>
                  <a:lnTo>
                    <a:pt x="73" y="0"/>
                  </a:lnTo>
                  <a:lnTo>
                    <a:pt x="73" y="2"/>
                  </a:lnTo>
                  <a:lnTo>
                    <a:pt x="25" y="50"/>
                  </a:lnTo>
                  <a:lnTo>
                    <a:pt x="6" y="50"/>
                  </a:lnTo>
                  <a:lnTo>
                    <a:pt x="6" y="63"/>
                  </a:lnTo>
                  <a:lnTo>
                    <a:pt x="4" y="64"/>
                  </a:lnTo>
                  <a:lnTo>
                    <a:pt x="0" y="67"/>
                  </a:lnTo>
                  <a:close/>
                </a:path>
              </a:pathLst>
            </a:custGeom>
            <a:solidFill>
              <a:srgbClr val="00CCFF"/>
            </a:solidFill>
            <a:ln w="6350" cmpd="sng">
              <a:solidFill>
                <a:srgbClr val="000000"/>
              </a:solidFill>
              <a:round/>
              <a:headEnd/>
              <a:tailEnd/>
            </a:ln>
          </xdr:spPr>
        </xdr:sp>
        <xdr:grpSp>
          <xdr:nvGrpSpPr>
            <xdr:cNvPr id="387" name="Group 136"/>
            <xdr:cNvGrpSpPr>
              <a:grpSpLocks/>
            </xdr:cNvGrpSpPr>
          </xdr:nvGrpSpPr>
          <xdr:grpSpPr bwMode="auto">
            <a:xfrm>
              <a:off x="885" y="652"/>
              <a:ext cx="65" cy="47"/>
              <a:chOff x="112" y="627"/>
              <a:chExt cx="65" cy="47"/>
            </a:xfrm>
          </xdr:grpSpPr>
          <xdr:sp macro="" textlink="">
            <xdr:nvSpPr>
              <xdr:cNvPr id="414" name="Freeform 137"/>
              <xdr:cNvSpPr>
                <a:spLocks/>
              </xdr:cNvSpPr>
            </xdr:nvSpPr>
            <xdr:spPr bwMode="auto">
              <a:xfrm>
                <a:off x="112" y="627"/>
                <a:ext cx="65" cy="41"/>
              </a:xfrm>
              <a:custGeom>
                <a:avLst/>
                <a:gdLst>
                  <a:gd name="T0" fmla="*/ 24 w 65"/>
                  <a:gd name="T1" fmla="*/ 41 h 41"/>
                  <a:gd name="T2" fmla="*/ 0 w 65"/>
                  <a:gd name="T3" fmla="*/ 41 h 41"/>
                  <a:gd name="T4" fmla="*/ 41 w 65"/>
                  <a:gd name="T5" fmla="*/ 0 h 41"/>
                  <a:gd name="T6" fmla="*/ 65 w 65"/>
                  <a:gd name="T7" fmla="*/ 0 h 41"/>
                  <a:gd name="T8" fmla="*/ 24 w 65"/>
                  <a:gd name="T9" fmla="*/ 41 h 41"/>
                  <a:gd name="T10" fmla="*/ 0 60000 65536"/>
                  <a:gd name="T11" fmla="*/ 0 60000 65536"/>
                  <a:gd name="T12" fmla="*/ 0 60000 65536"/>
                  <a:gd name="T13" fmla="*/ 0 60000 65536"/>
                  <a:gd name="T14" fmla="*/ 0 60000 65536"/>
                  <a:gd name="T15" fmla="*/ 0 w 65"/>
                  <a:gd name="T16" fmla="*/ 0 h 41"/>
                  <a:gd name="T17" fmla="*/ 65 w 65"/>
                  <a:gd name="T18" fmla="*/ 41 h 41"/>
                </a:gdLst>
                <a:ahLst/>
                <a:cxnLst>
                  <a:cxn ang="T10">
                    <a:pos x="T0" y="T1"/>
                  </a:cxn>
                  <a:cxn ang="T11">
                    <a:pos x="T2" y="T3"/>
                  </a:cxn>
                  <a:cxn ang="T12">
                    <a:pos x="T4" y="T5"/>
                  </a:cxn>
                  <a:cxn ang="T13">
                    <a:pos x="T6" y="T7"/>
                  </a:cxn>
                  <a:cxn ang="T14">
                    <a:pos x="T8" y="T9"/>
                  </a:cxn>
                </a:cxnLst>
                <a:rect l="T15" t="T16" r="T17" b="T18"/>
                <a:pathLst>
                  <a:path w="65" h="41">
                    <a:moveTo>
                      <a:pt x="24" y="41"/>
                    </a:moveTo>
                    <a:lnTo>
                      <a:pt x="0" y="41"/>
                    </a:lnTo>
                    <a:lnTo>
                      <a:pt x="41" y="0"/>
                    </a:lnTo>
                    <a:lnTo>
                      <a:pt x="65" y="0"/>
                    </a:lnTo>
                    <a:lnTo>
                      <a:pt x="24" y="41"/>
                    </a:lnTo>
                    <a:close/>
                  </a:path>
                </a:pathLst>
              </a:custGeom>
              <a:gradFill rotWithShape="1">
                <a:gsLst>
                  <a:gs pos="0">
                    <a:srgbClr val="767676"/>
                  </a:gs>
                  <a:gs pos="50000">
                    <a:srgbClr val="FFFFFF"/>
                  </a:gs>
                  <a:gs pos="100000">
                    <a:srgbClr val="767676"/>
                  </a:gs>
                </a:gsLst>
                <a:lin ang="18900000" scaled="1"/>
              </a:gradFill>
              <a:ln w="9525">
                <a:solidFill>
                  <a:srgbClr val="000000"/>
                </a:solidFill>
                <a:round/>
                <a:headEnd/>
                <a:tailEnd/>
              </a:ln>
            </xdr:spPr>
          </xdr:sp>
          <xdr:sp macro="" textlink="">
            <xdr:nvSpPr>
              <xdr:cNvPr id="415" name="Freeform 138"/>
              <xdr:cNvSpPr>
                <a:spLocks/>
              </xdr:cNvSpPr>
            </xdr:nvSpPr>
            <xdr:spPr bwMode="auto">
              <a:xfrm>
                <a:off x="112" y="627"/>
                <a:ext cx="65" cy="47"/>
              </a:xfrm>
              <a:custGeom>
                <a:avLst/>
                <a:gdLst>
                  <a:gd name="T0" fmla="*/ 0 w 65"/>
                  <a:gd name="T1" fmla="*/ 41 h 47"/>
                  <a:gd name="T2" fmla="*/ 0 w 65"/>
                  <a:gd name="T3" fmla="*/ 47 h 47"/>
                  <a:gd name="T4" fmla="*/ 3 w 65"/>
                  <a:gd name="T5" fmla="*/ 44 h 47"/>
                  <a:gd name="T6" fmla="*/ 24 w 65"/>
                  <a:gd name="T7" fmla="*/ 44 h 47"/>
                  <a:gd name="T8" fmla="*/ 65 w 65"/>
                  <a:gd name="T9" fmla="*/ 3 h 47"/>
                  <a:gd name="T10" fmla="*/ 65 w 65"/>
                  <a:gd name="T11" fmla="*/ 0 h 47"/>
                  <a:gd name="T12" fmla="*/ 24 w 65"/>
                  <a:gd name="T13" fmla="*/ 41 h 47"/>
                  <a:gd name="T14" fmla="*/ 0 w 65"/>
                  <a:gd name="T15" fmla="*/ 41 h 47"/>
                  <a:gd name="T16" fmla="*/ 0 60000 65536"/>
                  <a:gd name="T17" fmla="*/ 0 60000 65536"/>
                  <a:gd name="T18" fmla="*/ 0 60000 65536"/>
                  <a:gd name="T19" fmla="*/ 0 60000 65536"/>
                  <a:gd name="T20" fmla="*/ 0 60000 65536"/>
                  <a:gd name="T21" fmla="*/ 0 60000 65536"/>
                  <a:gd name="T22" fmla="*/ 0 60000 65536"/>
                  <a:gd name="T23" fmla="*/ 0 60000 65536"/>
                  <a:gd name="T24" fmla="*/ 0 w 65"/>
                  <a:gd name="T25" fmla="*/ 0 h 47"/>
                  <a:gd name="T26" fmla="*/ 65 w 65"/>
                  <a:gd name="T27" fmla="*/ 47 h 47"/>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65" h="47">
                    <a:moveTo>
                      <a:pt x="0" y="41"/>
                    </a:moveTo>
                    <a:lnTo>
                      <a:pt x="0" y="47"/>
                    </a:lnTo>
                    <a:lnTo>
                      <a:pt x="3" y="44"/>
                    </a:lnTo>
                    <a:lnTo>
                      <a:pt x="24" y="44"/>
                    </a:lnTo>
                    <a:lnTo>
                      <a:pt x="65" y="3"/>
                    </a:lnTo>
                    <a:lnTo>
                      <a:pt x="65" y="0"/>
                    </a:lnTo>
                    <a:lnTo>
                      <a:pt x="24" y="41"/>
                    </a:lnTo>
                    <a:lnTo>
                      <a:pt x="0" y="41"/>
                    </a:lnTo>
                    <a:close/>
                  </a:path>
                </a:pathLst>
              </a:custGeom>
              <a:solidFill>
                <a:srgbClr val="808080"/>
              </a:solidFill>
              <a:ln w="6350" cmpd="sng">
                <a:solidFill>
                  <a:srgbClr val="000000"/>
                </a:solidFill>
                <a:round/>
                <a:headEnd/>
                <a:tailEnd/>
              </a:ln>
            </xdr:spPr>
          </xdr:sp>
        </xdr:grpSp>
        <xdr:sp macro="" textlink="">
          <xdr:nvSpPr>
            <xdr:cNvPr id="388" name="Line 139"/>
            <xdr:cNvSpPr>
              <a:spLocks noChangeShapeType="1"/>
            </xdr:cNvSpPr>
          </xdr:nvSpPr>
          <xdr:spPr bwMode="auto">
            <a:xfrm>
              <a:off x="909" y="693"/>
              <a:ext cx="0" cy="3"/>
            </a:xfrm>
            <a:prstGeom prst="line">
              <a:avLst/>
            </a:prstGeom>
            <a:noFill/>
            <a:ln w="9525">
              <a:solidFill>
                <a:srgbClr val="000000"/>
              </a:solidFill>
              <a:round/>
              <a:headEnd/>
              <a:tailEnd/>
            </a:ln>
          </xdr:spPr>
        </xdr:sp>
        <xdr:sp macro="" textlink="">
          <xdr:nvSpPr>
            <xdr:cNvPr id="389" name="Line 140"/>
            <xdr:cNvSpPr>
              <a:spLocks noChangeShapeType="1"/>
            </xdr:cNvSpPr>
          </xdr:nvSpPr>
          <xdr:spPr bwMode="auto">
            <a:xfrm flipV="1">
              <a:off x="886" y="711"/>
              <a:ext cx="11" cy="11"/>
            </a:xfrm>
            <a:prstGeom prst="line">
              <a:avLst/>
            </a:prstGeom>
            <a:noFill/>
            <a:ln w="19050">
              <a:solidFill>
                <a:srgbClr val="A6CAF0"/>
              </a:solidFill>
              <a:round/>
              <a:headEnd/>
              <a:tailEnd/>
            </a:ln>
          </xdr:spPr>
        </xdr:sp>
        <xdr:sp macro="" textlink="">
          <xdr:nvSpPr>
            <xdr:cNvPr id="390" name="Line 141"/>
            <xdr:cNvSpPr>
              <a:spLocks noChangeShapeType="1"/>
            </xdr:cNvSpPr>
          </xdr:nvSpPr>
          <xdr:spPr bwMode="auto">
            <a:xfrm flipV="1">
              <a:off x="882" y="707"/>
              <a:ext cx="12" cy="13"/>
            </a:xfrm>
            <a:prstGeom prst="line">
              <a:avLst/>
            </a:prstGeom>
            <a:noFill/>
            <a:ln w="19050">
              <a:solidFill>
                <a:srgbClr val="A6CAF0"/>
              </a:solidFill>
              <a:round/>
              <a:headEnd/>
              <a:tailEnd/>
            </a:ln>
          </xdr:spPr>
        </xdr:sp>
        <xdr:sp macro="" textlink="">
          <xdr:nvSpPr>
            <xdr:cNvPr id="391" name="Freeform 142"/>
            <xdr:cNvSpPr>
              <a:spLocks/>
            </xdr:cNvSpPr>
          </xdr:nvSpPr>
          <xdr:spPr bwMode="auto">
            <a:xfrm>
              <a:off x="837" y="719"/>
              <a:ext cx="48" cy="22"/>
            </a:xfrm>
            <a:custGeom>
              <a:avLst/>
              <a:gdLst>
                <a:gd name="T0" fmla="*/ 0 w 48"/>
                <a:gd name="T1" fmla="*/ 22 h 22"/>
                <a:gd name="T2" fmla="*/ 3 w 48"/>
                <a:gd name="T3" fmla="*/ 19 h 22"/>
                <a:gd name="T4" fmla="*/ 25 w 48"/>
                <a:gd name="T5" fmla="*/ 19 h 22"/>
                <a:gd name="T6" fmla="*/ 44 w 48"/>
                <a:gd name="T7" fmla="*/ 0 h 22"/>
                <a:gd name="T8" fmla="*/ 48 w 48"/>
                <a:gd name="T9" fmla="*/ 1 h 22"/>
                <a:gd name="T10" fmla="*/ 27 w 48"/>
                <a:gd name="T11" fmla="*/ 22 h 22"/>
                <a:gd name="T12" fmla="*/ 0 w 48"/>
                <a:gd name="T13" fmla="*/ 22 h 22"/>
                <a:gd name="T14" fmla="*/ 0 60000 65536"/>
                <a:gd name="T15" fmla="*/ 0 60000 65536"/>
                <a:gd name="T16" fmla="*/ 0 60000 65536"/>
                <a:gd name="T17" fmla="*/ 0 60000 65536"/>
                <a:gd name="T18" fmla="*/ 0 60000 65536"/>
                <a:gd name="T19" fmla="*/ 0 60000 65536"/>
                <a:gd name="T20" fmla="*/ 0 60000 65536"/>
                <a:gd name="T21" fmla="*/ 0 w 48"/>
                <a:gd name="T22" fmla="*/ 0 h 22"/>
                <a:gd name="T23" fmla="*/ 48 w 48"/>
                <a:gd name="T24" fmla="*/ 22 h 22"/>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8" h="22">
                  <a:moveTo>
                    <a:pt x="0" y="22"/>
                  </a:moveTo>
                  <a:lnTo>
                    <a:pt x="3" y="19"/>
                  </a:lnTo>
                  <a:lnTo>
                    <a:pt x="25" y="19"/>
                  </a:lnTo>
                  <a:lnTo>
                    <a:pt x="44" y="0"/>
                  </a:lnTo>
                  <a:lnTo>
                    <a:pt x="48" y="1"/>
                  </a:lnTo>
                  <a:lnTo>
                    <a:pt x="27" y="22"/>
                  </a:lnTo>
                  <a:lnTo>
                    <a:pt x="0" y="22"/>
                  </a:lnTo>
                  <a:close/>
                </a:path>
              </a:pathLst>
            </a:custGeom>
            <a:solidFill>
              <a:srgbClr val="C0C0C0"/>
            </a:solidFill>
            <a:ln w="9525">
              <a:solidFill>
                <a:srgbClr val="000000"/>
              </a:solidFill>
              <a:round/>
              <a:headEnd/>
              <a:tailEnd/>
            </a:ln>
          </xdr:spPr>
        </xdr:sp>
        <xdr:sp macro="" textlink="">
          <xdr:nvSpPr>
            <xdr:cNvPr id="392" name="Freeform 143"/>
            <xdr:cNvSpPr>
              <a:spLocks/>
            </xdr:cNvSpPr>
          </xdr:nvSpPr>
          <xdr:spPr bwMode="auto">
            <a:xfrm>
              <a:off x="882" y="658"/>
              <a:ext cx="67" cy="177"/>
            </a:xfrm>
            <a:custGeom>
              <a:avLst/>
              <a:gdLst>
                <a:gd name="T0" fmla="*/ 67 w 67"/>
                <a:gd name="T1" fmla="*/ 0 h 177"/>
                <a:gd name="T2" fmla="*/ 67 w 67"/>
                <a:gd name="T3" fmla="*/ 2 h 177"/>
                <a:gd name="T4" fmla="*/ 19 w 67"/>
                <a:gd name="T5" fmla="*/ 50 h 177"/>
                <a:gd name="T6" fmla="*/ 2 w 67"/>
                <a:gd name="T7" fmla="*/ 50 h 177"/>
                <a:gd name="T8" fmla="*/ 2 w 67"/>
                <a:gd name="T9" fmla="*/ 60 h 177"/>
                <a:gd name="T10" fmla="*/ 3 w 67"/>
                <a:gd name="T11" fmla="*/ 62 h 177"/>
                <a:gd name="T12" fmla="*/ 4 w 67"/>
                <a:gd name="T13" fmla="*/ 64 h 177"/>
                <a:gd name="T14" fmla="*/ 5 w 67"/>
                <a:gd name="T15" fmla="*/ 177 h 177"/>
                <a:gd name="T16" fmla="*/ 3 w 67"/>
                <a:gd name="T17" fmla="*/ 175 h 177"/>
                <a:gd name="T18" fmla="*/ 2 w 67"/>
                <a:gd name="T19" fmla="*/ 66 h 177"/>
                <a:gd name="T20" fmla="*/ 1 w 67"/>
                <a:gd name="T21" fmla="*/ 63 h 177"/>
                <a:gd name="T22" fmla="*/ 0 w 67"/>
                <a:gd name="T23" fmla="*/ 61 h 177"/>
                <a:gd name="T24" fmla="*/ 0 w 67"/>
                <a:gd name="T25" fmla="*/ 48 h 177"/>
                <a:gd name="T26" fmla="*/ 19 w 67"/>
                <a:gd name="T27" fmla="*/ 48 h 177"/>
                <a:gd name="T28" fmla="*/ 67 w 67"/>
                <a:gd name="T29" fmla="*/ 0 h 177"/>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67"/>
                <a:gd name="T46" fmla="*/ 0 h 177"/>
                <a:gd name="T47" fmla="*/ 67 w 67"/>
                <a:gd name="T48" fmla="*/ 177 h 177"/>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67" h="177">
                  <a:moveTo>
                    <a:pt x="67" y="0"/>
                  </a:moveTo>
                  <a:lnTo>
                    <a:pt x="67" y="2"/>
                  </a:lnTo>
                  <a:lnTo>
                    <a:pt x="19" y="50"/>
                  </a:lnTo>
                  <a:lnTo>
                    <a:pt x="2" y="50"/>
                  </a:lnTo>
                  <a:lnTo>
                    <a:pt x="2" y="60"/>
                  </a:lnTo>
                  <a:lnTo>
                    <a:pt x="3" y="62"/>
                  </a:lnTo>
                  <a:lnTo>
                    <a:pt x="4" y="64"/>
                  </a:lnTo>
                  <a:lnTo>
                    <a:pt x="5" y="177"/>
                  </a:lnTo>
                  <a:lnTo>
                    <a:pt x="3" y="175"/>
                  </a:lnTo>
                  <a:lnTo>
                    <a:pt x="2" y="66"/>
                  </a:lnTo>
                  <a:lnTo>
                    <a:pt x="1" y="63"/>
                  </a:lnTo>
                  <a:lnTo>
                    <a:pt x="0" y="61"/>
                  </a:lnTo>
                  <a:lnTo>
                    <a:pt x="0" y="48"/>
                  </a:lnTo>
                  <a:lnTo>
                    <a:pt x="19" y="48"/>
                  </a:lnTo>
                  <a:lnTo>
                    <a:pt x="67" y="0"/>
                  </a:lnTo>
                  <a:close/>
                </a:path>
              </a:pathLst>
            </a:custGeom>
            <a:solidFill>
              <a:srgbClr val="00CCFF"/>
            </a:solidFill>
            <a:ln w="6350" cmpd="sng">
              <a:solidFill>
                <a:srgbClr val="000000"/>
              </a:solidFill>
              <a:round/>
              <a:headEnd/>
              <a:tailEnd/>
            </a:ln>
          </xdr:spPr>
        </xdr:sp>
        <xdr:sp macro="" textlink="">
          <xdr:nvSpPr>
            <xdr:cNvPr id="393" name="Line 144"/>
            <xdr:cNvSpPr>
              <a:spLocks noChangeShapeType="1"/>
            </xdr:cNvSpPr>
          </xdr:nvSpPr>
          <xdr:spPr bwMode="auto">
            <a:xfrm>
              <a:off x="933" y="706"/>
              <a:ext cx="0" cy="0"/>
            </a:xfrm>
            <a:prstGeom prst="line">
              <a:avLst/>
            </a:prstGeom>
            <a:noFill/>
            <a:ln w="9525">
              <a:solidFill>
                <a:srgbClr val="000000"/>
              </a:solidFill>
              <a:round/>
              <a:headEnd/>
              <a:tailEnd/>
            </a:ln>
          </xdr:spPr>
        </xdr:sp>
        <xdr:sp macro="" textlink="">
          <xdr:nvSpPr>
            <xdr:cNvPr id="394" name="Freeform 145"/>
            <xdr:cNvSpPr>
              <a:spLocks/>
            </xdr:cNvSpPr>
          </xdr:nvSpPr>
          <xdr:spPr bwMode="auto">
            <a:xfrm>
              <a:off x="907" y="662"/>
              <a:ext cx="62" cy="42"/>
            </a:xfrm>
            <a:custGeom>
              <a:avLst/>
              <a:gdLst>
                <a:gd name="T0" fmla="*/ 0 w 62"/>
                <a:gd name="T1" fmla="*/ 42 h 42"/>
                <a:gd name="T2" fmla="*/ 42 w 62"/>
                <a:gd name="T3" fmla="*/ 0 h 42"/>
                <a:gd name="T4" fmla="*/ 62 w 62"/>
                <a:gd name="T5" fmla="*/ 0 h 42"/>
                <a:gd name="T6" fmla="*/ 23 w 62"/>
                <a:gd name="T7" fmla="*/ 42 h 42"/>
                <a:gd name="T8" fmla="*/ 0 w 62"/>
                <a:gd name="T9" fmla="*/ 42 h 42"/>
                <a:gd name="T10" fmla="*/ 0 60000 65536"/>
                <a:gd name="T11" fmla="*/ 0 60000 65536"/>
                <a:gd name="T12" fmla="*/ 0 60000 65536"/>
                <a:gd name="T13" fmla="*/ 0 60000 65536"/>
                <a:gd name="T14" fmla="*/ 0 60000 65536"/>
                <a:gd name="T15" fmla="*/ 0 w 62"/>
                <a:gd name="T16" fmla="*/ 0 h 42"/>
                <a:gd name="T17" fmla="*/ 62 w 62"/>
                <a:gd name="T18" fmla="*/ 42 h 42"/>
              </a:gdLst>
              <a:ahLst/>
              <a:cxnLst>
                <a:cxn ang="T10">
                  <a:pos x="T0" y="T1"/>
                </a:cxn>
                <a:cxn ang="T11">
                  <a:pos x="T2" y="T3"/>
                </a:cxn>
                <a:cxn ang="T12">
                  <a:pos x="T4" y="T5"/>
                </a:cxn>
                <a:cxn ang="T13">
                  <a:pos x="T6" y="T7"/>
                </a:cxn>
                <a:cxn ang="T14">
                  <a:pos x="T8" y="T9"/>
                </a:cxn>
              </a:cxnLst>
              <a:rect l="T15" t="T16" r="T17" b="T18"/>
              <a:pathLst>
                <a:path w="62" h="42">
                  <a:moveTo>
                    <a:pt x="0" y="42"/>
                  </a:moveTo>
                  <a:lnTo>
                    <a:pt x="42" y="0"/>
                  </a:lnTo>
                  <a:lnTo>
                    <a:pt x="62" y="0"/>
                  </a:lnTo>
                  <a:lnTo>
                    <a:pt x="23" y="42"/>
                  </a:lnTo>
                  <a:lnTo>
                    <a:pt x="0" y="42"/>
                  </a:lnTo>
                  <a:close/>
                </a:path>
              </a:pathLst>
            </a:custGeom>
            <a:gradFill rotWithShape="1">
              <a:gsLst>
                <a:gs pos="0">
                  <a:srgbClr val="69FFFF"/>
                </a:gs>
                <a:gs pos="100000">
                  <a:srgbClr val="CCFFCC"/>
                </a:gs>
              </a:gsLst>
              <a:lin ang="0" scaled="1"/>
            </a:gradFill>
            <a:ln w="9525">
              <a:solidFill>
                <a:srgbClr val="000000"/>
              </a:solidFill>
              <a:round/>
              <a:headEnd/>
              <a:tailEnd/>
            </a:ln>
          </xdr:spPr>
        </xdr:sp>
        <xdr:sp macro="" textlink="">
          <xdr:nvSpPr>
            <xdr:cNvPr id="395" name="Freeform 146"/>
            <xdr:cNvSpPr>
              <a:spLocks/>
            </xdr:cNvSpPr>
          </xdr:nvSpPr>
          <xdr:spPr bwMode="auto">
            <a:xfrm>
              <a:off x="889" y="720"/>
              <a:ext cx="23" cy="176"/>
            </a:xfrm>
            <a:custGeom>
              <a:avLst/>
              <a:gdLst>
                <a:gd name="T0" fmla="*/ 0 w 23"/>
                <a:gd name="T1" fmla="*/ 18 h 176"/>
                <a:gd name="T2" fmla="*/ 23 w 23"/>
                <a:gd name="T3" fmla="*/ 0 h 176"/>
                <a:gd name="T4" fmla="*/ 23 w 23"/>
                <a:gd name="T5" fmla="*/ 176 h 176"/>
                <a:gd name="T6" fmla="*/ 0 w 23"/>
                <a:gd name="T7" fmla="*/ 176 h 176"/>
                <a:gd name="T8" fmla="*/ 0 w 23"/>
                <a:gd name="T9" fmla="*/ 18 h 176"/>
                <a:gd name="T10" fmla="*/ 0 60000 65536"/>
                <a:gd name="T11" fmla="*/ 0 60000 65536"/>
                <a:gd name="T12" fmla="*/ 0 60000 65536"/>
                <a:gd name="T13" fmla="*/ 0 60000 65536"/>
                <a:gd name="T14" fmla="*/ 0 60000 65536"/>
                <a:gd name="T15" fmla="*/ 0 w 23"/>
                <a:gd name="T16" fmla="*/ 0 h 176"/>
                <a:gd name="T17" fmla="*/ 23 w 23"/>
                <a:gd name="T18" fmla="*/ 176 h 176"/>
              </a:gdLst>
              <a:ahLst/>
              <a:cxnLst>
                <a:cxn ang="T10">
                  <a:pos x="T0" y="T1"/>
                </a:cxn>
                <a:cxn ang="T11">
                  <a:pos x="T2" y="T3"/>
                </a:cxn>
                <a:cxn ang="T12">
                  <a:pos x="T4" y="T5"/>
                </a:cxn>
                <a:cxn ang="T13">
                  <a:pos x="T6" y="T7"/>
                </a:cxn>
                <a:cxn ang="T14">
                  <a:pos x="T8" y="T9"/>
                </a:cxn>
              </a:cxnLst>
              <a:rect l="T15" t="T16" r="T17" b="T18"/>
              <a:pathLst>
                <a:path w="23" h="176">
                  <a:moveTo>
                    <a:pt x="0" y="18"/>
                  </a:moveTo>
                  <a:lnTo>
                    <a:pt x="23" y="0"/>
                  </a:lnTo>
                  <a:lnTo>
                    <a:pt x="23" y="176"/>
                  </a:lnTo>
                  <a:lnTo>
                    <a:pt x="0" y="176"/>
                  </a:lnTo>
                  <a:lnTo>
                    <a:pt x="0" y="18"/>
                  </a:lnTo>
                  <a:close/>
                </a:path>
              </a:pathLst>
            </a:custGeom>
            <a:gradFill rotWithShape="1">
              <a:gsLst>
                <a:gs pos="0">
                  <a:srgbClr val="DDDDDD"/>
                </a:gs>
                <a:gs pos="100000">
                  <a:srgbClr val="666666"/>
                </a:gs>
              </a:gsLst>
              <a:lin ang="0" scaled="1"/>
            </a:gradFill>
            <a:ln w="9525">
              <a:solidFill>
                <a:srgbClr val="000000"/>
              </a:solidFill>
              <a:round/>
              <a:headEnd/>
              <a:tailEnd/>
            </a:ln>
          </xdr:spPr>
        </xdr:sp>
        <xdr:sp macro="" textlink="">
          <xdr:nvSpPr>
            <xdr:cNvPr id="396" name="Line 147"/>
            <xdr:cNvSpPr>
              <a:spLocks noChangeShapeType="1"/>
            </xdr:cNvSpPr>
          </xdr:nvSpPr>
          <xdr:spPr bwMode="auto">
            <a:xfrm flipV="1">
              <a:off x="912" y="707"/>
              <a:ext cx="13" cy="13"/>
            </a:xfrm>
            <a:prstGeom prst="line">
              <a:avLst/>
            </a:prstGeom>
            <a:noFill/>
            <a:ln w="28575">
              <a:solidFill>
                <a:srgbClr val="A6CAF0"/>
              </a:solidFill>
              <a:round/>
              <a:headEnd/>
              <a:tailEnd/>
            </a:ln>
          </xdr:spPr>
        </xdr:sp>
        <xdr:sp macro="" textlink="">
          <xdr:nvSpPr>
            <xdr:cNvPr id="397" name="Freeform 148"/>
            <xdr:cNvSpPr>
              <a:spLocks/>
            </xdr:cNvSpPr>
          </xdr:nvSpPr>
          <xdr:spPr bwMode="auto">
            <a:xfrm>
              <a:off x="923" y="697"/>
              <a:ext cx="27" cy="202"/>
            </a:xfrm>
            <a:custGeom>
              <a:avLst/>
              <a:gdLst>
                <a:gd name="T0" fmla="*/ 0 w 27"/>
                <a:gd name="T1" fmla="*/ 9 h 202"/>
                <a:gd name="T2" fmla="*/ 0 w 27"/>
                <a:gd name="T3" fmla="*/ 201 h 202"/>
                <a:gd name="T4" fmla="*/ 0 w 27"/>
                <a:gd name="T5" fmla="*/ 202 h 202"/>
                <a:gd name="T6" fmla="*/ 22 w 27"/>
                <a:gd name="T7" fmla="*/ 202 h 202"/>
                <a:gd name="T8" fmla="*/ 27 w 27"/>
                <a:gd name="T9" fmla="*/ 0 h 202"/>
                <a:gd name="T10" fmla="*/ 15 w 27"/>
                <a:gd name="T11" fmla="*/ 0 h 202"/>
                <a:gd name="T12" fmla="*/ 0 60000 65536"/>
                <a:gd name="T13" fmla="*/ 0 60000 65536"/>
                <a:gd name="T14" fmla="*/ 0 60000 65536"/>
                <a:gd name="T15" fmla="*/ 0 60000 65536"/>
                <a:gd name="T16" fmla="*/ 0 60000 65536"/>
                <a:gd name="T17" fmla="*/ 0 60000 65536"/>
                <a:gd name="T18" fmla="*/ 0 w 27"/>
                <a:gd name="T19" fmla="*/ 0 h 202"/>
                <a:gd name="T20" fmla="*/ 27 w 27"/>
                <a:gd name="T21" fmla="*/ 202 h 202"/>
              </a:gdLst>
              <a:ahLst/>
              <a:cxnLst>
                <a:cxn ang="T12">
                  <a:pos x="T0" y="T1"/>
                </a:cxn>
                <a:cxn ang="T13">
                  <a:pos x="T2" y="T3"/>
                </a:cxn>
                <a:cxn ang="T14">
                  <a:pos x="T4" y="T5"/>
                </a:cxn>
                <a:cxn ang="T15">
                  <a:pos x="T6" y="T7"/>
                </a:cxn>
                <a:cxn ang="T16">
                  <a:pos x="T8" y="T9"/>
                </a:cxn>
                <a:cxn ang="T17">
                  <a:pos x="T10" y="T11"/>
                </a:cxn>
              </a:cxnLst>
              <a:rect l="T18" t="T19" r="T20" b="T21"/>
              <a:pathLst>
                <a:path w="27" h="202">
                  <a:moveTo>
                    <a:pt x="0" y="9"/>
                  </a:moveTo>
                  <a:lnTo>
                    <a:pt x="0" y="201"/>
                  </a:lnTo>
                  <a:lnTo>
                    <a:pt x="0" y="202"/>
                  </a:lnTo>
                  <a:lnTo>
                    <a:pt x="22" y="202"/>
                  </a:lnTo>
                  <a:lnTo>
                    <a:pt x="27" y="0"/>
                  </a:lnTo>
                  <a:lnTo>
                    <a:pt x="15" y="0"/>
                  </a:lnTo>
                </a:path>
              </a:pathLst>
            </a:custGeom>
            <a:solidFill>
              <a:srgbClr val="336666"/>
            </a:solidFill>
            <a:ln w="9525">
              <a:noFill/>
              <a:round/>
              <a:headEnd/>
              <a:tailEnd/>
            </a:ln>
          </xdr:spPr>
        </xdr:sp>
        <xdr:sp macro="" textlink="">
          <xdr:nvSpPr>
            <xdr:cNvPr id="398" name="Freeform 149"/>
            <xdr:cNvSpPr>
              <a:spLocks/>
            </xdr:cNvSpPr>
          </xdr:nvSpPr>
          <xdr:spPr bwMode="auto">
            <a:xfrm>
              <a:off x="911" y="707"/>
              <a:ext cx="13" cy="156"/>
            </a:xfrm>
            <a:custGeom>
              <a:avLst/>
              <a:gdLst>
                <a:gd name="T0" fmla="*/ 0 w 13"/>
                <a:gd name="T1" fmla="*/ 0 h 155"/>
                <a:gd name="T2" fmla="*/ 13 w 13"/>
                <a:gd name="T3" fmla="*/ 0 h 155"/>
                <a:gd name="T4" fmla="*/ 13 w 13"/>
                <a:gd name="T5" fmla="*/ 172 h 155"/>
                <a:gd name="T6" fmla="*/ 1 w 13"/>
                <a:gd name="T7" fmla="*/ 178 h 155"/>
                <a:gd name="T8" fmla="*/ 0 w 13"/>
                <a:gd name="T9" fmla="*/ 0 h 155"/>
                <a:gd name="T10" fmla="*/ 0 60000 65536"/>
                <a:gd name="T11" fmla="*/ 0 60000 65536"/>
                <a:gd name="T12" fmla="*/ 0 60000 65536"/>
                <a:gd name="T13" fmla="*/ 0 60000 65536"/>
                <a:gd name="T14" fmla="*/ 0 60000 65536"/>
                <a:gd name="T15" fmla="*/ 0 w 13"/>
                <a:gd name="T16" fmla="*/ 0 h 155"/>
                <a:gd name="T17" fmla="*/ 13 w 13"/>
                <a:gd name="T18" fmla="*/ 155 h 155"/>
              </a:gdLst>
              <a:ahLst/>
              <a:cxnLst>
                <a:cxn ang="T10">
                  <a:pos x="T0" y="T1"/>
                </a:cxn>
                <a:cxn ang="T11">
                  <a:pos x="T2" y="T3"/>
                </a:cxn>
                <a:cxn ang="T12">
                  <a:pos x="T4" y="T5"/>
                </a:cxn>
                <a:cxn ang="T13">
                  <a:pos x="T6" y="T7"/>
                </a:cxn>
                <a:cxn ang="T14">
                  <a:pos x="T8" y="T9"/>
                </a:cxn>
              </a:cxnLst>
              <a:rect l="T15" t="T16" r="T17" b="T18"/>
              <a:pathLst>
                <a:path w="13" h="155">
                  <a:moveTo>
                    <a:pt x="0" y="0"/>
                  </a:moveTo>
                  <a:lnTo>
                    <a:pt x="13" y="0"/>
                  </a:lnTo>
                  <a:lnTo>
                    <a:pt x="13" y="149"/>
                  </a:lnTo>
                  <a:lnTo>
                    <a:pt x="1" y="155"/>
                  </a:lnTo>
                  <a:lnTo>
                    <a:pt x="0" y="0"/>
                  </a:lnTo>
                  <a:close/>
                </a:path>
              </a:pathLst>
            </a:custGeom>
            <a:solidFill>
              <a:srgbClr val="99FF99"/>
            </a:solidFill>
            <a:ln w="9525">
              <a:noFill/>
              <a:round/>
              <a:headEnd/>
              <a:tailEnd/>
            </a:ln>
          </xdr:spPr>
        </xdr:sp>
        <xdr:sp macro="" textlink="">
          <xdr:nvSpPr>
            <xdr:cNvPr id="399" name="Line 150"/>
            <xdr:cNvSpPr>
              <a:spLocks noChangeShapeType="1"/>
            </xdr:cNvSpPr>
          </xdr:nvSpPr>
          <xdr:spPr bwMode="auto">
            <a:xfrm>
              <a:off x="937" y="705"/>
              <a:ext cx="0" cy="187"/>
            </a:xfrm>
            <a:prstGeom prst="line">
              <a:avLst/>
            </a:prstGeom>
            <a:noFill/>
            <a:ln w="28575">
              <a:solidFill>
                <a:srgbClr val="A6CAF0"/>
              </a:solidFill>
              <a:round/>
              <a:headEnd/>
              <a:tailEnd/>
            </a:ln>
          </xdr:spPr>
        </xdr:sp>
        <xdr:sp macro="" textlink="">
          <xdr:nvSpPr>
            <xdr:cNvPr id="400" name="Line 151"/>
            <xdr:cNvSpPr>
              <a:spLocks noChangeShapeType="1"/>
            </xdr:cNvSpPr>
          </xdr:nvSpPr>
          <xdr:spPr bwMode="auto">
            <a:xfrm>
              <a:off x="924" y="707"/>
              <a:ext cx="1" cy="152"/>
            </a:xfrm>
            <a:prstGeom prst="line">
              <a:avLst/>
            </a:prstGeom>
            <a:noFill/>
            <a:ln w="19050">
              <a:solidFill>
                <a:srgbClr val="A6CAF0"/>
              </a:solidFill>
              <a:round/>
              <a:headEnd/>
              <a:tailEnd/>
            </a:ln>
          </xdr:spPr>
        </xdr:sp>
        <xdr:sp macro="" textlink="">
          <xdr:nvSpPr>
            <xdr:cNvPr id="401" name="Line 152"/>
            <xdr:cNvSpPr>
              <a:spLocks noChangeShapeType="1"/>
            </xdr:cNvSpPr>
          </xdr:nvSpPr>
          <xdr:spPr bwMode="auto">
            <a:xfrm>
              <a:off x="912" y="721"/>
              <a:ext cx="1" cy="152"/>
            </a:xfrm>
            <a:prstGeom prst="line">
              <a:avLst/>
            </a:prstGeom>
            <a:noFill/>
            <a:ln w="19050">
              <a:solidFill>
                <a:srgbClr val="00CCFF"/>
              </a:solidFill>
              <a:round/>
              <a:headEnd/>
              <a:tailEnd/>
            </a:ln>
          </xdr:spPr>
        </xdr:sp>
        <xdr:sp macro="" textlink="">
          <xdr:nvSpPr>
            <xdr:cNvPr id="402" name="Freeform 153"/>
            <xdr:cNvSpPr>
              <a:spLocks/>
            </xdr:cNvSpPr>
          </xdr:nvSpPr>
          <xdr:spPr bwMode="auto">
            <a:xfrm>
              <a:off x="910" y="707"/>
              <a:ext cx="2" cy="15"/>
            </a:xfrm>
            <a:custGeom>
              <a:avLst/>
              <a:gdLst>
                <a:gd name="T0" fmla="*/ 2 w 2"/>
                <a:gd name="T1" fmla="*/ 15 h 15"/>
                <a:gd name="T2" fmla="*/ 0 w 2"/>
                <a:gd name="T3" fmla="*/ 11 h 15"/>
                <a:gd name="T4" fmla="*/ 0 w 2"/>
                <a:gd name="T5" fmla="*/ 0 h 15"/>
                <a:gd name="T6" fmla="*/ 0 60000 65536"/>
                <a:gd name="T7" fmla="*/ 0 60000 65536"/>
                <a:gd name="T8" fmla="*/ 0 60000 65536"/>
                <a:gd name="T9" fmla="*/ 0 w 2"/>
                <a:gd name="T10" fmla="*/ 0 h 15"/>
                <a:gd name="T11" fmla="*/ 2 w 2"/>
                <a:gd name="T12" fmla="*/ 15 h 15"/>
              </a:gdLst>
              <a:ahLst/>
              <a:cxnLst>
                <a:cxn ang="T6">
                  <a:pos x="T0" y="T1"/>
                </a:cxn>
                <a:cxn ang="T7">
                  <a:pos x="T2" y="T3"/>
                </a:cxn>
                <a:cxn ang="T8">
                  <a:pos x="T4" y="T5"/>
                </a:cxn>
              </a:cxnLst>
              <a:rect l="T9" t="T10" r="T11" b="T12"/>
              <a:pathLst>
                <a:path w="2" h="15">
                  <a:moveTo>
                    <a:pt x="2" y="15"/>
                  </a:moveTo>
                  <a:lnTo>
                    <a:pt x="0" y="11"/>
                  </a:lnTo>
                  <a:lnTo>
                    <a:pt x="0" y="0"/>
                  </a:lnTo>
                </a:path>
              </a:pathLst>
            </a:custGeom>
            <a:noFill/>
            <a:ln w="19050" cmpd="sng">
              <a:solidFill>
                <a:srgbClr val="00CCFF"/>
              </a:solidFill>
              <a:round/>
              <a:headEnd/>
              <a:tailEnd/>
            </a:ln>
          </xdr:spPr>
        </xdr:sp>
        <xdr:sp macro="" textlink="">
          <xdr:nvSpPr>
            <xdr:cNvPr id="403" name="Line 154"/>
            <xdr:cNvSpPr>
              <a:spLocks noChangeShapeType="1"/>
            </xdr:cNvSpPr>
          </xdr:nvSpPr>
          <xdr:spPr bwMode="auto">
            <a:xfrm>
              <a:off x="908" y="706"/>
              <a:ext cx="0" cy="0"/>
            </a:xfrm>
            <a:prstGeom prst="line">
              <a:avLst/>
            </a:prstGeom>
            <a:noFill/>
            <a:ln w="9525">
              <a:solidFill>
                <a:srgbClr val="000000"/>
              </a:solidFill>
              <a:round/>
              <a:headEnd/>
              <a:tailEnd/>
            </a:ln>
          </xdr:spPr>
        </xdr:sp>
        <xdr:sp macro="" textlink="">
          <xdr:nvSpPr>
            <xdr:cNvPr id="404" name="Freeform 155"/>
            <xdr:cNvSpPr>
              <a:spLocks/>
            </xdr:cNvSpPr>
          </xdr:nvSpPr>
          <xdr:spPr bwMode="auto">
            <a:xfrm>
              <a:off x="903" y="656"/>
              <a:ext cx="73" cy="67"/>
            </a:xfrm>
            <a:custGeom>
              <a:avLst/>
              <a:gdLst>
                <a:gd name="T0" fmla="*/ 0 w 73"/>
                <a:gd name="T1" fmla="*/ 67 h 67"/>
                <a:gd name="T2" fmla="*/ 0 w 73"/>
                <a:gd name="T3" fmla="*/ 65 h 67"/>
                <a:gd name="T4" fmla="*/ 2 w 73"/>
                <a:gd name="T5" fmla="*/ 63 h 67"/>
                <a:gd name="T6" fmla="*/ 4 w 73"/>
                <a:gd name="T7" fmla="*/ 61 h 67"/>
                <a:gd name="T8" fmla="*/ 4 w 73"/>
                <a:gd name="T9" fmla="*/ 48 h 67"/>
                <a:gd name="T10" fmla="*/ 25 w 73"/>
                <a:gd name="T11" fmla="*/ 48 h 67"/>
                <a:gd name="T12" fmla="*/ 73 w 73"/>
                <a:gd name="T13" fmla="*/ 0 h 67"/>
                <a:gd name="T14" fmla="*/ 73 w 73"/>
                <a:gd name="T15" fmla="*/ 2 h 67"/>
                <a:gd name="T16" fmla="*/ 25 w 73"/>
                <a:gd name="T17" fmla="*/ 50 h 67"/>
                <a:gd name="T18" fmla="*/ 6 w 73"/>
                <a:gd name="T19" fmla="*/ 50 h 67"/>
                <a:gd name="T20" fmla="*/ 6 w 73"/>
                <a:gd name="T21" fmla="*/ 63 h 67"/>
                <a:gd name="T22" fmla="*/ 4 w 73"/>
                <a:gd name="T23" fmla="*/ 64 h 67"/>
                <a:gd name="T24" fmla="*/ 0 w 73"/>
                <a:gd name="T25" fmla="*/ 67 h 67"/>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73"/>
                <a:gd name="T40" fmla="*/ 0 h 67"/>
                <a:gd name="T41" fmla="*/ 73 w 73"/>
                <a:gd name="T42" fmla="*/ 67 h 67"/>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73" h="67">
                  <a:moveTo>
                    <a:pt x="0" y="67"/>
                  </a:moveTo>
                  <a:lnTo>
                    <a:pt x="0" y="65"/>
                  </a:lnTo>
                  <a:lnTo>
                    <a:pt x="2" y="63"/>
                  </a:lnTo>
                  <a:lnTo>
                    <a:pt x="4" y="61"/>
                  </a:lnTo>
                  <a:lnTo>
                    <a:pt x="4" y="48"/>
                  </a:lnTo>
                  <a:lnTo>
                    <a:pt x="25" y="48"/>
                  </a:lnTo>
                  <a:lnTo>
                    <a:pt x="73" y="0"/>
                  </a:lnTo>
                  <a:lnTo>
                    <a:pt x="73" y="2"/>
                  </a:lnTo>
                  <a:lnTo>
                    <a:pt x="25" y="50"/>
                  </a:lnTo>
                  <a:lnTo>
                    <a:pt x="6" y="50"/>
                  </a:lnTo>
                  <a:lnTo>
                    <a:pt x="6" y="63"/>
                  </a:lnTo>
                  <a:lnTo>
                    <a:pt x="4" y="64"/>
                  </a:lnTo>
                  <a:lnTo>
                    <a:pt x="0" y="67"/>
                  </a:lnTo>
                  <a:close/>
                </a:path>
              </a:pathLst>
            </a:custGeom>
            <a:solidFill>
              <a:srgbClr val="00CCFF"/>
            </a:solidFill>
            <a:ln w="6350" cmpd="sng">
              <a:solidFill>
                <a:srgbClr val="000000"/>
              </a:solidFill>
              <a:round/>
              <a:headEnd/>
              <a:tailEnd/>
            </a:ln>
          </xdr:spPr>
        </xdr:sp>
        <xdr:grpSp>
          <xdr:nvGrpSpPr>
            <xdr:cNvPr id="405" name="Group 156"/>
            <xdr:cNvGrpSpPr>
              <a:grpSpLocks/>
            </xdr:cNvGrpSpPr>
          </xdr:nvGrpSpPr>
          <xdr:grpSpPr bwMode="auto">
            <a:xfrm>
              <a:off x="912" y="652"/>
              <a:ext cx="65" cy="47"/>
              <a:chOff x="112" y="627"/>
              <a:chExt cx="65" cy="47"/>
            </a:xfrm>
          </xdr:grpSpPr>
          <xdr:sp macro="" textlink="">
            <xdr:nvSpPr>
              <xdr:cNvPr id="412" name="Freeform 157"/>
              <xdr:cNvSpPr>
                <a:spLocks/>
              </xdr:cNvSpPr>
            </xdr:nvSpPr>
            <xdr:spPr bwMode="auto">
              <a:xfrm>
                <a:off x="112" y="627"/>
                <a:ext cx="65" cy="41"/>
              </a:xfrm>
              <a:custGeom>
                <a:avLst/>
                <a:gdLst>
                  <a:gd name="T0" fmla="*/ 24 w 65"/>
                  <a:gd name="T1" fmla="*/ 41 h 41"/>
                  <a:gd name="T2" fmla="*/ 0 w 65"/>
                  <a:gd name="T3" fmla="*/ 41 h 41"/>
                  <a:gd name="T4" fmla="*/ 41 w 65"/>
                  <a:gd name="T5" fmla="*/ 0 h 41"/>
                  <a:gd name="T6" fmla="*/ 65 w 65"/>
                  <a:gd name="T7" fmla="*/ 0 h 41"/>
                  <a:gd name="T8" fmla="*/ 24 w 65"/>
                  <a:gd name="T9" fmla="*/ 41 h 41"/>
                  <a:gd name="T10" fmla="*/ 0 60000 65536"/>
                  <a:gd name="T11" fmla="*/ 0 60000 65536"/>
                  <a:gd name="T12" fmla="*/ 0 60000 65536"/>
                  <a:gd name="T13" fmla="*/ 0 60000 65536"/>
                  <a:gd name="T14" fmla="*/ 0 60000 65536"/>
                  <a:gd name="T15" fmla="*/ 0 w 65"/>
                  <a:gd name="T16" fmla="*/ 0 h 41"/>
                  <a:gd name="T17" fmla="*/ 65 w 65"/>
                  <a:gd name="T18" fmla="*/ 41 h 41"/>
                </a:gdLst>
                <a:ahLst/>
                <a:cxnLst>
                  <a:cxn ang="T10">
                    <a:pos x="T0" y="T1"/>
                  </a:cxn>
                  <a:cxn ang="T11">
                    <a:pos x="T2" y="T3"/>
                  </a:cxn>
                  <a:cxn ang="T12">
                    <a:pos x="T4" y="T5"/>
                  </a:cxn>
                  <a:cxn ang="T13">
                    <a:pos x="T6" y="T7"/>
                  </a:cxn>
                  <a:cxn ang="T14">
                    <a:pos x="T8" y="T9"/>
                  </a:cxn>
                </a:cxnLst>
                <a:rect l="T15" t="T16" r="T17" b="T18"/>
                <a:pathLst>
                  <a:path w="65" h="41">
                    <a:moveTo>
                      <a:pt x="24" y="41"/>
                    </a:moveTo>
                    <a:lnTo>
                      <a:pt x="0" y="41"/>
                    </a:lnTo>
                    <a:lnTo>
                      <a:pt x="41" y="0"/>
                    </a:lnTo>
                    <a:lnTo>
                      <a:pt x="65" y="0"/>
                    </a:lnTo>
                    <a:lnTo>
                      <a:pt x="24" y="41"/>
                    </a:lnTo>
                    <a:close/>
                  </a:path>
                </a:pathLst>
              </a:custGeom>
              <a:gradFill rotWithShape="1">
                <a:gsLst>
                  <a:gs pos="0">
                    <a:srgbClr val="767676"/>
                  </a:gs>
                  <a:gs pos="50000">
                    <a:srgbClr val="FFFFFF"/>
                  </a:gs>
                  <a:gs pos="100000">
                    <a:srgbClr val="767676"/>
                  </a:gs>
                </a:gsLst>
                <a:lin ang="18900000" scaled="1"/>
              </a:gradFill>
              <a:ln w="9525">
                <a:solidFill>
                  <a:srgbClr val="000000"/>
                </a:solidFill>
                <a:round/>
                <a:headEnd/>
                <a:tailEnd/>
              </a:ln>
            </xdr:spPr>
          </xdr:sp>
          <xdr:sp macro="" textlink="">
            <xdr:nvSpPr>
              <xdr:cNvPr id="413" name="Freeform 158"/>
              <xdr:cNvSpPr>
                <a:spLocks/>
              </xdr:cNvSpPr>
            </xdr:nvSpPr>
            <xdr:spPr bwMode="auto">
              <a:xfrm>
                <a:off x="112" y="627"/>
                <a:ext cx="65" cy="47"/>
              </a:xfrm>
              <a:custGeom>
                <a:avLst/>
                <a:gdLst>
                  <a:gd name="T0" fmla="*/ 0 w 65"/>
                  <a:gd name="T1" fmla="*/ 41 h 47"/>
                  <a:gd name="T2" fmla="*/ 0 w 65"/>
                  <a:gd name="T3" fmla="*/ 47 h 47"/>
                  <a:gd name="T4" fmla="*/ 3 w 65"/>
                  <a:gd name="T5" fmla="*/ 44 h 47"/>
                  <a:gd name="T6" fmla="*/ 24 w 65"/>
                  <a:gd name="T7" fmla="*/ 44 h 47"/>
                  <a:gd name="T8" fmla="*/ 65 w 65"/>
                  <a:gd name="T9" fmla="*/ 3 h 47"/>
                  <a:gd name="T10" fmla="*/ 65 w 65"/>
                  <a:gd name="T11" fmla="*/ 0 h 47"/>
                  <a:gd name="T12" fmla="*/ 24 w 65"/>
                  <a:gd name="T13" fmla="*/ 41 h 47"/>
                  <a:gd name="T14" fmla="*/ 0 w 65"/>
                  <a:gd name="T15" fmla="*/ 41 h 47"/>
                  <a:gd name="T16" fmla="*/ 0 60000 65536"/>
                  <a:gd name="T17" fmla="*/ 0 60000 65536"/>
                  <a:gd name="T18" fmla="*/ 0 60000 65536"/>
                  <a:gd name="T19" fmla="*/ 0 60000 65536"/>
                  <a:gd name="T20" fmla="*/ 0 60000 65536"/>
                  <a:gd name="T21" fmla="*/ 0 60000 65536"/>
                  <a:gd name="T22" fmla="*/ 0 60000 65536"/>
                  <a:gd name="T23" fmla="*/ 0 60000 65536"/>
                  <a:gd name="T24" fmla="*/ 0 w 65"/>
                  <a:gd name="T25" fmla="*/ 0 h 47"/>
                  <a:gd name="T26" fmla="*/ 65 w 65"/>
                  <a:gd name="T27" fmla="*/ 47 h 47"/>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65" h="47">
                    <a:moveTo>
                      <a:pt x="0" y="41"/>
                    </a:moveTo>
                    <a:lnTo>
                      <a:pt x="0" y="47"/>
                    </a:lnTo>
                    <a:lnTo>
                      <a:pt x="3" y="44"/>
                    </a:lnTo>
                    <a:lnTo>
                      <a:pt x="24" y="44"/>
                    </a:lnTo>
                    <a:lnTo>
                      <a:pt x="65" y="3"/>
                    </a:lnTo>
                    <a:lnTo>
                      <a:pt x="65" y="0"/>
                    </a:lnTo>
                    <a:lnTo>
                      <a:pt x="24" y="41"/>
                    </a:lnTo>
                    <a:lnTo>
                      <a:pt x="0" y="41"/>
                    </a:lnTo>
                    <a:close/>
                  </a:path>
                </a:pathLst>
              </a:custGeom>
              <a:solidFill>
                <a:srgbClr val="808080"/>
              </a:solidFill>
              <a:ln w="6350" cmpd="sng">
                <a:solidFill>
                  <a:srgbClr val="000000"/>
                </a:solidFill>
                <a:round/>
                <a:headEnd/>
                <a:tailEnd/>
              </a:ln>
            </xdr:spPr>
          </xdr:sp>
        </xdr:grpSp>
        <xdr:sp macro="" textlink="">
          <xdr:nvSpPr>
            <xdr:cNvPr id="406" name="Line 159"/>
            <xdr:cNvSpPr>
              <a:spLocks noChangeShapeType="1"/>
            </xdr:cNvSpPr>
          </xdr:nvSpPr>
          <xdr:spPr bwMode="auto">
            <a:xfrm>
              <a:off x="936" y="693"/>
              <a:ext cx="0" cy="3"/>
            </a:xfrm>
            <a:prstGeom prst="line">
              <a:avLst/>
            </a:prstGeom>
            <a:noFill/>
            <a:ln w="9525">
              <a:solidFill>
                <a:srgbClr val="000000"/>
              </a:solidFill>
              <a:round/>
              <a:headEnd/>
              <a:tailEnd/>
            </a:ln>
          </xdr:spPr>
        </xdr:sp>
        <xdr:sp macro="" textlink="">
          <xdr:nvSpPr>
            <xdr:cNvPr id="407" name="Line 160"/>
            <xdr:cNvSpPr>
              <a:spLocks noChangeShapeType="1"/>
            </xdr:cNvSpPr>
          </xdr:nvSpPr>
          <xdr:spPr bwMode="auto">
            <a:xfrm flipV="1">
              <a:off x="913" y="711"/>
              <a:ext cx="11" cy="11"/>
            </a:xfrm>
            <a:prstGeom prst="line">
              <a:avLst/>
            </a:prstGeom>
            <a:noFill/>
            <a:ln w="19050">
              <a:solidFill>
                <a:srgbClr val="A6CAF0"/>
              </a:solidFill>
              <a:round/>
              <a:headEnd/>
              <a:tailEnd/>
            </a:ln>
          </xdr:spPr>
        </xdr:sp>
        <xdr:sp macro="" textlink="">
          <xdr:nvSpPr>
            <xdr:cNvPr id="408" name="Line 161"/>
            <xdr:cNvSpPr>
              <a:spLocks noChangeShapeType="1"/>
            </xdr:cNvSpPr>
          </xdr:nvSpPr>
          <xdr:spPr bwMode="auto">
            <a:xfrm flipV="1">
              <a:off x="909" y="707"/>
              <a:ext cx="12" cy="13"/>
            </a:xfrm>
            <a:prstGeom prst="line">
              <a:avLst/>
            </a:prstGeom>
            <a:noFill/>
            <a:ln w="19050">
              <a:solidFill>
                <a:srgbClr val="A6CAF0"/>
              </a:solidFill>
              <a:round/>
              <a:headEnd/>
              <a:tailEnd/>
            </a:ln>
          </xdr:spPr>
        </xdr:sp>
        <xdr:sp macro="" textlink="">
          <xdr:nvSpPr>
            <xdr:cNvPr id="409" name="Freeform 162"/>
            <xdr:cNvSpPr>
              <a:spLocks/>
            </xdr:cNvSpPr>
          </xdr:nvSpPr>
          <xdr:spPr bwMode="auto">
            <a:xfrm>
              <a:off x="909" y="658"/>
              <a:ext cx="67" cy="177"/>
            </a:xfrm>
            <a:custGeom>
              <a:avLst/>
              <a:gdLst>
                <a:gd name="T0" fmla="*/ 67 w 67"/>
                <a:gd name="T1" fmla="*/ 0 h 177"/>
                <a:gd name="T2" fmla="*/ 67 w 67"/>
                <a:gd name="T3" fmla="*/ 2 h 177"/>
                <a:gd name="T4" fmla="*/ 19 w 67"/>
                <a:gd name="T5" fmla="*/ 50 h 177"/>
                <a:gd name="T6" fmla="*/ 2 w 67"/>
                <a:gd name="T7" fmla="*/ 50 h 177"/>
                <a:gd name="T8" fmla="*/ 2 w 67"/>
                <a:gd name="T9" fmla="*/ 60 h 177"/>
                <a:gd name="T10" fmla="*/ 3 w 67"/>
                <a:gd name="T11" fmla="*/ 62 h 177"/>
                <a:gd name="T12" fmla="*/ 4 w 67"/>
                <a:gd name="T13" fmla="*/ 64 h 177"/>
                <a:gd name="T14" fmla="*/ 5 w 67"/>
                <a:gd name="T15" fmla="*/ 177 h 177"/>
                <a:gd name="T16" fmla="*/ 3 w 67"/>
                <a:gd name="T17" fmla="*/ 175 h 177"/>
                <a:gd name="T18" fmla="*/ 2 w 67"/>
                <a:gd name="T19" fmla="*/ 66 h 177"/>
                <a:gd name="T20" fmla="*/ 1 w 67"/>
                <a:gd name="T21" fmla="*/ 63 h 177"/>
                <a:gd name="T22" fmla="*/ 0 w 67"/>
                <a:gd name="T23" fmla="*/ 61 h 177"/>
                <a:gd name="T24" fmla="*/ 0 w 67"/>
                <a:gd name="T25" fmla="*/ 48 h 177"/>
                <a:gd name="T26" fmla="*/ 19 w 67"/>
                <a:gd name="T27" fmla="*/ 48 h 177"/>
                <a:gd name="T28" fmla="*/ 67 w 67"/>
                <a:gd name="T29" fmla="*/ 0 h 177"/>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67"/>
                <a:gd name="T46" fmla="*/ 0 h 177"/>
                <a:gd name="T47" fmla="*/ 67 w 67"/>
                <a:gd name="T48" fmla="*/ 177 h 177"/>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67" h="177">
                  <a:moveTo>
                    <a:pt x="67" y="0"/>
                  </a:moveTo>
                  <a:lnTo>
                    <a:pt x="67" y="2"/>
                  </a:lnTo>
                  <a:lnTo>
                    <a:pt x="19" y="50"/>
                  </a:lnTo>
                  <a:lnTo>
                    <a:pt x="2" y="50"/>
                  </a:lnTo>
                  <a:lnTo>
                    <a:pt x="2" y="60"/>
                  </a:lnTo>
                  <a:lnTo>
                    <a:pt x="3" y="62"/>
                  </a:lnTo>
                  <a:lnTo>
                    <a:pt x="4" y="64"/>
                  </a:lnTo>
                  <a:lnTo>
                    <a:pt x="5" y="177"/>
                  </a:lnTo>
                  <a:lnTo>
                    <a:pt x="3" y="175"/>
                  </a:lnTo>
                  <a:lnTo>
                    <a:pt x="2" y="66"/>
                  </a:lnTo>
                  <a:lnTo>
                    <a:pt x="1" y="63"/>
                  </a:lnTo>
                  <a:lnTo>
                    <a:pt x="0" y="61"/>
                  </a:lnTo>
                  <a:lnTo>
                    <a:pt x="0" y="48"/>
                  </a:lnTo>
                  <a:lnTo>
                    <a:pt x="19" y="48"/>
                  </a:lnTo>
                  <a:lnTo>
                    <a:pt x="67" y="0"/>
                  </a:lnTo>
                  <a:close/>
                </a:path>
              </a:pathLst>
            </a:custGeom>
            <a:solidFill>
              <a:srgbClr val="00CCFF"/>
            </a:solidFill>
            <a:ln w="6350" cmpd="sng">
              <a:solidFill>
                <a:srgbClr val="000000"/>
              </a:solidFill>
              <a:round/>
              <a:headEnd/>
              <a:tailEnd/>
            </a:ln>
          </xdr:spPr>
        </xdr:sp>
        <xdr:sp macro="" textlink="">
          <xdr:nvSpPr>
            <xdr:cNvPr id="410" name="Line 163"/>
            <xdr:cNvSpPr>
              <a:spLocks noChangeShapeType="1"/>
            </xdr:cNvSpPr>
          </xdr:nvSpPr>
          <xdr:spPr bwMode="auto">
            <a:xfrm>
              <a:off x="960" y="706"/>
              <a:ext cx="0" cy="0"/>
            </a:xfrm>
            <a:prstGeom prst="line">
              <a:avLst/>
            </a:prstGeom>
            <a:noFill/>
            <a:ln w="9525">
              <a:solidFill>
                <a:srgbClr val="000000"/>
              </a:solidFill>
              <a:round/>
              <a:headEnd/>
              <a:tailEnd/>
            </a:ln>
          </xdr:spPr>
        </xdr:sp>
        <xdr:sp macro="" textlink="">
          <xdr:nvSpPr>
            <xdr:cNvPr id="411" name="Freeform 164"/>
            <xdr:cNvSpPr>
              <a:spLocks/>
            </xdr:cNvSpPr>
          </xdr:nvSpPr>
          <xdr:spPr bwMode="auto">
            <a:xfrm>
              <a:off x="889" y="719"/>
              <a:ext cx="29" cy="19"/>
            </a:xfrm>
            <a:custGeom>
              <a:avLst/>
              <a:gdLst>
                <a:gd name="T0" fmla="*/ 29 w 29"/>
                <a:gd name="T1" fmla="*/ 16 h 19"/>
                <a:gd name="T2" fmla="*/ 25 w 29"/>
                <a:gd name="T3" fmla="*/ 19 h 19"/>
                <a:gd name="T4" fmla="*/ 0 w 29"/>
                <a:gd name="T5" fmla="*/ 19 h 19"/>
                <a:gd name="T6" fmla="*/ 19 w 29"/>
                <a:gd name="T7" fmla="*/ 0 h 19"/>
                <a:gd name="T8" fmla="*/ 21 w 29"/>
                <a:gd name="T9" fmla="*/ 2 h 19"/>
                <a:gd name="T10" fmla="*/ 21 w 29"/>
                <a:gd name="T11" fmla="*/ 4 h 19"/>
                <a:gd name="T12" fmla="*/ 8 w 29"/>
                <a:gd name="T13" fmla="*/ 16 h 19"/>
                <a:gd name="T14" fmla="*/ 29 w 29"/>
                <a:gd name="T15" fmla="*/ 16 h 19"/>
                <a:gd name="T16" fmla="*/ 0 60000 65536"/>
                <a:gd name="T17" fmla="*/ 0 60000 65536"/>
                <a:gd name="T18" fmla="*/ 0 60000 65536"/>
                <a:gd name="T19" fmla="*/ 0 60000 65536"/>
                <a:gd name="T20" fmla="*/ 0 60000 65536"/>
                <a:gd name="T21" fmla="*/ 0 60000 65536"/>
                <a:gd name="T22" fmla="*/ 0 60000 65536"/>
                <a:gd name="T23" fmla="*/ 0 60000 65536"/>
                <a:gd name="T24" fmla="*/ 0 w 29"/>
                <a:gd name="T25" fmla="*/ 0 h 19"/>
                <a:gd name="T26" fmla="*/ 29 w 29"/>
                <a:gd name="T27" fmla="*/ 19 h 19"/>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29" h="19">
                  <a:moveTo>
                    <a:pt x="29" y="16"/>
                  </a:moveTo>
                  <a:lnTo>
                    <a:pt x="25" y="19"/>
                  </a:lnTo>
                  <a:lnTo>
                    <a:pt x="0" y="19"/>
                  </a:lnTo>
                  <a:lnTo>
                    <a:pt x="19" y="0"/>
                  </a:lnTo>
                  <a:lnTo>
                    <a:pt x="21" y="2"/>
                  </a:lnTo>
                  <a:lnTo>
                    <a:pt x="21" y="4"/>
                  </a:lnTo>
                  <a:lnTo>
                    <a:pt x="8" y="16"/>
                  </a:lnTo>
                  <a:lnTo>
                    <a:pt x="29" y="16"/>
                  </a:lnTo>
                  <a:close/>
                </a:path>
              </a:pathLst>
            </a:custGeom>
            <a:solidFill>
              <a:srgbClr val="C0C0C0"/>
            </a:solidFill>
            <a:ln w="9525">
              <a:solidFill>
                <a:srgbClr val="000000"/>
              </a:solidFill>
              <a:round/>
              <a:headEnd/>
              <a:tailEnd/>
            </a:ln>
          </xdr:spPr>
        </xdr:sp>
      </xdr:grpSp>
      <xdr:grpSp>
        <xdr:nvGrpSpPr>
          <xdr:cNvPr id="243" name="Group 165"/>
          <xdr:cNvGrpSpPr>
            <a:grpSpLocks/>
          </xdr:cNvGrpSpPr>
        </xdr:nvGrpSpPr>
        <xdr:grpSpPr bwMode="auto">
          <a:xfrm>
            <a:off x="4591050" y="2095500"/>
            <a:ext cx="1333500" cy="2352675"/>
            <a:chOff x="837" y="652"/>
            <a:chExt cx="140" cy="247"/>
          </a:xfrm>
        </xdr:grpSpPr>
        <xdr:sp macro="" textlink="">
          <xdr:nvSpPr>
            <xdr:cNvPr id="334" name="Freeform 166"/>
            <xdr:cNvSpPr>
              <a:spLocks/>
            </xdr:cNvSpPr>
          </xdr:nvSpPr>
          <xdr:spPr bwMode="auto">
            <a:xfrm>
              <a:off x="880" y="662"/>
              <a:ext cx="62" cy="42"/>
            </a:xfrm>
            <a:custGeom>
              <a:avLst/>
              <a:gdLst>
                <a:gd name="T0" fmla="*/ 0 w 62"/>
                <a:gd name="T1" fmla="*/ 42 h 42"/>
                <a:gd name="T2" fmla="*/ 42 w 62"/>
                <a:gd name="T3" fmla="*/ 0 h 42"/>
                <a:gd name="T4" fmla="*/ 62 w 62"/>
                <a:gd name="T5" fmla="*/ 0 h 42"/>
                <a:gd name="T6" fmla="*/ 23 w 62"/>
                <a:gd name="T7" fmla="*/ 42 h 42"/>
                <a:gd name="T8" fmla="*/ 0 w 62"/>
                <a:gd name="T9" fmla="*/ 42 h 42"/>
                <a:gd name="T10" fmla="*/ 0 60000 65536"/>
                <a:gd name="T11" fmla="*/ 0 60000 65536"/>
                <a:gd name="T12" fmla="*/ 0 60000 65536"/>
                <a:gd name="T13" fmla="*/ 0 60000 65536"/>
                <a:gd name="T14" fmla="*/ 0 60000 65536"/>
                <a:gd name="T15" fmla="*/ 0 w 62"/>
                <a:gd name="T16" fmla="*/ 0 h 42"/>
                <a:gd name="T17" fmla="*/ 62 w 62"/>
                <a:gd name="T18" fmla="*/ 42 h 42"/>
              </a:gdLst>
              <a:ahLst/>
              <a:cxnLst>
                <a:cxn ang="T10">
                  <a:pos x="T0" y="T1"/>
                </a:cxn>
                <a:cxn ang="T11">
                  <a:pos x="T2" y="T3"/>
                </a:cxn>
                <a:cxn ang="T12">
                  <a:pos x="T4" y="T5"/>
                </a:cxn>
                <a:cxn ang="T13">
                  <a:pos x="T6" y="T7"/>
                </a:cxn>
                <a:cxn ang="T14">
                  <a:pos x="T8" y="T9"/>
                </a:cxn>
              </a:cxnLst>
              <a:rect l="T15" t="T16" r="T17" b="T18"/>
              <a:pathLst>
                <a:path w="62" h="42">
                  <a:moveTo>
                    <a:pt x="0" y="42"/>
                  </a:moveTo>
                  <a:lnTo>
                    <a:pt x="42" y="0"/>
                  </a:lnTo>
                  <a:lnTo>
                    <a:pt x="62" y="0"/>
                  </a:lnTo>
                  <a:lnTo>
                    <a:pt x="23" y="42"/>
                  </a:lnTo>
                  <a:lnTo>
                    <a:pt x="0" y="42"/>
                  </a:lnTo>
                  <a:close/>
                </a:path>
              </a:pathLst>
            </a:custGeom>
            <a:gradFill rotWithShape="1">
              <a:gsLst>
                <a:gs pos="0">
                  <a:srgbClr val="69FFFF"/>
                </a:gs>
                <a:gs pos="100000">
                  <a:srgbClr val="CCFFCC"/>
                </a:gs>
              </a:gsLst>
              <a:lin ang="0" scaled="1"/>
            </a:gradFill>
            <a:ln w="9525">
              <a:solidFill>
                <a:srgbClr val="000000"/>
              </a:solidFill>
              <a:round/>
              <a:headEnd/>
              <a:tailEnd/>
            </a:ln>
          </xdr:spPr>
        </xdr:sp>
        <xdr:sp macro="" textlink="">
          <xdr:nvSpPr>
            <xdr:cNvPr id="335" name="Rectangle 167"/>
            <xdr:cNvSpPr>
              <a:spLocks noChangeArrowheads="1"/>
            </xdr:cNvSpPr>
          </xdr:nvSpPr>
          <xdr:spPr bwMode="auto">
            <a:xfrm>
              <a:off x="837" y="741"/>
              <a:ext cx="27" cy="151"/>
            </a:xfrm>
            <a:prstGeom prst="rect">
              <a:avLst/>
            </a:prstGeom>
            <a:gradFill rotWithShape="1">
              <a:gsLst>
                <a:gs pos="0">
                  <a:srgbClr val="FFFFFF"/>
                </a:gs>
                <a:gs pos="100000">
                  <a:srgbClr val="767676"/>
                </a:gs>
              </a:gsLst>
              <a:lin ang="2700000" scaled="1"/>
            </a:gradFill>
            <a:ln w="9525">
              <a:solidFill>
                <a:srgbClr val="000000"/>
              </a:solidFill>
              <a:miter lim="800000"/>
              <a:headEnd/>
              <a:tailEnd/>
            </a:ln>
          </xdr:spPr>
        </xdr:sp>
        <xdr:sp macro="" textlink="">
          <xdr:nvSpPr>
            <xdr:cNvPr id="336" name="Freeform 168"/>
            <xdr:cNvSpPr>
              <a:spLocks/>
            </xdr:cNvSpPr>
          </xdr:nvSpPr>
          <xdr:spPr bwMode="auto">
            <a:xfrm>
              <a:off x="864" y="720"/>
              <a:ext cx="21" cy="177"/>
            </a:xfrm>
            <a:custGeom>
              <a:avLst/>
              <a:gdLst>
                <a:gd name="T0" fmla="*/ 0 w 21"/>
                <a:gd name="T1" fmla="*/ 20 h 177"/>
                <a:gd name="T2" fmla="*/ 21 w 21"/>
                <a:gd name="T3" fmla="*/ 0 h 177"/>
                <a:gd name="T4" fmla="*/ 21 w 21"/>
                <a:gd name="T5" fmla="*/ 176 h 177"/>
                <a:gd name="T6" fmla="*/ 0 w 21"/>
                <a:gd name="T7" fmla="*/ 177 h 177"/>
                <a:gd name="T8" fmla="*/ 0 w 21"/>
                <a:gd name="T9" fmla="*/ 20 h 177"/>
                <a:gd name="T10" fmla="*/ 0 60000 65536"/>
                <a:gd name="T11" fmla="*/ 0 60000 65536"/>
                <a:gd name="T12" fmla="*/ 0 60000 65536"/>
                <a:gd name="T13" fmla="*/ 0 60000 65536"/>
                <a:gd name="T14" fmla="*/ 0 60000 65536"/>
                <a:gd name="T15" fmla="*/ 0 w 21"/>
                <a:gd name="T16" fmla="*/ 0 h 177"/>
                <a:gd name="T17" fmla="*/ 21 w 21"/>
                <a:gd name="T18" fmla="*/ 177 h 177"/>
              </a:gdLst>
              <a:ahLst/>
              <a:cxnLst>
                <a:cxn ang="T10">
                  <a:pos x="T0" y="T1"/>
                </a:cxn>
                <a:cxn ang="T11">
                  <a:pos x="T2" y="T3"/>
                </a:cxn>
                <a:cxn ang="T12">
                  <a:pos x="T4" y="T5"/>
                </a:cxn>
                <a:cxn ang="T13">
                  <a:pos x="T6" y="T7"/>
                </a:cxn>
                <a:cxn ang="T14">
                  <a:pos x="T8" y="T9"/>
                </a:cxn>
              </a:cxnLst>
              <a:rect l="T15" t="T16" r="T17" b="T18"/>
              <a:pathLst>
                <a:path w="21" h="177">
                  <a:moveTo>
                    <a:pt x="0" y="20"/>
                  </a:moveTo>
                  <a:lnTo>
                    <a:pt x="21" y="0"/>
                  </a:lnTo>
                  <a:lnTo>
                    <a:pt x="21" y="176"/>
                  </a:lnTo>
                  <a:lnTo>
                    <a:pt x="0" y="177"/>
                  </a:lnTo>
                  <a:lnTo>
                    <a:pt x="0" y="20"/>
                  </a:lnTo>
                  <a:close/>
                </a:path>
              </a:pathLst>
            </a:custGeom>
            <a:gradFill rotWithShape="1">
              <a:gsLst>
                <a:gs pos="0">
                  <a:srgbClr val="767676"/>
                </a:gs>
                <a:gs pos="50000">
                  <a:srgbClr val="FFFFFF"/>
                </a:gs>
                <a:gs pos="100000">
                  <a:srgbClr val="767676"/>
                </a:gs>
              </a:gsLst>
              <a:lin ang="0" scaled="1"/>
            </a:gradFill>
            <a:ln w="9525">
              <a:solidFill>
                <a:srgbClr val="000000"/>
              </a:solidFill>
              <a:round/>
              <a:headEnd/>
              <a:tailEnd/>
            </a:ln>
          </xdr:spPr>
        </xdr:sp>
        <xdr:sp macro="" textlink="">
          <xdr:nvSpPr>
            <xdr:cNvPr id="337" name="Line 169"/>
            <xdr:cNvSpPr>
              <a:spLocks noChangeShapeType="1"/>
            </xdr:cNvSpPr>
          </xdr:nvSpPr>
          <xdr:spPr bwMode="auto">
            <a:xfrm flipV="1">
              <a:off x="885" y="707"/>
              <a:ext cx="13" cy="13"/>
            </a:xfrm>
            <a:prstGeom prst="line">
              <a:avLst/>
            </a:prstGeom>
            <a:noFill/>
            <a:ln w="28575">
              <a:solidFill>
                <a:srgbClr val="A6CAF0"/>
              </a:solidFill>
              <a:round/>
              <a:headEnd/>
              <a:tailEnd/>
            </a:ln>
          </xdr:spPr>
        </xdr:sp>
        <xdr:sp macro="" textlink="">
          <xdr:nvSpPr>
            <xdr:cNvPr id="338" name="Freeform 170"/>
            <xdr:cNvSpPr>
              <a:spLocks/>
            </xdr:cNvSpPr>
          </xdr:nvSpPr>
          <xdr:spPr bwMode="auto">
            <a:xfrm>
              <a:off x="896" y="697"/>
              <a:ext cx="27" cy="202"/>
            </a:xfrm>
            <a:custGeom>
              <a:avLst/>
              <a:gdLst>
                <a:gd name="T0" fmla="*/ 0 w 27"/>
                <a:gd name="T1" fmla="*/ 9 h 202"/>
                <a:gd name="T2" fmla="*/ 0 w 27"/>
                <a:gd name="T3" fmla="*/ 201 h 202"/>
                <a:gd name="T4" fmla="*/ 0 w 27"/>
                <a:gd name="T5" fmla="*/ 202 h 202"/>
                <a:gd name="T6" fmla="*/ 22 w 27"/>
                <a:gd name="T7" fmla="*/ 202 h 202"/>
                <a:gd name="T8" fmla="*/ 27 w 27"/>
                <a:gd name="T9" fmla="*/ 0 h 202"/>
                <a:gd name="T10" fmla="*/ 14 w 27"/>
                <a:gd name="T11" fmla="*/ 1 h 202"/>
                <a:gd name="T12" fmla="*/ 0 60000 65536"/>
                <a:gd name="T13" fmla="*/ 0 60000 65536"/>
                <a:gd name="T14" fmla="*/ 0 60000 65536"/>
                <a:gd name="T15" fmla="*/ 0 60000 65536"/>
                <a:gd name="T16" fmla="*/ 0 60000 65536"/>
                <a:gd name="T17" fmla="*/ 0 60000 65536"/>
                <a:gd name="T18" fmla="*/ 0 w 27"/>
                <a:gd name="T19" fmla="*/ 0 h 202"/>
                <a:gd name="T20" fmla="*/ 27 w 27"/>
                <a:gd name="T21" fmla="*/ 202 h 202"/>
              </a:gdLst>
              <a:ahLst/>
              <a:cxnLst>
                <a:cxn ang="T12">
                  <a:pos x="T0" y="T1"/>
                </a:cxn>
                <a:cxn ang="T13">
                  <a:pos x="T2" y="T3"/>
                </a:cxn>
                <a:cxn ang="T14">
                  <a:pos x="T4" y="T5"/>
                </a:cxn>
                <a:cxn ang="T15">
                  <a:pos x="T6" y="T7"/>
                </a:cxn>
                <a:cxn ang="T16">
                  <a:pos x="T8" y="T9"/>
                </a:cxn>
                <a:cxn ang="T17">
                  <a:pos x="T10" y="T11"/>
                </a:cxn>
              </a:cxnLst>
              <a:rect l="T18" t="T19" r="T20" b="T21"/>
              <a:pathLst>
                <a:path w="27" h="202">
                  <a:moveTo>
                    <a:pt x="0" y="9"/>
                  </a:moveTo>
                  <a:lnTo>
                    <a:pt x="0" y="201"/>
                  </a:lnTo>
                  <a:lnTo>
                    <a:pt x="0" y="202"/>
                  </a:lnTo>
                  <a:lnTo>
                    <a:pt x="22" y="202"/>
                  </a:lnTo>
                  <a:lnTo>
                    <a:pt x="27" y="0"/>
                  </a:lnTo>
                  <a:lnTo>
                    <a:pt x="14" y="1"/>
                  </a:lnTo>
                </a:path>
              </a:pathLst>
            </a:custGeom>
            <a:solidFill>
              <a:srgbClr val="336666"/>
            </a:solidFill>
            <a:ln w="9525">
              <a:noFill/>
              <a:round/>
              <a:headEnd/>
              <a:tailEnd/>
            </a:ln>
          </xdr:spPr>
        </xdr:sp>
        <xdr:sp macro="" textlink="">
          <xdr:nvSpPr>
            <xdr:cNvPr id="339" name="Freeform 171"/>
            <xdr:cNvSpPr>
              <a:spLocks/>
            </xdr:cNvSpPr>
          </xdr:nvSpPr>
          <xdr:spPr bwMode="auto">
            <a:xfrm>
              <a:off x="884" y="707"/>
              <a:ext cx="13" cy="156"/>
            </a:xfrm>
            <a:custGeom>
              <a:avLst/>
              <a:gdLst>
                <a:gd name="T0" fmla="*/ 0 w 13"/>
                <a:gd name="T1" fmla="*/ 0 h 155"/>
                <a:gd name="T2" fmla="*/ 13 w 13"/>
                <a:gd name="T3" fmla="*/ 0 h 155"/>
                <a:gd name="T4" fmla="*/ 13 w 13"/>
                <a:gd name="T5" fmla="*/ 172 h 155"/>
                <a:gd name="T6" fmla="*/ 1 w 13"/>
                <a:gd name="T7" fmla="*/ 178 h 155"/>
                <a:gd name="T8" fmla="*/ 0 w 13"/>
                <a:gd name="T9" fmla="*/ 0 h 155"/>
                <a:gd name="T10" fmla="*/ 0 60000 65536"/>
                <a:gd name="T11" fmla="*/ 0 60000 65536"/>
                <a:gd name="T12" fmla="*/ 0 60000 65536"/>
                <a:gd name="T13" fmla="*/ 0 60000 65536"/>
                <a:gd name="T14" fmla="*/ 0 60000 65536"/>
                <a:gd name="T15" fmla="*/ 0 w 13"/>
                <a:gd name="T16" fmla="*/ 0 h 155"/>
                <a:gd name="T17" fmla="*/ 13 w 13"/>
                <a:gd name="T18" fmla="*/ 155 h 155"/>
              </a:gdLst>
              <a:ahLst/>
              <a:cxnLst>
                <a:cxn ang="T10">
                  <a:pos x="T0" y="T1"/>
                </a:cxn>
                <a:cxn ang="T11">
                  <a:pos x="T2" y="T3"/>
                </a:cxn>
                <a:cxn ang="T12">
                  <a:pos x="T4" y="T5"/>
                </a:cxn>
                <a:cxn ang="T13">
                  <a:pos x="T6" y="T7"/>
                </a:cxn>
                <a:cxn ang="T14">
                  <a:pos x="T8" y="T9"/>
                </a:cxn>
              </a:cxnLst>
              <a:rect l="T15" t="T16" r="T17" b="T18"/>
              <a:pathLst>
                <a:path w="13" h="155">
                  <a:moveTo>
                    <a:pt x="0" y="0"/>
                  </a:moveTo>
                  <a:lnTo>
                    <a:pt x="13" y="0"/>
                  </a:lnTo>
                  <a:lnTo>
                    <a:pt x="13" y="149"/>
                  </a:lnTo>
                  <a:lnTo>
                    <a:pt x="1" y="155"/>
                  </a:lnTo>
                  <a:lnTo>
                    <a:pt x="0" y="0"/>
                  </a:lnTo>
                  <a:close/>
                </a:path>
              </a:pathLst>
            </a:custGeom>
            <a:solidFill>
              <a:srgbClr val="99FF99"/>
            </a:solidFill>
            <a:ln w="9525">
              <a:noFill/>
              <a:round/>
              <a:headEnd/>
              <a:tailEnd/>
            </a:ln>
          </xdr:spPr>
        </xdr:sp>
        <xdr:sp macro="" textlink="">
          <xdr:nvSpPr>
            <xdr:cNvPr id="340" name="Line 172"/>
            <xdr:cNvSpPr>
              <a:spLocks noChangeShapeType="1"/>
            </xdr:cNvSpPr>
          </xdr:nvSpPr>
          <xdr:spPr bwMode="auto">
            <a:xfrm>
              <a:off x="910" y="705"/>
              <a:ext cx="0" cy="187"/>
            </a:xfrm>
            <a:prstGeom prst="line">
              <a:avLst/>
            </a:prstGeom>
            <a:noFill/>
            <a:ln w="28575">
              <a:solidFill>
                <a:srgbClr val="A6CAF0"/>
              </a:solidFill>
              <a:round/>
              <a:headEnd/>
              <a:tailEnd/>
            </a:ln>
          </xdr:spPr>
        </xdr:sp>
        <xdr:sp macro="" textlink="">
          <xdr:nvSpPr>
            <xdr:cNvPr id="341" name="Line 173"/>
            <xdr:cNvSpPr>
              <a:spLocks noChangeShapeType="1"/>
            </xdr:cNvSpPr>
          </xdr:nvSpPr>
          <xdr:spPr bwMode="auto">
            <a:xfrm>
              <a:off x="897" y="707"/>
              <a:ext cx="1" cy="152"/>
            </a:xfrm>
            <a:prstGeom prst="line">
              <a:avLst/>
            </a:prstGeom>
            <a:noFill/>
            <a:ln w="19050">
              <a:solidFill>
                <a:srgbClr val="A6CAF0"/>
              </a:solidFill>
              <a:round/>
              <a:headEnd/>
              <a:tailEnd/>
            </a:ln>
          </xdr:spPr>
        </xdr:sp>
        <xdr:sp macro="" textlink="">
          <xdr:nvSpPr>
            <xdr:cNvPr id="342" name="Line 174"/>
            <xdr:cNvSpPr>
              <a:spLocks noChangeShapeType="1"/>
            </xdr:cNvSpPr>
          </xdr:nvSpPr>
          <xdr:spPr bwMode="auto">
            <a:xfrm>
              <a:off x="885" y="721"/>
              <a:ext cx="1" cy="152"/>
            </a:xfrm>
            <a:prstGeom prst="line">
              <a:avLst/>
            </a:prstGeom>
            <a:noFill/>
            <a:ln w="19050">
              <a:solidFill>
                <a:srgbClr val="00CCFF"/>
              </a:solidFill>
              <a:round/>
              <a:headEnd/>
              <a:tailEnd/>
            </a:ln>
          </xdr:spPr>
        </xdr:sp>
        <xdr:sp macro="" textlink="">
          <xdr:nvSpPr>
            <xdr:cNvPr id="343" name="Freeform 175"/>
            <xdr:cNvSpPr>
              <a:spLocks/>
            </xdr:cNvSpPr>
          </xdr:nvSpPr>
          <xdr:spPr bwMode="auto">
            <a:xfrm>
              <a:off x="883" y="707"/>
              <a:ext cx="2" cy="15"/>
            </a:xfrm>
            <a:custGeom>
              <a:avLst/>
              <a:gdLst>
                <a:gd name="T0" fmla="*/ 2 w 2"/>
                <a:gd name="T1" fmla="*/ 15 h 15"/>
                <a:gd name="T2" fmla="*/ 0 w 2"/>
                <a:gd name="T3" fmla="*/ 11 h 15"/>
                <a:gd name="T4" fmla="*/ 0 w 2"/>
                <a:gd name="T5" fmla="*/ 0 h 15"/>
                <a:gd name="T6" fmla="*/ 0 60000 65536"/>
                <a:gd name="T7" fmla="*/ 0 60000 65536"/>
                <a:gd name="T8" fmla="*/ 0 60000 65536"/>
                <a:gd name="T9" fmla="*/ 0 w 2"/>
                <a:gd name="T10" fmla="*/ 0 h 15"/>
                <a:gd name="T11" fmla="*/ 2 w 2"/>
                <a:gd name="T12" fmla="*/ 15 h 15"/>
              </a:gdLst>
              <a:ahLst/>
              <a:cxnLst>
                <a:cxn ang="T6">
                  <a:pos x="T0" y="T1"/>
                </a:cxn>
                <a:cxn ang="T7">
                  <a:pos x="T2" y="T3"/>
                </a:cxn>
                <a:cxn ang="T8">
                  <a:pos x="T4" y="T5"/>
                </a:cxn>
              </a:cxnLst>
              <a:rect l="T9" t="T10" r="T11" b="T12"/>
              <a:pathLst>
                <a:path w="2" h="15">
                  <a:moveTo>
                    <a:pt x="2" y="15"/>
                  </a:moveTo>
                  <a:lnTo>
                    <a:pt x="0" y="11"/>
                  </a:lnTo>
                  <a:lnTo>
                    <a:pt x="0" y="0"/>
                  </a:lnTo>
                </a:path>
              </a:pathLst>
            </a:custGeom>
            <a:noFill/>
            <a:ln w="19050" cmpd="sng">
              <a:solidFill>
                <a:srgbClr val="00CCFF"/>
              </a:solidFill>
              <a:round/>
              <a:headEnd/>
              <a:tailEnd/>
            </a:ln>
          </xdr:spPr>
        </xdr:sp>
        <xdr:sp macro="" textlink="">
          <xdr:nvSpPr>
            <xdr:cNvPr id="344" name="Line 176"/>
            <xdr:cNvSpPr>
              <a:spLocks noChangeShapeType="1"/>
            </xdr:cNvSpPr>
          </xdr:nvSpPr>
          <xdr:spPr bwMode="auto">
            <a:xfrm>
              <a:off x="881" y="706"/>
              <a:ext cx="0" cy="0"/>
            </a:xfrm>
            <a:prstGeom prst="line">
              <a:avLst/>
            </a:prstGeom>
            <a:noFill/>
            <a:ln w="9525">
              <a:solidFill>
                <a:srgbClr val="000000"/>
              </a:solidFill>
              <a:round/>
              <a:headEnd/>
              <a:tailEnd/>
            </a:ln>
          </xdr:spPr>
        </xdr:sp>
        <xdr:sp macro="" textlink="">
          <xdr:nvSpPr>
            <xdr:cNvPr id="345" name="Freeform 177"/>
            <xdr:cNvSpPr>
              <a:spLocks/>
            </xdr:cNvSpPr>
          </xdr:nvSpPr>
          <xdr:spPr bwMode="auto">
            <a:xfrm>
              <a:off x="876" y="656"/>
              <a:ext cx="73" cy="67"/>
            </a:xfrm>
            <a:custGeom>
              <a:avLst/>
              <a:gdLst>
                <a:gd name="T0" fmla="*/ 0 w 73"/>
                <a:gd name="T1" fmla="*/ 67 h 67"/>
                <a:gd name="T2" fmla="*/ 0 w 73"/>
                <a:gd name="T3" fmla="*/ 65 h 67"/>
                <a:gd name="T4" fmla="*/ 2 w 73"/>
                <a:gd name="T5" fmla="*/ 63 h 67"/>
                <a:gd name="T6" fmla="*/ 4 w 73"/>
                <a:gd name="T7" fmla="*/ 61 h 67"/>
                <a:gd name="T8" fmla="*/ 4 w 73"/>
                <a:gd name="T9" fmla="*/ 48 h 67"/>
                <a:gd name="T10" fmla="*/ 25 w 73"/>
                <a:gd name="T11" fmla="*/ 48 h 67"/>
                <a:gd name="T12" fmla="*/ 73 w 73"/>
                <a:gd name="T13" fmla="*/ 0 h 67"/>
                <a:gd name="T14" fmla="*/ 73 w 73"/>
                <a:gd name="T15" fmla="*/ 2 h 67"/>
                <a:gd name="T16" fmla="*/ 25 w 73"/>
                <a:gd name="T17" fmla="*/ 50 h 67"/>
                <a:gd name="T18" fmla="*/ 6 w 73"/>
                <a:gd name="T19" fmla="*/ 50 h 67"/>
                <a:gd name="T20" fmla="*/ 6 w 73"/>
                <a:gd name="T21" fmla="*/ 63 h 67"/>
                <a:gd name="T22" fmla="*/ 4 w 73"/>
                <a:gd name="T23" fmla="*/ 64 h 67"/>
                <a:gd name="T24" fmla="*/ 0 w 73"/>
                <a:gd name="T25" fmla="*/ 67 h 67"/>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73"/>
                <a:gd name="T40" fmla="*/ 0 h 67"/>
                <a:gd name="T41" fmla="*/ 73 w 73"/>
                <a:gd name="T42" fmla="*/ 67 h 67"/>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73" h="67">
                  <a:moveTo>
                    <a:pt x="0" y="67"/>
                  </a:moveTo>
                  <a:lnTo>
                    <a:pt x="0" y="65"/>
                  </a:lnTo>
                  <a:lnTo>
                    <a:pt x="2" y="63"/>
                  </a:lnTo>
                  <a:lnTo>
                    <a:pt x="4" y="61"/>
                  </a:lnTo>
                  <a:lnTo>
                    <a:pt x="4" y="48"/>
                  </a:lnTo>
                  <a:lnTo>
                    <a:pt x="25" y="48"/>
                  </a:lnTo>
                  <a:lnTo>
                    <a:pt x="73" y="0"/>
                  </a:lnTo>
                  <a:lnTo>
                    <a:pt x="73" y="2"/>
                  </a:lnTo>
                  <a:lnTo>
                    <a:pt x="25" y="50"/>
                  </a:lnTo>
                  <a:lnTo>
                    <a:pt x="6" y="50"/>
                  </a:lnTo>
                  <a:lnTo>
                    <a:pt x="6" y="63"/>
                  </a:lnTo>
                  <a:lnTo>
                    <a:pt x="4" y="64"/>
                  </a:lnTo>
                  <a:lnTo>
                    <a:pt x="0" y="67"/>
                  </a:lnTo>
                  <a:close/>
                </a:path>
              </a:pathLst>
            </a:custGeom>
            <a:solidFill>
              <a:srgbClr val="00CCFF"/>
            </a:solidFill>
            <a:ln w="6350" cmpd="sng">
              <a:solidFill>
                <a:srgbClr val="000000"/>
              </a:solidFill>
              <a:round/>
              <a:headEnd/>
              <a:tailEnd/>
            </a:ln>
          </xdr:spPr>
        </xdr:sp>
        <xdr:grpSp>
          <xdr:nvGrpSpPr>
            <xdr:cNvPr id="346" name="Group 178"/>
            <xdr:cNvGrpSpPr>
              <a:grpSpLocks/>
            </xdr:cNvGrpSpPr>
          </xdr:nvGrpSpPr>
          <xdr:grpSpPr bwMode="auto">
            <a:xfrm>
              <a:off x="885" y="652"/>
              <a:ext cx="65" cy="47"/>
              <a:chOff x="112" y="627"/>
              <a:chExt cx="65" cy="47"/>
            </a:xfrm>
          </xdr:grpSpPr>
          <xdr:sp macro="" textlink="">
            <xdr:nvSpPr>
              <xdr:cNvPr id="373" name="Freeform 179"/>
              <xdr:cNvSpPr>
                <a:spLocks/>
              </xdr:cNvSpPr>
            </xdr:nvSpPr>
            <xdr:spPr bwMode="auto">
              <a:xfrm>
                <a:off x="112" y="627"/>
                <a:ext cx="65" cy="41"/>
              </a:xfrm>
              <a:custGeom>
                <a:avLst/>
                <a:gdLst>
                  <a:gd name="T0" fmla="*/ 24 w 65"/>
                  <a:gd name="T1" fmla="*/ 41 h 41"/>
                  <a:gd name="T2" fmla="*/ 0 w 65"/>
                  <a:gd name="T3" fmla="*/ 41 h 41"/>
                  <a:gd name="T4" fmla="*/ 41 w 65"/>
                  <a:gd name="T5" fmla="*/ 0 h 41"/>
                  <a:gd name="T6" fmla="*/ 65 w 65"/>
                  <a:gd name="T7" fmla="*/ 0 h 41"/>
                  <a:gd name="T8" fmla="*/ 24 w 65"/>
                  <a:gd name="T9" fmla="*/ 41 h 41"/>
                  <a:gd name="T10" fmla="*/ 0 60000 65536"/>
                  <a:gd name="T11" fmla="*/ 0 60000 65536"/>
                  <a:gd name="T12" fmla="*/ 0 60000 65536"/>
                  <a:gd name="T13" fmla="*/ 0 60000 65536"/>
                  <a:gd name="T14" fmla="*/ 0 60000 65536"/>
                  <a:gd name="T15" fmla="*/ 0 w 65"/>
                  <a:gd name="T16" fmla="*/ 0 h 41"/>
                  <a:gd name="T17" fmla="*/ 65 w 65"/>
                  <a:gd name="T18" fmla="*/ 41 h 41"/>
                </a:gdLst>
                <a:ahLst/>
                <a:cxnLst>
                  <a:cxn ang="T10">
                    <a:pos x="T0" y="T1"/>
                  </a:cxn>
                  <a:cxn ang="T11">
                    <a:pos x="T2" y="T3"/>
                  </a:cxn>
                  <a:cxn ang="T12">
                    <a:pos x="T4" y="T5"/>
                  </a:cxn>
                  <a:cxn ang="T13">
                    <a:pos x="T6" y="T7"/>
                  </a:cxn>
                  <a:cxn ang="T14">
                    <a:pos x="T8" y="T9"/>
                  </a:cxn>
                </a:cxnLst>
                <a:rect l="T15" t="T16" r="T17" b="T18"/>
                <a:pathLst>
                  <a:path w="65" h="41">
                    <a:moveTo>
                      <a:pt x="24" y="41"/>
                    </a:moveTo>
                    <a:lnTo>
                      <a:pt x="0" y="41"/>
                    </a:lnTo>
                    <a:lnTo>
                      <a:pt x="41" y="0"/>
                    </a:lnTo>
                    <a:lnTo>
                      <a:pt x="65" y="0"/>
                    </a:lnTo>
                    <a:lnTo>
                      <a:pt x="24" y="41"/>
                    </a:lnTo>
                    <a:close/>
                  </a:path>
                </a:pathLst>
              </a:custGeom>
              <a:gradFill rotWithShape="1">
                <a:gsLst>
                  <a:gs pos="0">
                    <a:srgbClr val="767676"/>
                  </a:gs>
                  <a:gs pos="50000">
                    <a:srgbClr val="FFFFFF"/>
                  </a:gs>
                  <a:gs pos="100000">
                    <a:srgbClr val="767676"/>
                  </a:gs>
                </a:gsLst>
                <a:lin ang="18900000" scaled="1"/>
              </a:gradFill>
              <a:ln w="9525">
                <a:solidFill>
                  <a:srgbClr val="000000"/>
                </a:solidFill>
                <a:round/>
                <a:headEnd/>
                <a:tailEnd/>
              </a:ln>
            </xdr:spPr>
          </xdr:sp>
          <xdr:sp macro="" textlink="">
            <xdr:nvSpPr>
              <xdr:cNvPr id="374" name="Freeform 180"/>
              <xdr:cNvSpPr>
                <a:spLocks/>
              </xdr:cNvSpPr>
            </xdr:nvSpPr>
            <xdr:spPr bwMode="auto">
              <a:xfrm>
                <a:off x="112" y="627"/>
                <a:ext cx="65" cy="47"/>
              </a:xfrm>
              <a:custGeom>
                <a:avLst/>
                <a:gdLst>
                  <a:gd name="T0" fmla="*/ 0 w 65"/>
                  <a:gd name="T1" fmla="*/ 41 h 47"/>
                  <a:gd name="T2" fmla="*/ 0 w 65"/>
                  <a:gd name="T3" fmla="*/ 47 h 47"/>
                  <a:gd name="T4" fmla="*/ 3 w 65"/>
                  <a:gd name="T5" fmla="*/ 44 h 47"/>
                  <a:gd name="T6" fmla="*/ 24 w 65"/>
                  <a:gd name="T7" fmla="*/ 44 h 47"/>
                  <a:gd name="T8" fmla="*/ 65 w 65"/>
                  <a:gd name="T9" fmla="*/ 3 h 47"/>
                  <a:gd name="T10" fmla="*/ 65 w 65"/>
                  <a:gd name="T11" fmla="*/ 0 h 47"/>
                  <a:gd name="T12" fmla="*/ 24 w 65"/>
                  <a:gd name="T13" fmla="*/ 41 h 47"/>
                  <a:gd name="T14" fmla="*/ 0 w 65"/>
                  <a:gd name="T15" fmla="*/ 41 h 47"/>
                  <a:gd name="T16" fmla="*/ 0 60000 65536"/>
                  <a:gd name="T17" fmla="*/ 0 60000 65536"/>
                  <a:gd name="T18" fmla="*/ 0 60000 65536"/>
                  <a:gd name="T19" fmla="*/ 0 60000 65536"/>
                  <a:gd name="T20" fmla="*/ 0 60000 65536"/>
                  <a:gd name="T21" fmla="*/ 0 60000 65536"/>
                  <a:gd name="T22" fmla="*/ 0 60000 65536"/>
                  <a:gd name="T23" fmla="*/ 0 60000 65536"/>
                  <a:gd name="T24" fmla="*/ 0 w 65"/>
                  <a:gd name="T25" fmla="*/ 0 h 47"/>
                  <a:gd name="T26" fmla="*/ 65 w 65"/>
                  <a:gd name="T27" fmla="*/ 47 h 47"/>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65" h="47">
                    <a:moveTo>
                      <a:pt x="0" y="41"/>
                    </a:moveTo>
                    <a:lnTo>
                      <a:pt x="0" y="47"/>
                    </a:lnTo>
                    <a:lnTo>
                      <a:pt x="3" y="44"/>
                    </a:lnTo>
                    <a:lnTo>
                      <a:pt x="24" y="44"/>
                    </a:lnTo>
                    <a:lnTo>
                      <a:pt x="65" y="3"/>
                    </a:lnTo>
                    <a:lnTo>
                      <a:pt x="65" y="0"/>
                    </a:lnTo>
                    <a:lnTo>
                      <a:pt x="24" y="41"/>
                    </a:lnTo>
                    <a:lnTo>
                      <a:pt x="0" y="41"/>
                    </a:lnTo>
                    <a:close/>
                  </a:path>
                </a:pathLst>
              </a:custGeom>
              <a:solidFill>
                <a:srgbClr val="808080"/>
              </a:solidFill>
              <a:ln w="6350" cmpd="sng">
                <a:solidFill>
                  <a:srgbClr val="000000"/>
                </a:solidFill>
                <a:round/>
                <a:headEnd/>
                <a:tailEnd/>
              </a:ln>
            </xdr:spPr>
          </xdr:sp>
        </xdr:grpSp>
        <xdr:sp macro="" textlink="">
          <xdr:nvSpPr>
            <xdr:cNvPr id="347" name="Line 181"/>
            <xdr:cNvSpPr>
              <a:spLocks noChangeShapeType="1"/>
            </xdr:cNvSpPr>
          </xdr:nvSpPr>
          <xdr:spPr bwMode="auto">
            <a:xfrm>
              <a:off x="909" y="693"/>
              <a:ext cx="0" cy="3"/>
            </a:xfrm>
            <a:prstGeom prst="line">
              <a:avLst/>
            </a:prstGeom>
            <a:noFill/>
            <a:ln w="9525">
              <a:solidFill>
                <a:srgbClr val="000000"/>
              </a:solidFill>
              <a:round/>
              <a:headEnd/>
              <a:tailEnd/>
            </a:ln>
          </xdr:spPr>
        </xdr:sp>
        <xdr:sp macro="" textlink="">
          <xdr:nvSpPr>
            <xdr:cNvPr id="348" name="Line 182"/>
            <xdr:cNvSpPr>
              <a:spLocks noChangeShapeType="1"/>
            </xdr:cNvSpPr>
          </xdr:nvSpPr>
          <xdr:spPr bwMode="auto">
            <a:xfrm flipV="1">
              <a:off x="886" y="711"/>
              <a:ext cx="11" cy="11"/>
            </a:xfrm>
            <a:prstGeom prst="line">
              <a:avLst/>
            </a:prstGeom>
            <a:noFill/>
            <a:ln w="19050">
              <a:solidFill>
                <a:srgbClr val="A6CAF0"/>
              </a:solidFill>
              <a:round/>
              <a:headEnd/>
              <a:tailEnd/>
            </a:ln>
          </xdr:spPr>
        </xdr:sp>
        <xdr:sp macro="" textlink="">
          <xdr:nvSpPr>
            <xdr:cNvPr id="349" name="Line 183"/>
            <xdr:cNvSpPr>
              <a:spLocks noChangeShapeType="1"/>
            </xdr:cNvSpPr>
          </xdr:nvSpPr>
          <xdr:spPr bwMode="auto">
            <a:xfrm flipV="1">
              <a:off x="882" y="707"/>
              <a:ext cx="12" cy="13"/>
            </a:xfrm>
            <a:prstGeom prst="line">
              <a:avLst/>
            </a:prstGeom>
            <a:noFill/>
            <a:ln w="19050">
              <a:solidFill>
                <a:srgbClr val="A6CAF0"/>
              </a:solidFill>
              <a:round/>
              <a:headEnd/>
              <a:tailEnd/>
            </a:ln>
          </xdr:spPr>
        </xdr:sp>
        <xdr:sp macro="" textlink="">
          <xdr:nvSpPr>
            <xdr:cNvPr id="350" name="Freeform 184"/>
            <xdr:cNvSpPr>
              <a:spLocks/>
            </xdr:cNvSpPr>
          </xdr:nvSpPr>
          <xdr:spPr bwMode="auto">
            <a:xfrm>
              <a:off x="837" y="719"/>
              <a:ext cx="48" cy="22"/>
            </a:xfrm>
            <a:custGeom>
              <a:avLst/>
              <a:gdLst>
                <a:gd name="T0" fmla="*/ 0 w 48"/>
                <a:gd name="T1" fmla="*/ 22 h 22"/>
                <a:gd name="T2" fmla="*/ 3 w 48"/>
                <a:gd name="T3" fmla="*/ 19 h 22"/>
                <a:gd name="T4" fmla="*/ 25 w 48"/>
                <a:gd name="T5" fmla="*/ 19 h 22"/>
                <a:gd name="T6" fmla="*/ 44 w 48"/>
                <a:gd name="T7" fmla="*/ 0 h 22"/>
                <a:gd name="T8" fmla="*/ 48 w 48"/>
                <a:gd name="T9" fmla="*/ 1 h 22"/>
                <a:gd name="T10" fmla="*/ 27 w 48"/>
                <a:gd name="T11" fmla="*/ 22 h 22"/>
                <a:gd name="T12" fmla="*/ 0 w 48"/>
                <a:gd name="T13" fmla="*/ 22 h 22"/>
                <a:gd name="T14" fmla="*/ 0 60000 65536"/>
                <a:gd name="T15" fmla="*/ 0 60000 65536"/>
                <a:gd name="T16" fmla="*/ 0 60000 65536"/>
                <a:gd name="T17" fmla="*/ 0 60000 65536"/>
                <a:gd name="T18" fmla="*/ 0 60000 65536"/>
                <a:gd name="T19" fmla="*/ 0 60000 65536"/>
                <a:gd name="T20" fmla="*/ 0 60000 65536"/>
                <a:gd name="T21" fmla="*/ 0 w 48"/>
                <a:gd name="T22" fmla="*/ 0 h 22"/>
                <a:gd name="T23" fmla="*/ 48 w 48"/>
                <a:gd name="T24" fmla="*/ 22 h 22"/>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8" h="22">
                  <a:moveTo>
                    <a:pt x="0" y="22"/>
                  </a:moveTo>
                  <a:lnTo>
                    <a:pt x="3" y="19"/>
                  </a:lnTo>
                  <a:lnTo>
                    <a:pt x="25" y="19"/>
                  </a:lnTo>
                  <a:lnTo>
                    <a:pt x="44" y="0"/>
                  </a:lnTo>
                  <a:lnTo>
                    <a:pt x="48" y="1"/>
                  </a:lnTo>
                  <a:lnTo>
                    <a:pt x="27" y="22"/>
                  </a:lnTo>
                  <a:lnTo>
                    <a:pt x="0" y="22"/>
                  </a:lnTo>
                  <a:close/>
                </a:path>
              </a:pathLst>
            </a:custGeom>
            <a:solidFill>
              <a:srgbClr val="C0C0C0"/>
            </a:solidFill>
            <a:ln w="9525">
              <a:solidFill>
                <a:srgbClr val="000000"/>
              </a:solidFill>
              <a:round/>
              <a:headEnd/>
              <a:tailEnd/>
            </a:ln>
          </xdr:spPr>
        </xdr:sp>
        <xdr:sp macro="" textlink="">
          <xdr:nvSpPr>
            <xdr:cNvPr id="351" name="Freeform 185"/>
            <xdr:cNvSpPr>
              <a:spLocks/>
            </xdr:cNvSpPr>
          </xdr:nvSpPr>
          <xdr:spPr bwMode="auto">
            <a:xfrm>
              <a:off x="882" y="658"/>
              <a:ext cx="67" cy="177"/>
            </a:xfrm>
            <a:custGeom>
              <a:avLst/>
              <a:gdLst>
                <a:gd name="T0" fmla="*/ 67 w 67"/>
                <a:gd name="T1" fmla="*/ 0 h 177"/>
                <a:gd name="T2" fmla="*/ 67 w 67"/>
                <a:gd name="T3" fmla="*/ 2 h 177"/>
                <a:gd name="T4" fmla="*/ 19 w 67"/>
                <a:gd name="T5" fmla="*/ 50 h 177"/>
                <a:gd name="T6" fmla="*/ 2 w 67"/>
                <a:gd name="T7" fmla="*/ 50 h 177"/>
                <a:gd name="T8" fmla="*/ 2 w 67"/>
                <a:gd name="T9" fmla="*/ 60 h 177"/>
                <a:gd name="T10" fmla="*/ 3 w 67"/>
                <a:gd name="T11" fmla="*/ 62 h 177"/>
                <a:gd name="T12" fmla="*/ 4 w 67"/>
                <a:gd name="T13" fmla="*/ 64 h 177"/>
                <a:gd name="T14" fmla="*/ 5 w 67"/>
                <a:gd name="T15" fmla="*/ 177 h 177"/>
                <a:gd name="T16" fmla="*/ 3 w 67"/>
                <a:gd name="T17" fmla="*/ 175 h 177"/>
                <a:gd name="T18" fmla="*/ 2 w 67"/>
                <a:gd name="T19" fmla="*/ 66 h 177"/>
                <a:gd name="T20" fmla="*/ 1 w 67"/>
                <a:gd name="T21" fmla="*/ 63 h 177"/>
                <a:gd name="T22" fmla="*/ 0 w 67"/>
                <a:gd name="T23" fmla="*/ 61 h 177"/>
                <a:gd name="T24" fmla="*/ 0 w 67"/>
                <a:gd name="T25" fmla="*/ 48 h 177"/>
                <a:gd name="T26" fmla="*/ 19 w 67"/>
                <a:gd name="T27" fmla="*/ 48 h 177"/>
                <a:gd name="T28" fmla="*/ 67 w 67"/>
                <a:gd name="T29" fmla="*/ 0 h 177"/>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67"/>
                <a:gd name="T46" fmla="*/ 0 h 177"/>
                <a:gd name="T47" fmla="*/ 67 w 67"/>
                <a:gd name="T48" fmla="*/ 177 h 177"/>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67" h="177">
                  <a:moveTo>
                    <a:pt x="67" y="0"/>
                  </a:moveTo>
                  <a:lnTo>
                    <a:pt x="67" y="2"/>
                  </a:lnTo>
                  <a:lnTo>
                    <a:pt x="19" y="50"/>
                  </a:lnTo>
                  <a:lnTo>
                    <a:pt x="2" y="50"/>
                  </a:lnTo>
                  <a:lnTo>
                    <a:pt x="2" y="60"/>
                  </a:lnTo>
                  <a:lnTo>
                    <a:pt x="3" y="62"/>
                  </a:lnTo>
                  <a:lnTo>
                    <a:pt x="4" y="64"/>
                  </a:lnTo>
                  <a:lnTo>
                    <a:pt x="5" y="177"/>
                  </a:lnTo>
                  <a:lnTo>
                    <a:pt x="3" y="175"/>
                  </a:lnTo>
                  <a:lnTo>
                    <a:pt x="2" y="66"/>
                  </a:lnTo>
                  <a:lnTo>
                    <a:pt x="1" y="63"/>
                  </a:lnTo>
                  <a:lnTo>
                    <a:pt x="0" y="61"/>
                  </a:lnTo>
                  <a:lnTo>
                    <a:pt x="0" y="48"/>
                  </a:lnTo>
                  <a:lnTo>
                    <a:pt x="19" y="48"/>
                  </a:lnTo>
                  <a:lnTo>
                    <a:pt x="67" y="0"/>
                  </a:lnTo>
                  <a:close/>
                </a:path>
              </a:pathLst>
            </a:custGeom>
            <a:solidFill>
              <a:srgbClr val="00CCFF"/>
            </a:solidFill>
            <a:ln w="6350" cmpd="sng">
              <a:solidFill>
                <a:srgbClr val="000000"/>
              </a:solidFill>
              <a:round/>
              <a:headEnd/>
              <a:tailEnd/>
            </a:ln>
          </xdr:spPr>
        </xdr:sp>
        <xdr:sp macro="" textlink="">
          <xdr:nvSpPr>
            <xdr:cNvPr id="352" name="Line 186"/>
            <xdr:cNvSpPr>
              <a:spLocks noChangeShapeType="1"/>
            </xdr:cNvSpPr>
          </xdr:nvSpPr>
          <xdr:spPr bwMode="auto">
            <a:xfrm>
              <a:off x="933" y="706"/>
              <a:ext cx="0" cy="0"/>
            </a:xfrm>
            <a:prstGeom prst="line">
              <a:avLst/>
            </a:prstGeom>
            <a:noFill/>
            <a:ln w="9525">
              <a:solidFill>
                <a:srgbClr val="000000"/>
              </a:solidFill>
              <a:round/>
              <a:headEnd/>
              <a:tailEnd/>
            </a:ln>
          </xdr:spPr>
        </xdr:sp>
        <xdr:sp macro="" textlink="">
          <xdr:nvSpPr>
            <xdr:cNvPr id="353" name="Freeform 187"/>
            <xdr:cNvSpPr>
              <a:spLocks/>
            </xdr:cNvSpPr>
          </xdr:nvSpPr>
          <xdr:spPr bwMode="auto">
            <a:xfrm>
              <a:off x="907" y="662"/>
              <a:ext cx="62" cy="42"/>
            </a:xfrm>
            <a:custGeom>
              <a:avLst/>
              <a:gdLst>
                <a:gd name="T0" fmla="*/ 0 w 62"/>
                <a:gd name="T1" fmla="*/ 42 h 42"/>
                <a:gd name="T2" fmla="*/ 42 w 62"/>
                <a:gd name="T3" fmla="*/ 0 h 42"/>
                <a:gd name="T4" fmla="*/ 62 w 62"/>
                <a:gd name="T5" fmla="*/ 0 h 42"/>
                <a:gd name="T6" fmla="*/ 23 w 62"/>
                <a:gd name="T7" fmla="*/ 42 h 42"/>
                <a:gd name="T8" fmla="*/ 0 w 62"/>
                <a:gd name="T9" fmla="*/ 42 h 42"/>
                <a:gd name="T10" fmla="*/ 0 60000 65536"/>
                <a:gd name="T11" fmla="*/ 0 60000 65536"/>
                <a:gd name="T12" fmla="*/ 0 60000 65536"/>
                <a:gd name="T13" fmla="*/ 0 60000 65536"/>
                <a:gd name="T14" fmla="*/ 0 60000 65536"/>
                <a:gd name="T15" fmla="*/ 0 w 62"/>
                <a:gd name="T16" fmla="*/ 0 h 42"/>
                <a:gd name="T17" fmla="*/ 62 w 62"/>
                <a:gd name="T18" fmla="*/ 42 h 42"/>
              </a:gdLst>
              <a:ahLst/>
              <a:cxnLst>
                <a:cxn ang="T10">
                  <a:pos x="T0" y="T1"/>
                </a:cxn>
                <a:cxn ang="T11">
                  <a:pos x="T2" y="T3"/>
                </a:cxn>
                <a:cxn ang="T12">
                  <a:pos x="T4" y="T5"/>
                </a:cxn>
                <a:cxn ang="T13">
                  <a:pos x="T6" y="T7"/>
                </a:cxn>
                <a:cxn ang="T14">
                  <a:pos x="T8" y="T9"/>
                </a:cxn>
              </a:cxnLst>
              <a:rect l="T15" t="T16" r="T17" b="T18"/>
              <a:pathLst>
                <a:path w="62" h="42">
                  <a:moveTo>
                    <a:pt x="0" y="42"/>
                  </a:moveTo>
                  <a:lnTo>
                    <a:pt x="42" y="0"/>
                  </a:lnTo>
                  <a:lnTo>
                    <a:pt x="62" y="0"/>
                  </a:lnTo>
                  <a:lnTo>
                    <a:pt x="23" y="42"/>
                  </a:lnTo>
                  <a:lnTo>
                    <a:pt x="0" y="42"/>
                  </a:lnTo>
                  <a:close/>
                </a:path>
              </a:pathLst>
            </a:custGeom>
            <a:gradFill rotWithShape="1">
              <a:gsLst>
                <a:gs pos="0">
                  <a:srgbClr val="69FFFF"/>
                </a:gs>
                <a:gs pos="100000">
                  <a:srgbClr val="CCFFCC"/>
                </a:gs>
              </a:gsLst>
              <a:lin ang="0" scaled="1"/>
            </a:gradFill>
            <a:ln w="9525">
              <a:solidFill>
                <a:srgbClr val="000000"/>
              </a:solidFill>
              <a:round/>
              <a:headEnd/>
              <a:tailEnd/>
            </a:ln>
          </xdr:spPr>
        </xdr:sp>
        <xdr:sp macro="" textlink="">
          <xdr:nvSpPr>
            <xdr:cNvPr id="354" name="Freeform 188"/>
            <xdr:cNvSpPr>
              <a:spLocks/>
            </xdr:cNvSpPr>
          </xdr:nvSpPr>
          <xdr:spPr bwMode="auto">
            <a:xfrm>
              <a:off x="889" y="720"/>
              <a:ext cx="23" cy="176"/>
            </a:xfrm>
            <a:custGeom>
              <a:avLst/>
              <a:gdLst>
                <a:gd name="T0" fmla="*/ 0 w 23"/>
                <a:gd name="T1" fmla="*/ 18 h 176"/>
                <a:gd name="T2" fmla="*/ 23 w 23"/>
                <a:gd name="T3" fmla="*/ 0 h 176"/>
                <a:gd name="T4" fmla="*/ 23 w 23"/>
                <a:gd name="T5" fmla="*/ 176 h 176"/>
                <a:gd name="T6" fmla="*/ 0 w 23"/>
                <a:gd name="T7" fmla="*/ 176 h 176"/>
                <a:gd name="T8" fmla="*/ 0 w 23"/>
                <a:gd name="T9" fmla="*/ 18 h 176"/>
                <a:gd name="T10" fmla="*/ 0 60000 65536"/>
                <a:gd name="T11" fmla="*/ 0 60000 65536"/>
                <a:gd name="T12" fmla="*/ 0 60000 65536"/>
                <a:gd name="T13" fmla="*/ 0 60000 65536"/>
                <a:gd name="T14" fmla="*/ 0 60000 65536"/>
                <a:gd name="T15" fmla="*/ 0 w 23"/>
                <a:gd name="T16" fmla="*/ 0 h 176"/>
                <a:gd name="T17" fmla="*/ 23 w 23"/>
                <a:gd name="T18" fmla="*/ 176 h 176"/>
              </a:gdLst>
              <a:ahLst/>
              <a:cxnLst>
                <a:cxn ang="T10">
                  <a:pos x="T0" y="T1"/>
                </a:cxn>
                <a:cxn ang="T11">
                  <a:pos x="T2" y="T3"/>
                </a:cxn>
                <a:cxn ang="T12">
                  <a:pos x="T4" y="T5"/>
                </a:cxn>
                <a:cxn ang="T13">
                  <a:pos x="T6" y="T7"/>
                </a:cxn>
                <a:cxn ang="T14">
                  <a:pos x="T8" y="T9"/>
                </a:cxn>
              </a:cxnLst>
              <a:rect l="T15" t="T16" r="T17" b="T18"/>
              <a:pathLst>
                <a:path w="23" h="176">
                  <a:moveTo>
                    <a:pt x="0" y="18"/>
                  </a:moveTo>
                  <a:lnTo>
                    <a:pt x="23" y="0"/>
                  </a:lnTo>
                  <a:lnTo>
                    <a:pt x="23" y="176"/>
                  </a:lnTo>
                  <a:lnTo>
                    <a:pt x="0" y="176"/>
                  </a:lnTo>
                  <a:lnTo>
                    <a:pt x="0" y="18"/>
                  </a:lnTo>
                  <a:close/>
                </a:path>
              </a:pathLst>
            </a:custGeom>
            <a:gradFill rotWithShape="1">
              <a:gsLst>
                <a:gs pos="0">
                  <a:srgbClr val="DDDDDD"/>
                </a:gs>
                <a:gs pos="100000">
                  <a:srgbClr val="666666"/>
                </a:gs>
              </a:gsLst>
              <a:lin ang="0" scaled="1"/>
            </a:gradFill>
            <a:ln w="9525">
              <a:solidFill>
                <a:srgbClr val="000000"/>
              </a:solidFill>
              <a:round/>
              <a:headEnd/>
              <a:tailEnd/>
            </a:ln>
          </xdr:spPr>
        </xdr:sp>
        <xdr:sp macro="" textlink="">
          <xdr:nvSpPr>
            <xdr:cNvPr id="355" name="Line 189"/>
            <xdr:cNvSpPr>
              <a:spLocks noChangeShapeType="1"/>
            </xdr:cNvSpPr>
          </xdr:nvSpPr>
          <xdr:spPr bwMode="auto">
            <a:xfrm flipV="1">
              <a:off x="912" y="707"/>
              <a:ext cx="13" cy="13"/>
            </a:xfrm>
            <a:prstGeom prst="line">
              <a:avLst/>
            </a:prstGeom>
            <a:noFill/>
            <a:ln w="28575">
              <a:solidFill>
                <a:srgbClr val="A6CAF0"/>
              </a:solidFill>
              <a:round/>
              <a:headEnd/>
              <a:tailEnd/>
            </a:ln>
          </xdr:spPr>
        </xdr:sp>
        <xdr:sp macro="" textlink="">
          <xdr:nvSpPr>
            <xdr:cNvPr id="356" name="Freeform 190"/>
            <xdr:cNvSpPr>
              <a:spLocks/>
            </xdr:cNvSpPr>
          </xdr:nvSpPr>
          <xdr:spPr bwMode="auto">
            <a:xfrm>
              <a:off x="923" y="697"/>
              <a:ext cx="27" cy="202"/>
            </a:xfrm>
            <a:custGeom>
              <a:avLst/>
              <a:gdLst>
                <a:gd name="T0" fmla="*/ 0 w 27"/>
                <a:gd name="T1" fmla="*/ 9 h 202"/>
                <a:gd name="T2" fmla="*/ 0 w 27"/>
                <a:gd name="T3" fmla="*/ 201 h 202"/>
                <a:gd name="T4" fmla="*/ 0 w 27"/>
                <a:gd name="T5" fmla="*/ 202 h 202"/>
                <a:gd name="T6" fmla="*/ 22 w 27"/>
                <a:gd name="T7" fmla="*/ 202 h 202"/>
                <a:gd name="T8" fmla="*/ 27 w 27"/>
                <a:gd name="T9" fmla="*/ 0 h 202"/>
                <a:gd name="T10" fmla="*/ 15 w 27"/>
                <a:gd name="T11" fmla="*/ 0 h 202"/>
                <a:gd name="T12" fmla="*/ 0 60000 65536"/>
                <a:gd name="T13" fmla="*/ 0 60000 65536"/>
                <a:gd name="T14" fmla="*/ 0 60000 65536"/>
                <a:gd name="T15" fmla="*/ 0 60000 65536"/>
                <a:gd name="T16" fmla="*/ 0 60000 65536"/>
                <a:gd name="T17" fmla="*/ 0 60000 65536"/>
                <a:gd name="T18" fmla="*/ 0 w 27"/>
                <a:gd name="T19" fmla="*/ 0 h 202"/>
                <a:gd name="T20" fmla="*/ 27 w 27"/>
                <a:gd name="T21" fmla="*/ 202 h 202"/>
              </a:gdLst>
              <a:ahLst/>
              <a:cxnLst>
                <a:cxn ang="T12">
                  <a:pos x="T0" y="T1"/>
                </a:cxn>
                <a:cxn ang="T13">
                  <a:pos x="T2" y="T3"/>
                </a:cxn>
                <a:cxn ang="T14">
                  <a:pos x="T4" y="T5"/>
                </a:cxn>
                <a:cxn ang="T15">
                  <a:pos x="T6" y="T7"/>
                </a:cxn>
                <a:cxn ang="T16">
                  <a:pos x="T8" y="T9"/>
                </a:cxn>
                <a:cxn ang="T17">
                  <a:pos x="T10" y="T11"/>
                </a:cxn>
              </a:cxnLst>
              <a:rect l="T18" t="T19" r="T20" b="T21"/>
              <a:pathLst>
                <a:path w="27" h="202">
                  <a:moveTo>
                    <a:pt x="0" y="9"/>
                  </a:moveTo>
                  <a:lnTo>
                    <a:pt x="0" y="201"/>
                  </a:lnTo>
                  <a:lnTo>
                    <a:pt x="0" y="202"/>
                  </a:lnTo>
                  <a:lnTo>
                    <a:pt x="22" y="202"/>
                  </a:lnTo>
                  <a:lnTo>
                    <a:pt x="27" y="0"/>
                  </a:lnTo>
                  <a:lnTo>
                    <a:pt x="15" y="0"/>
                  </a:lnTo>
                </a:path>
              </a:pathLst>
            </a:custGeom>
            <a:solidFill>
              <a:srgbClr val="336666"/>
            </a:solidFill>
            <a:ln w="9525">
              <a:noFill/>
              <a:round/>
              <a:headEnd/>
              <a:tailEnd/>
            </a:ln>
          </xdr:spPr>
        </xdr:sp>
        <xdr:sp macro="" textlink="">
          <xdr:nvSpPr>
            <xdr:cNvPr id="357" name="Freeform 191"/>
            <xdr:cNvSpPr>
              <a:spLocks/>
            </xdr:cNvSpPr>
          </xdr:nvSpPr>
          <xdr:spPr bwMode="auto">
            <a:xfrm>
              <a:off x="911" y="707"/>
              <a:ext cx="13" cy="156"/>
            </a:xfrm>
            <a:custGeom>
              <a:avLst/>
              <a:gdLst>
                <a:gd name="T0" fmla="*/ 0 w 13"/>
                <a:gd name="T1" fmla="*/ 0 h 155"/>
                <a:gd name="T2" fmla="*/ 13 w 13"/>
                <a:gd name="T3" fmla="*/ 0 h 155"/>
                <a:gd name="T4" fmla="*/ 13 w 13"/>
                <a:gd name="T5" fmla="*/ 172 h 155"/>
                <a:gd name="T6" fmla="*/ 1 w 13"/>
                <a:gd name="T7" fmla="*/ 178 h 155"/>
                <a:gd name="T8" fmla="*/ 0 w 13"/>
                <a:gd name="T9" fmla="*/ 0 h 155"/>
                <a:gd name="T10" fmla="*/ 0 60000 65536"/>
                <a:gd name="T11" fmla="*/ 0 60000 65536"/>
                <a:gd name="T12" fmla="*/ 0 60000 65536"/>
                <a:gd name="T13" fmla="*/ 0 60000 65536"/>
                <a:gd name="T14" fmla="*/ 0 60000 65536"/>
                <a:gd name="T15" fmla="*/ 0 w 13"/>
                <a:gd name="T16" fmla="*/ 0 h 155"/>
                <a:gd name="T17" fmla="*/ 13 w 13"/>
                <a:gd name="T18" fmla="*/ 155 h 155"/>
              </a:gdLst>
              <a:ahLst/>
              <a:cxnLst>
                <a:cxn ang="T10">
                  <a:pos x="T0" y="T1"/>
                </a:cxn>
                <a:cxn ang="T11">
                  <a:pos x="T2" y="T3"/>
                </a:cxn>
                <a:cxn ang="T12">
                  <a:pos x="T4" y="T5"/>
                </a:cxn>
                <a:cxn ang="T13">
                  <a:pos x="T6" y="T7"/>
                </a:cxn>
                <a:cxn ang="T14">
                  <a:pos x="T8" y="T9"/>
                </a:cxn>
              </a:cxnLst>
              <a:rect l="T15" t="T16" r="T17" b="T18"/>
              <a:pathLst>
                <a:path w="13" h="155">
                  <a:moveTo>
                    <a:pt x="0" y="0"/>
                  </a:moveTo>
                  <a:lnTo>
                    <a:pt x="13" y="0"/>
                  </a:lnTo>
                  <a:lnTo>
                    <a:pt x="13" y="149"/>
                  </a:lnTo>
                  <a:lnTo>
                    <a:pt x="1" y="155"/>
                  </a:lnTo>
                  <a:lnTo>
                    <a:pt x="0" y="0"/>
                  </a:lnTo>
                  <a:close/>
                </a:path>
              </a:pathLst>
            </a:custGeom>
            <a:solidFill>
              <a:srgbClr val="99FF99"/>
            </a:solidFill>
            <a:ln w="9525">
              <a:noFill/>
              <a:round/>
              <a:headEnd/>
              <a:tailEnd/>
            </a:ln>
          </xdr:spPr>
        </xdr:sp>
        <xdr:sp macro="" textlink="">
          <xdr:nvSpPr>
            <xdr:cNvPr id="358" name="Line 192"/>
            <xdr:cNvSpPr>
              <a:spLocks noChangeShapeType="1"/>
            </xdr:cNvSpPr>
          </xdr:nvSpPr>
          <xdr:spPr bwMode="auto">
            <a:xfrm>
              <a:off x="937" y="705"/>
              <a:ext cx="0" cy="187"/>
            </a:xfrm>
            <a:prstGeom prst="line">
              <a:avLst/>
            </a:prstGeom>
            <a:noFill/>
            <a:ln w="28575">
              <a:solidFill>
                <a:srgbClr val="A6CAF0"/>
              </a:solidFill>
              <a:round/>
              <a:headEnd/>
              <a:tailEnd/>
            </a:ln>
          </xdr:spPr>
        </xdr:sp>
        <xdr:sp macro="" textlink="">
          <xdr:nvSpPr>
            <xdr:cNvPr id="359" name="Line 193"/>
            <xdr:cNvSpPr>
              <a:spLocks noChangeShapeType="1"/>
            </xdr:cNvSpPr>
          </xdr:nvSpPr>
          <xdr:spPr bwMode="auto">
            <a:xfrm>
              <a:off x="924" y="707"/>
              <a:ext cx="1" cy="152"/>
            </a:xfrm>
            <a:prstGeom prst="line">
              <a:avLst/>
            </a:prstGeom>
            <a:noFill/>
            <a:ln w="19050">
              <a:solidFill>
                <a:srgbClr val="A6CAF0"/>
              </a:solidFill>
              <a:round/>
              <a:headEnd/>
              <a:tailEnd/>
            </a:ln>
          </xdr:spPr>
        </xdr:sp>
        <xdr:sp macro="" textlink="">
          <xdr:nvSpPr>
            <xdr:cNvPr id="360" name="Line 194"/>
            <xdr:cNvSpPr>
              <a:spLocks noChangeShapeType="1"/>
            </xdr:cNvSpPr>
          </xdr:nvSpPr>
          <xdr:spPr bwMode="auto">
            <a:xfrm>
              <a:off x="912" y="721"/>
              <a:ext cx="1" cy="152"/>
            </a:xfrm>
            <a:prstGeom prst="line">
              <a:avLst/>
            </a:prstGeom>
            <a:noFill/>
            <a:ln w="19050">
              <a:solidFill>
                <a:srgbClr val="00CCFF"/>
              </a:solidFill>
              <a:round/>
              <a:headEnd/>
              <a:tailEnd/>
            </a:ln>
          </xdr:spPr>
        </xdr:sp>
        <xdr:sp macro="" textlink="">
          <xdr:nvSpPr>
            <xdr:cNvPr id="361" name="Freeform 195"/>
            <xdr:cNvSpPr>
              <a:spLocks/>
            </xdr:cNvSpPr>
          </xdr:nvSpPr>
          <xdr:spPr bwMode="auto">
            <a:xfrm>
              <a:off x="910" y="707"/>
              <a:ext cx="2" cy="15"/>
            </a:xfrm>
            <a:custGeom>
              <a:avLst/>
              <a:gdLst>
                <a:gd name="T0" fmla="*/ 2 w 2"/>
                <a:gd name="T1" fmla="*/ 15 h 15"/>
                <a:gd name="T2" fmla="*/ 0 w 2"/>
                <a:gd name="T3" fmla="*/ 11 h 15"/>
                <a:gd name="T4" fmla="*/ 0 w 2"/>
                <a:gd name="T5" fmla="*/ 0 h 15"/>
                <a:gd name="T6" fmla="*/ 0 60000 65536"/>
                <a:gd name="T7" fmla="*/ 0 60000 65536"/>
                <a:gd name="T8" fmla="*/ 0 60000 65536"/>
                <a:gd name="T9" fmla="*/ 0 w 2"/>
                <a:gd name="T10" fmla="*/ 0 h 15"/>
                <a:gd name="T11" fmla="*/ 2 w 2"/>
                <a:gd name="T12" fmla="*/ 15 h 15"/>
              </a:gdLst>
              <a:ahLst/>
              <a:cxnLst>
                <a:cxn ang="T6">
                  <a:pos x="T0" y="T1"/>
                </a:cxn>
                <a:cxn ang="T7">
                  <a:pos x="T2" y="T3"/>
                </a:cxn>
                <a:cxn ang="T8">
                  <a:pos x="T4" y="T5"/>
                </a:cxn>
              </a:cxnLst>
              <a:rect l="T9" t="T10" r="T11" b="T12"/>
              <a:pathLst>
                <a:path w="2" h="15">
                  <a:moveTo>
                    <a:pt x="2" y="15"/>
                  </a:moveTo>
                  <a:lnTo>
                    <a:pt x="0" y="11"/>
                  </a:lnTo>
                  <a:lnTo>
                    <a:pt x="0" y="0"/>
                  </a:lnTo>
                </a:path>
              </a:pathLst>
            </a:custGeom>
            <a:noFill/>
            <a:ln w="19050" cmpd="sng">
              <a:solidFill>
                <a:srgbClr val="00CCFF"/>
              </a:solidFill>
              <a:round/>
              <a:headEnd/>
              <a:tailEnd/>
            </a:ln>
          </xdr:spPr>
        </xdr:sp>
        <xdr:sp macro="" textlink="">
          <xdr:nvSpPr>
            <xdr:cNvPr id="362" name="Line 196"/>
            <xdr:cNvSpPr>
              <a:spLocks noChangeShapeType="1"/>
            </xdr:cNvSpPr>
          </xdr:nvSpPr>
          <xdr:spPr bwMode="auto">
            <a:xfrm>
              <a:off x="908" y="706"/>
              <a:ext cx="0" cy="0"/>
            </a:xfrm>
            <a:prstGeom prst="line">
              <a:avLst/>
            </a:prstGeom>
            <a:noFill/>
            <a:ln w="9525">
              <a:solidFill>
                <a:srgbClr val="000000"/>
              </a:solidFill>
              <a:round/>
              <a:headEnd/>
              <a:tailEnd/>
            </a:ln>
          </xdr:spPr>
        </xdr:sp>
        <xdr:sp macro="" textlink="">
          <xdr:nvSpPr>
            <xdr:cNvPr id="363" name="Freeform 197"/>
            <xdr:cNvSpPr>
              <a:spLocks/>
            </xdr:cNvSpPr>
          </xdr:nvSpPr>
          <xdr:spPr bwMode="auto">
            <a:xfrm>
              <a:off x="903" y="656"/>
              <a:ext cx="73" cy="67"/>
            </a:xfrm>
            <a:custGeom>
              <a:avLst/>
              <a:gdLst>
                <a:gd name="T0" fmla="*/ 0 w 73"/>
                <a:gd name="T1" fmla="*/ 67 h 67"/>
                <a:gd name="T2" fmla="*/ 0 w 73"/>
                <a:gd name="T3" fmla="*/ 65 h 67"/>
                <a:gd name="T4" fmla="*/ 2 w 73"/>
                <a:gd name="T5" fmla="*/ 63 h 67"/>
                <a:gd name="T6" fmla="*/ 4 w 73"/>
                <a:gd name="T7" fmla="*/ 61 h 67"/>
                <a:gd name="T8" fmla="*/ 4 w 73"/>
                <a:gd name="T9" fmla="*/ 48 h 67"/>
                <a:gd name="T10" fmla="*/ 25 w 73"/>
                <a:gd name="T11" fmla="*/ 48 h 67"/>
                <a:gd name="T12" fmla="*/ 73 w 73"/>
                <a:gd name="T13" fmla="*/ 0 h 67"/>
                <a:gd name="T14" fmla="*/ 73 w 73"/>
                <a:gd name="T15" fmla="*/ 2 h 67"/>
                <a:gd name="T16" fmla="*/ 25 w 73"/>
                <a:gd name="T17" fmla="*/ 50 h 67"/>
                <a:gd name="T18" fmla="*/ 6 w 73"/>
                <a:gd name="T19" fmla="*/ 50 h 67"/>
                <a:gd name="T20" fmla="*/ 6 w 73"/>
                <a:gd name="T21" fmla="*/ 63 h 67"/>
                <a:gd name="T22" fmla="*/ 4 w 73"/>
                <a:gd name="T23" fmla="*/ 64 h 67"/>
                <a:gd name="T24" fmla="*/ 0 w 73"/>
                <a:gd name="T25" fmla="*/ 67 h 67"/>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73"/>
                <a:gd name="T40" fmla="*/ 0 h 67"/>
                <a:gd name="T41" fmla="*/ 73 w 73"/>
                <a:gd name="T42" fmla="*/ 67 h 67"/>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73" h="67">
                  <a:moveTo>
                    <a:pt x="0" y="67"/>
                  </a:moveTo>
                  <a:lnTo>
                    <a:pt x="0" y="65"/>
                  </a:lnTo>
                  <a:lnTo>
                    <a:pt x="2" y="63"/>
                  </a:lnTo>
                  <a:lnTo>
                    <a:pt x="4" y="61"/>
                  </a:lnTo>
                  <a:lnTo>
                    <a:pt x="4" y="48"/>
                  </a:lnTo>
                  <a:lnTo>
                    <a:pt x="25" y="48"/>
                  </a:lnTo>
                  <a:lnTo>
                    <a:pt x="73" y="0"/>
                  </a:lnTo>
                  <a:lnTo>
                    <a:pt x="73" y="2"/>
                  </a:lnTo>
                  <a:lnTo>
                    <a:pt x="25" y="50"/>
                  </a:lnTo>
                  <a:lnTo>
                    <a:pt x="6" y="50"/>
                  </a:lnTo>
                  <a:lnTo>
                    <a:pt x="6" y="63"/>
                  </a:lnTo>
                  <a:lnTo>
                    <a:pt x="4" y="64"/>
                  </a:lnTo>
                  <a:lnTo>
                    <a:pt x="0" y="67"/>
                  </a:lnTo>
                  <a:close/>
                </a:path>
              </a:pathLst>
            </a:custGeom>
            <a:solidFill>
              <a:srgbClr val="00CCFF"/>
            </a:solidFill>
            <a:ln w="6350" cmpd="sng">
              <a:solidFill>
                <a:srgbClr val="000000"/>
              </a:solidFill>
              <a:round/>
              <a:headEnd/>
              <a:tailEnd/>
            </a:ln>
          </xdr:spPr>
        </xdr:sp>
        <xdr:grpSp>
          <xdr:nvGrpSpPr>
            <xdr:cNvPr id="364" name="Group 198"/>
            <xdr:cNvGrpSpPr>
              <a:grpSpLocks/>
            </xdr:cNvGrpSpPr>
          </xdr:nvGrpSpPr>
          <xdr:grpSpPr bwMode="auto">
            <a:xfrm>
              <a:off x="912" y="652"/>
              <a:ext cx="65" cy="47"/>
              <a:chOff x="112" y="627"/>
              <a:chExt cx="65" cy="47"/>
            </a:xfrm>
          </xdr:grpSpPr>
          <xdr:sp macro="" textlink="">
            <xdr:nvSpPr>
              <xdr:cNvPr id="371" name="Freeform 199"/>
              <xdr:cNvSpPr>
                <a:spLocks/>
              </xdr:cNvSpPr>
            </xdr:nvSpPr>
            <xdr:spPr bwMode="auto">
              <a:xfrm>
                <a:off x="112" y="627"/>
                <a:ext cx="65" cy="41"/>
              </a:xfrm>
              <a:custGeom>
                <a:avLst/>
                <a:gdLst>
                  <a:gd name="T0" fmla="*/ 24 w 65"/>
                  <a:gd name="T1" fmla="*/ 41 h 41"/>
                  <a:gd name="T2" fmla="*/ 0 w 65"/>
                  <a:gd name="T3" fmla="*/ 41 h 41"/>
                  <a:gd name="T4" fmla="*/ 41 w 65"/>
                  <a:gd name="T5" fmla="*/ 0 h 41"/>
                  <a:gd name="T6" fmla="*/ 65 w 65"/>
                  <a:gd name="T7" fmla="*/ 0 h 41"/>
                  <a:gd name="T8" fmla="*/ 24 w 65"/>
                  <a:gd name="T9" fmla="*/ 41 h 41"/>
                  <a:gd name="T10" fmla="*/ 0 60000 65536"/>
                  <a:gd name="T11" fmla="*/ 0 60000 65536"/>
                  <a:gd name="T12" fmla="*/ 0 60000 65536"/>
                  <a:gd name="T13" fmla="*/ 0 60000 65536"/>
                  <a:gd name="T14" fmla="*/ 0 60000 65536"/>
                  <a:gd name="T15" fmla="*/ 0 w 65"/>
                  <a:gd name="T16" fmla="*/ 0 h 41"/>
                  <a:gd name="T17" fmla="*/ 65 w 65"/>
                  <a:gd name="T18" fmla="*/ 41 h 41"/>
                </a:gdLst>
                <a:ahLst/>
                <a:cxnLst>
                  <a:cxn ang="T10">
                    <a:pos x="T0" y="T1"/>
                  </a:cxn>
                  <a:cxn ang="T11">
                    <a:pos x="T2" y="T3"/>
                  </a:cxn>
                  <a:cxn ang="T12">
                    <a:pos x="T4" y="T5"/>
                  </a:cxn>
                  <a:cxn ang="T13">
                    <a:pos x="T6" y="T7"/>
                  </a:cxn>
                  <a:cxn ang="T14">
                    <a:pos x="T8" y="T9"/>
                  </a:cxn>
                </a:cxnLst>
                <a:rect l="T15" t="T16" r="T17" b="T18"/>
                <a:pathLst>
                  <a:path w="65" h="41">
                    <a:moveTo>
                      <a:pt x="24" y="41"/>
                    </a:moveTo>
                    <a:lnTo>
                      <a:pt x="0" y="41"/>
                    </a:lnTo>
                    <a:lnTo>
                      <a:pt x="41" y="0"/>
                    </a:lnTo>
                    <a:lnTo>
                      <a:pt x="65" y="0"/>
                    </a:lnTo>
                    <a:lnTo>
                      <a:pt x="24" y="41"/>
                    </a:lnTo>
                    <a:close/>
                  </a:path>
                </a:pathLst>
              </a:custGeom>
              <a:gradFill rotWithShape="1">
                <a:gsLst>
                  <a:gs pos="0">
                    <a:srgbClr val="767676"/>
                  </a:gs>
                  <a:gs pos="50000">
                    <a:srgbClr val="FFFFFF"/>
                  </a:gs>
                  <a:gs pos="100000">
                    <a:srgbClr val="767676"/>
                  </a:gs>
                </a:gsLst>
                <a:lin ang="18900000" scaled="1"/>
              </a:gradFill>
              <a:ln w="9525">
                <a:solidFill>
                  <a:srgbClr val="000000"/>
                </a:solidFill>
                <a:round/>
                <a:headEnd/>
                <a:tailEnd/>
              </a:ln>
            </xdr:spPr>
          </xdr:sp>
          <xdr:sp macro="" textlink="">
            <xdr:nvSpPr>
              <xdr:cNvPr id="372" name="Freeform 200"/>
              <xdr:cNvSpPr>
                <a:spLocks/>
              </xdr:cNvSpPr>
            </xdr:nvSpPr>
            <xdr:spPr bwMode="auto">
              <a:xfrm>
                <a:off x="112" y="627"/>
                <a:ext cx="65" cy="47"/>
              </a:xfrm>
              <a:custGeom>
                <a:avLst/>
                <a:gdLst>
                  <a:gd name="T0" fmla="*/ 0 w 65"/>
                  <a:gd name="T1" fmla="*/ 41 h 47"/>
                  <a:gd name="T2" fmla="*/ 0 w 65"/>
                  <a:gd name="T3" fmla="*/ 47 h 47"/>
                  <a:gd name="T4" fmla="*/ 3 w 65"/>
                  <a:gd name="T5" fmla="*/ 44 h 47"/>
                  <a:gd name="T6" fmla="*/ 24 w 65"/>
                  <a:gd name="T7" fmla="*/ 44 h 47"/>
                  <a:gd name="T8" fmla="*/ 65 w 65"/>
                  <a:gd name="T9" fmla="*/ 3 h 47"/>
                  <a:gd name="T10" fmla="*/ 65 w 65"/>
                  <a:gd name="T11" fmla="*/ 0 h 47"/>
                  <a:gd name="T12" fmla="*/ 24 w 65"/>
                  <a:gd name="T13" fmla="*/ 41 h 47"/>
                  <a:gd name="T14" fmla="*/ 0 w 65"/>
                  <a:gd name="T15" fmla="*/ 41 h 47"/>
                  <a:gd name="T16" fmla="*/ 0 60000 65536"/>
                  <a:gd name="T17" fmla="*/ 0 60000 65536"/>
                  <a:gd name="T18" fmla="*/ 0 60000 65536"/>
                  <a:gd name="T19" fmla="*/ 0 60000 65536"/>
                  <a:gd name="T20" fmla="*/ 0 60000 65536"/>
                  <a:gd name="T21" fmla="*/ 0 60000 65536"/>
                  <a:gd name="T22" fmla="*/ 0 60000 65536"/>
                  <a:gd name="T23" fmla="*/ 0 60000 65536"/>
                  <a:gd name="T24" fmla="*/ 0 w 65"/>
                  <a:gd name="T25" fmla="*/ 0 h 47"/>
                  <a:gd name="T26" fmla="*/ 65 w 65"/>
                  <a:gd name="T27" fmla="*/ 47 h 47"/>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65" h="47">
                    <a:moveTo>
                      <a:pt x="0" y="41"/>
                    </a:moveTo>
                    <a:lnTo>
                      <a:pt x="0" y="47"/>
                    </a:lnTo>
                    <a:lnTo>
                      <a:pt x="3" y="44"/>
                    </a:lnTo>
                    <a:lnTo>
                      <a:pt x="24" y="44"/>
                    </a:lnTo>
                    <a:lnTo>
                      <a:pt x="65" y="3"/>
                    </a:lnTo>
                    <a:lnTo>
                      <a:pt x="65" y="0"/>
                    </a:lnTo>
                    <a:lnTo>
                      <a:pt x="24" y="41"/>
                    </a:lnTo>
                    <a:lnTo>
                      <a:pt x="0" y="41"/>
                    </a:lnTo>
                    <a:close/>
                  </a:path>
                </a:pathLst>
              </a:custGeom>
              <a:solidFill>
                <a:srgbClr val="808080"/>
              </a:solidFill>
              <a:ln w="6350" cmpd="sng">
                <a:solidFill>
                  <a:srgbClr val="000000"/>
                </a:solidFill>
                <a:round/>
                <a:headEnd/>
                <a:tailEnd/>
              </a:ln>
            </xdr:spPr>
          </xdr:sp>
        </xdr:grpSp>
        <xdr:sp macro="" textlink="">
          <xdr:nvSpPr>
            <xdr:cNvPr id="365" name="Line 201"/>
            <xdr:cNvSpPr>
              <a:spLocks noChangeShapeType="1"/>
            </xdr:cNvSpPr>
          </xdr:nvSpPr>
          <xdr:spPr bwMode="auto">
            <a:xfrm>
              <a:off x="936" y="693"/>
              <a:ext cx="0" cy="3"/>
            </a:xfrm>
            <a:prstGeom prst="line">
              <a:avLst/>
            </a:prstGeom>
            <a:noFill/>
            <a:ln w="9525">
              <a:solidFill>
                <a:srgbClr val="000000"/>
              </a:solidFill>
              <a:round/>
              <a:headEnd/>
              <a:tailEnd/>
            </a:ln>
          </xdr:spPr>
        </xdr:sp>
        <xdr:sp macro="" textlink="">
          <xdr:nvSpPr>
            <xdr:cNvPr id="366" name="Line 202"/>
            <xdr:cNvSpPr>
              <a:spLocks noChangeShapeType="1"/>
            </xdr:cNvSpPr>
          </xdr:nvSpPr>
          <xdr:spPr bwMode="auto">
            <a:xfrm flipV="1">
              <a:off x="913" y="711"/>
              <a:ext cx="11" cy="11"/>
            </a:xfrm>
            <a:prstGeom prst="line">
              <a:avLst/>
            </a:prstGeom>
            <a:noFill/>
            <a:ln w="19050">
              <a:solidFill>
                <a:srgbClr val="A6CAF0"/>
              </a:solidFill>
              <a:round/>
              <a:headEnd/>
              <a:tailEnd/>
            </a:ln>
          </xdr:spPr>
        </xdr:sp>
        <xdr:sp macro="" textlink="">
          <xdr:nvSpPr>
            <xdr:cNvPr id="367" name="Line 203"/>
            <xdr:cNvSpPr>
              <a:spLocks noChangeShapeType="1"/>
            </xdr:cNvSpPr>
          </xdr:nvSpPr>
          <xdr:spPr bwMode="auto">
            <a:xfrm flipV="1">
              <a:off x="909" y="707"/>
              <a:ext cx="12" cy="13"/>
            </a:xfrm>
            <a:prstGeom prst="line">
              <a:avLst/>
            </a:prstGeom>
            <a:noFill/>
            <a:ln w="19050">
              <a:solidFill>
                <a:srgbClr val="A6CAF0"/>
              </a:solidFill>
              <a:round/>
              <a:headEnd/>
              <a:tailEnd/>
            </a:ln>
          </xdr:spPr>
        </xdr:sp>
        <xdr:sp macro="" textlink="">
          <xdr:nvSpPr>
            <xdr:cNvPr id="368" name="Freeform 204"/>
            <xdr:cNvSpPr>
              <a:spLocks/>
            </xdr:cNvSpPr>
          </xdr:nvSpPr>
          <xdr:spPr bwMode="auto">
            <a:xfrm>
              <a:off x="909" y="658"/>
              <a:ext cx="67" cy="177"/>
            </a:xfrm>
            <a:custGeom>
              <a:avLst/>
              <a:gdLst>
                <a:gd name="T0" fmla="*/ 67 w 67"/>
                <a:gd name="T1" fmla="*/ 0 h 177"/>
                <a:gd name="T2" fmla="*/ 67 w 67"/>
                <a:gd name="T3" fmla="*/ 2 h 177"/>
                <a:gd name="T4" fmla="*/ 19 w 67"/>
                <a:gd name="T5" fmla="*/ 50 h 177"/>
                <a:gd name="T6" fmla="*/ 2 w 67"/>
                <a:gd name="T7" fmla="*/ 50 h 177"/>
                <a:gd name="T8" fmla="*/ 2 w 67"/>
                <a:gd name="T9" fmla="*/ 60 h 177"/>
                <a:gd name="T10" fmla="*/ 3 w 67"/>
                <a:gd name="T11" fmla="*/ 62 h 177"/>
                <a:gd name="T12" fmla="*/ 4 w 67"/>
                <a:gd name="T13" fmla="*/ 64 h 177"/>
                <a:gd name="T14" fmla="*/ 5 w 67"/>
                <a:gd name="T15" fmla="*/ 177 h 177"/>
                <a:gd name="T16" fmla="*/ 3 w 67"/>
                <a:gd name="T17" fmla="*/ 175 h 177"/>
                <a:gd name="T18" fmla="*/ 2 w 67"/>
                <a:gd name="T19" fmla="*/ 66 h 177"/>
                <a:gd name="T20" fmla="*/ 1 w 67"/>
                <a:gd name="T21" fmla="*/ 63 h 177"/>
                <a:gd name="T22" fmla="*/ 0 w 67"/>
                <a:gd name="T23" fmla="*/ 61 h 177"/>
                <a:gd name="T24" fmla="*/ 0 w 67"/>
                <a:gd name="T25" fmla="*/ 48 h 177"/>
                <a:gd name="T26" fmla="*/ 19 w 67"/>
                <a:gd name="T27" fmla="*/ 48 h 177"/>
                <a:gd name="T28" fmla="*/ 67 w 67"/>
                <a:gd name="T29" fmla="*/ 0 h 177"/>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67"/>
                <a:gd name="T46" fmla="*/ 0 h 177"/>
                <a:gd name="T47" fmla="*/ 67 w 67"/>
                <a:gd name="T48" fmla="*/ 177 h 177"/>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67" h="177">
                  <a:moveTo>
                    <a:pt x="67" y="0"/>
                  </a:moveTo>
                  <a:lnTo>
                    <a:pt x="67" y="2"/>
                  </a:lnTo>
                  <a:lnTo>
                    <a:pt x="19" y="50"/>
                  </a:lnTo>
                  <a:lnTo>
                    <a:pt x="2" y="50"/>
                  </a:lnTo>
                  <a:lnTo>
                    <a:pt x="2" y="60"/>
                  </a:lnTo>
                  <a:lnTo>
                    <a:pt x="3" y="62"/>
                  </a:lnTo>
                  <a:lnTo>
                    <a:pt x="4" y="64"/>
                  </a:lnTo>
                  <a:lnTo>
                    <a:pt x="5" y="177"/>
                  </a:lnTo>
                  <a:lnTo>
                    <a:pt x="3" y="175"/>
                  </a:lnTo>
                  <a:lnTo>
                    <a:pt x="2" y="66"/>
                  </a:lnTo>
                  <a:lnTo>
                    <a:pt x="1" y="63"/>
                  </a:lnTo>
                  <a:lnTo>
                    <a:pt x="0" y="61"/>
                  </a:lnTo>
                  <a:lnTo>
                    <a:pt x="0" y="48"/>
                  </a:lnTo>
                  <a:lnTo>
                    <a:pt x="19" y="48"/>
                  </a:lnTo>
                  <a:lnTo>
                    <a:pt x="67" y="0"/>
                  </a:lnTo>
                  <a:close/>
                </a:path>
              </a:pathLst>
            </a:custGeom>
            <a:solidFill>
              <a:srgbClr val="00CCFF"/>
            </a:solidFill>
            <a:ln w="6350" cmpd="sng">
              <a:solidFill>
                <a:srgbClr val="000000"/>
              </a:solidFill>
              <a:round/>
              <a:headEnd/>
              <a:tailEnd/>
            </a:ln>
          </xdr:spPr>
        </xdr:sp>
        <xdr:sp macro="" textlink="">
          <xdr:nvSpPr>
            <xdr:cNvPr id="369" name="Line 205"/>
            <xdr:cNvSpPr>
              <a:spLocks noChangeShapeType="1"/>
            </xdr:cNvSpPr>
          </xdr:nvSpPr>
          <xdr:spPr bwMode="auto">
            <a:xfrm>
              <a:off x="960" y="706"/>
              <a:ext cx="0" cy="0"/>
            </a:xfrm>
            <a:prstGeom prst="line">
              <a:avLst/>
            </a:prstGeom>
            <a:noFill/>
            <a:ln w="9525">
              <a:solidFill>
                <a:srgbClr val="000000"/>
              </a:solidFill>
              <a:round/>
              <a:headEnd/>
              <a:tailEnd/>
            </a:ln>
          </xdr:spPr>
        </xdr:sp>
        <xdr:sp macro="" textlink="">
          <xdr:nvSpPr>
            <xdr:cNvPr id="370" name="Freeform 206"/>
            <xdr:cNvSpPr>
              <a:spLocks/>
            </xdr:cNvSpPr>
          </xdr:nvSpPr>
          <xdr:spPr bwMode="auto">
            <a:xfrm>
              <a:off x="889" y="719"/>
              <a:ext cx="29" cy="19"/>
            </a:xfrm>
            <a:custGeom>
              <a:avLst/>
              <a:gdLst>
                <a:gd name="T0" fmla="*/ 29 w 29"/>
                <a:gd name="T1" fmla="*/ 16 h 19"/>
                <a:gd name="T2" fmla="*/ 25 w 29"/>
                <a:gd name="T3" fmla="*/ 19 h 19"/>
                <a:gd name="T4" fmla="*/ 0 w 29"/>
                <a:gd name="T5" fmla="*/ 19 h 19"/>
                <a:gd name="T6" fmla="*/ 19 w 29"/>
                <a:gd name="T7" fmla="*/ 0 h 19"/>
                <a:gd name="T8" fmla="*/ 21 w 29"/>
                <a:gd name="T9" fmla="*/ 2 h 19"/>
                <a:gd name="T10" fmla="*/ 21 w 29"/>
                <a:gd name="T11" fmla="*/ 4 h 19"/>
                <a:gd name="T12" fmla="*/ 8 w 29"/>
                <a:gd name="T13" fmla="*/ 16 h 19"/>
                <a:gd name="T14" fmla="*/ 29 w 29"/>
                <a:gd name="T15" fmla="*/ 16 h 19"/>
                <a:gd name="T16" fmla="*/ 0 60000 65536"/>
                <a:gd name="T17" fmla="*/ 0 60000 65536"/>
                <a:gd name="T18" fmla="*/ 0 60000 65536"/>
                <a:gd name="T19" fmla="*/ 0 60000 65536"/>
                <a:gd name="T20" fmla="*/ 0 60000 65536"/>
                <a:gd name="T21" fmla="*/ 0 60000 65536"/>
                <a:gd name="T22" fmla="*/ 0 60000 65536"/>
                <a:gd name="T23" fmla="*/ 0 60000 65536"/>
                <a:gd name="T24" fmla="*/ 0 w 29"/>
                <a:gd name="T25" fmla="*/ 0 h 19"/>
                <a:gd name="T26" fmla="*/ 29 w 29"/>
                <a:gd name="T27" fmla="*/ 19 h 19"/>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29" h="19">
                  <a:moveTo>
                    <a:pt x="29" y="16"/>
                  </a:moveTo>
                  <a:lnTo>
                    <a:pt x="25" y="19"/>
                  </a:lnTo>
                  <a:lnTo>
                    <a:pt x="0" y="19"/>
                  </a:lnTo>
                  <a:lnTo>
                    <a:pt x="19" y="0"/>
                  </a:lnTo>
                  <a:lnTo>
                    <a:pt x="21" y="2"/>
                  </a:lnTo>
                  <a:lnTo>
                    <a:pt x="21" y="4"/>
                  </a:lnTo>
                  <a:lnTo>
                    <a:pt x="8" y="16"/>
                  </a:lnTo>
                  <a:lnTo>
                    <a:pt x="29" y="16"/>
                  </a:lnTo>
                  <a:close/>
                </a:path>
              </a:pathLst>
            </a:custGeom>
            <a:solidFill>
              <a:srgbClr val="C0C0C0"/>
            </a:solidFill>
            <a:ln w="9525">
              <a:solidFill>
                <a:srgbClr val="000000"/>
              </a:solidFill>
              <a:round/>
              <a:headEnd/>
              <a:tailEnd/>
            </a:ln>
          </xdr:spPr>
        </xdr:sp>
      </xdr:grpSp>
      <xdr:sp macro="" textlink="">
        <xdr:nvSpPr>
          <xdr:cNvPr id="244" name="AutoShape 207"/>
          <xdr:cNvSpPr>
            <a:spLocks noChangeArrowheads="1"/>
          </xdr:cNvSpPr>
        </xdr:nvSpPr>
        <xdr:spPr bwMode="auto">
          <a:xfrm>
            <a:off x="4991100" y="2800350"/>
            <a:ext cx="809625" cy="1876425"/>
          </a:xfrm>
          <a:prstGeom prst="roundRect">
            <a:avLst>
              <a:gd name="adj" fmla="val 31394"/>
            </a:avLst>
          </a:prstGeom>
          <a:solidFill>
            <a:srgbClr val="BDFFFF"/>
          </a:solidFill>
          <a:ln w="9525">
            <a:noFill/>
            <a:round/>
            <a:headEnd/>
            <a:tailEnd/>
          </a:ln>
        </xdr:spPr>
      </xdr:sp>
      <xdr:sp macro="" textlink="">
        <xdr:nvSpPr>
          <xdr:cNvPr id="245" name="Freeform 208"/>
          <xdr:cNvSpPr>
            <a:spLocks/>
          </xdr:cNvSpPr>
        </xdr:nvSpPr>
        <xdr:spPr bwMode="auto">
          <a:xfrm>
            <a:off x="2628900" y="2800350"/>
            <a:ext cx="809625" cy="1790700"/>
          </a:xfrm>
          <a:custGeom>
            <a:avLst/>
            <a:gdLst>
              <a:gd name="T0" fmla="*/ 2147483647 w 85"/>
              <a:gd name="T1" fmla="*/ 0 h 188"/>
              <a:gd name="T2" fmla="*/ 2147483647 w 85"/>
              <a:gd name="T3" fmla="*/ 2147483647 h 188"/>
              <a:gd name="T4" fmla="*/ 2147483647 w 85"/>
              <a:gd name="T5" fmla="*/ 2147483647 h 188"/>
              <a:gd name="T6" fmla="*/ 0 w 85"/>
              <a:gd name="T7" fmla="*/ 2147483647 h 188"/>
              <a:gd name="T8" fmla="*/ 0 w 85"/>
              <a:gd name="T9" fmla="*/ 2147483647 h 188"/>
              <a:gd name="T10" fmla="*/ 0 w 85"/>
              <a:gd name="T11" fmla="*/ 2147483647 h 188"/>
              <a:gd name="T12" fmla="*/ 0 w 85"/>
              <a:gd name="T13" fmla="*/ 2147483647 h 188"/>
              <a:gd name="T14" fmla="*/ 2147483647 w 85"/>
              <a:gd name="T15" fmla="*/ 2147483647 h 188"/>
              <a:gd name="T16" fmla="*/ 2147483647 w 85"/>
              <a:gd name="T17" fmla="*/ 2147483647 h 188"/>
              <a:gd name="T18" fmla="*/ 2147483647 w 85"/>
              <a:gd name="T19" fmla="*/ 2147483647 h 188"/>
              <a:gd name="T20" fmla="*/ 2147483647 w 85"/>
              <a:gd name="T21" fmla="*/ 2147483647 h 188"/>
              <a:gd name="T22" fmla="*/ 2147483647 w 85"/>
              <a:gd name="T23" fmla="*/ 0 h 188"/>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w 85"/>
              <a:gd name="T37" fmla="*/ 0 h 188"/>
              <a:gd name="T38" fmla="*/ 85 w 85"/>
              <a:gd name="T39" fmla="*/ 188 h 188"/>
            </a:gdLst>
            <a:ahLst/>
            <a:cxnLst>
              <a:cxn ang="T24">
                <a:pos x="T0" y="T1"/>
              </a:cxn>
              <a:cxn ang="T25">
                <a:pos x="T2" y="T3"/>
              </a:cxn>
              <a:cxn ang="T26">
                <a:pos x="T4" y="T5"/>
              </a:cxn>
              <a:cxn ang="T27">
                <a:pos x="T6" y="T7"/>
              </a:cxn>
              <a:cxn ang="T28">
                <a:pos x="T8" y="T9"/>
              </a:cxn>
              <a:cxn ang="T29">
                <a:pos x="T10" y="T11"/>
              </a:cxn>
              <a:cxn ang="T30">
                <a:pos x="T12" y="T13"/>
              </a:cxn>
              <a:cxn ang="T31">
                <a:pos x="T14" y="T15"/>
              </a:cxn>
              <a:cxn ang="T32">
                <a:pos x="T16" y="T17"/>
              </a:cxn>
              <a:cxn ang="T33">
                <a:pos x="T18" y="T19"/>
              </a:cxn>
              <a:cxn ang="T34">
                <a:pos x="T20" y="T21"/>
              </a:cxn>
              <a:cxn ang="T35">
                <a:pos x="T22" y="T23"/>
              </a:cxn>
            </a:cxnLst>
            <a:rect l="T36" t="T37" r="T38" b="T39"/>
            <a:pathLst>
              <a:path w="85" h="188">
                <a:moveTo>
                  <a:pt x="84" y="0"/>
                </a:moveTo>
                <a:lnTo>
                  <a:pt x="85" y="168"/>
                </a:lnTo>
                <a:lnTo>
                  <a:pt x="1" y="188"/>
                </a:lnTo>
                <a:lnTo>
                  <a:pt x="0" y="96"/>
                </a:lnTo>
                <a:lnTo>
                  <a:pt x="0" y="49"/>
                </a:lnTo>
                <a:lnTo>
                  <a:pt x="0" y="34"/>
                </a:lnTo>
                <a:lnTo>
                  <a:pt x="0" y="18"/>
                </a:lnTo>
                <a:lnTo>
                  <a:pt x="2" y="9"/>
                </a:lnTo>
                <a:lnTo>
                  <a:pt x="12" y="3"/>
                </a:lnTo>
                <a:lnTo>
                  <a:pt x="20" y="1"/>
                </a:lnTo>
                <a:lnTo>
                  <a:pt x="32" y="1"/>
                </a:lnTo>
                <a:lnTo>
                  <a:pt x="84" y="0"/>
                </a:lnTo>
                <a:close/>
              </a:path>
            </a:pathLst>
          </a:custGeom>
          <a:solidFill>
            <a:srgbClr val="BDFFFF"/>
          </a:solidFill>
          <a:ln w="9525">
            <a:noFill/>
            <a:round/>
            <a:headEnd/>
            <a:tailEnd/>
          </a:ln>
        </xdr:spPr>
      </xdr:sp>
      <xdr:sp macro="" textlink="">
        <xdr:nvSpPr>
          <xdr:cNvPr id="246" name="AutoShape 209"/>
          <xdr:cNvSpPr>
            <a:spLocks noChangeArrowheads="1"/>
          </xdr:cNvSpPr>
        </xdr:nvSpPr>
        <xdr:spPr bwMode="auto">
          <a:xfrm>
            <a:off x="2633664" y="4107657"/>
            <a:ext cx="3167061" cy="1933700"/>
          </a:xfrm>
          <a:custGeom>
            <a:avLst/>
            <a:gdLst>
              <a:gd name="connsiteX0" fmla="*/ 0 w 3171825"/>
              <a:gd name="connsiteY0" fmla="*/ 219045 h 1952625"/>
              <a:gd name="connsiteX1" fmla="*/ 219045 w 3171825"/>
              <a:gd name="connsiteY1" fmla="*/ 0 h 1952625"/>
              <a:gd name="connsiteX2" fmla="*/ 2952780 w 3171825"/>
              <a:gd name="connsiteY2" fmla="*/ 0 h 1952625"/>
              <a:gd name="connsiteX3" fmla="*/ 3171825 w 3171825"/>
              <a:gd name="connsiteY3" fmla="*/ 219045 h 1952625"/>
              <a:gd name="connsiteX4" fmla="*/ 3171825 w 3171825"/>
              <a:gd name="connsiteY4" fmla="*/ 1733580 h 1952625"/>
              <a:gd name="connsiteX5" fmla="*/ 2952780 w 3171825"/>
              <a:gd name="connsiteY5" fmla="*/ 1952625 h 1952625"/>
              <a:gd name="connsiteX6" fmla="*/ 219045 w 3171825"/>
              <a:gd name="connsiteY6" fmla="*/ 1952625 h 1952625"/>
              <a:gd name="connsiteX7" fmla="*/ 0 w 3171825"/>
              <a:gd name="connsiteY7" fmla="*/ 1733580 h 1952625"/>
              <a:gd name="connsiteX8" fmla="*/ 0 w 3171825"/>
              <a:gd name="connsiteY8" fmla="*/ 219045 h 1952625"/>
              <a:gd name="connsiteX0" fmla="*/ 0 w 3171825"/>
              <a:gd name="connsiteY0" fmla="*/ 219045 h 1952625"/>
              <a:gd name="connsiteX1" fmla="*/ 219045 w 3171825"/>
              <a:gd name="connsiteY1" fmla="*/ 0 h 1952625"/>
              <a:gd name="connsiteX2" fmla="*/ 2952780 w 3171825"/>
              <a:gd name="connsiteY2" fmla="*/ 0 h 1952625"/>
              <a:gd name="connsiteX3" fmla="*/ 3171825 w 3171825"/>
              <a:gd name="connsiteY3" fmla="*/ 219045 h 1952625"/>
              <a:gd name="connsiteX4" fmla="*/ 3171825 w 3171825"/>
              <a:gd name="connsiteY4" fmla="*/ 1733580 h 1952625"/>
              <a:gd name="connsiteX5" fmla="*/ 2981355 w 3171825"/>
              <a:gd name="connsiteY5" fmla="*/ 1952625 h 1952625"/>
              <a:gd name="connsiteX6" fmla="*/ 219045 w 3171825"/>
              <a:gd name="connsiteY6" fmla="*/ 1952625 h 1952625"/>
              <a:gd name="connsiteX7" fmla="*/ 0 w 3171825"/>
              <a:gd name="connsiteY7" fmla="*/ 1733580 h 1952625"/>
              <a:gd name="connsiteX8" fmla="*/ 0 w 3171825"/>
              <a:gd name="connsiteY8" fmla="*/ 219045 h 1952625"/>
              <a:gd name="connsiteX0" fmla="*/ 0 w 3181350"/>
              <a:gd name="connsiteY0" fmla="*/ 219045 h 1952625"/>
              <a:gd name="connsiteX1" fmla="*/ 219045 w 3181350"/>
              <a:gd name="connsiteY1" fmla="*/ 0 h 1952625"/>
              <a:gd name="connsiteX2" fmla="*/ 2952780 w 3181350"/>
              <a:gd name="connsiteY2" fmla="*/ 0 h 1952625"/>
              <a:gd name="connsiteX3" fmla="*/ 3171825 w 3181350"/>
              <a:gd name="connsiteY3" fmla="*/ 219045 h 1952625"/>
              <a:gd name="connsiteX4" fmla="*/ 3181350 w 3181350"/>
              <a:gd name="connsiteY4" fmla="*/ 1762155 h 1952625"/>
              <a:gd name="connsiteX5" fmla="*/ 2981355 w 3181350"/>
              <a:gd name="connsiteY5" fmla="*/ 1952625 h 1952625"/>
              <a:gd name="connsiteX6" fmla="*/ 219045 w 3181350"/>
              <a:gd name="connsiteY6" fmla="*/ 1952625 h 1952625"/>
              <a:gd name="connsiteX7" fmla="*/ 0 w 3181350"/>
              <a:gd name="connsiteY7" fmla="*/ 1733580 h 1952625"/>
              <a:gd name="connsiteX8" fmla="*/ 0 w 3181350"/>
              <a:gd name="connsiteY8" fmla="*/ 219045 h 19526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181350" h="1952625">
                <a:moveTo>
                  <a:pt x="0" y="219045"/>
                </a:moveTo>
                <a:cubicBezTo>
                  <a:pt x="0" y="98070"/>
                  <a:pt x="98070" y="0"/>
                  <a:pt x="219045" y="0"/>
                </a:cubicBezTo>
                <a:lnTo>
                  <a:pt x="2952780" y="0"/>
                </a:lnTo>
                <a:cubicBezTo>
                  <a:pt x="3073755" y="0"/>
                  <a:pt x="3171825" y="98070"/>
                  <a:pt x="3171825" y="219045"/>
                </a:cubicBezTo>
                <a:lnTo>
                  <a:pt x="3181350" y="1762155"/>
                </a:lnTo>
                <a:cubicBezTo>
                  <a:pt x="3181350" y="1883130"/>
                  <a:pt x="3102330" y="1952625"/>
                  <a:pt x="2981355" y="1952625"/>
                </a:cubicBezTo>
                <a:lnTo>
                  <a:pt x="219045" y="1952625"/>
                </a:lnTo>
                <a:cubicBezTo>
                  <a:pt x="98070" y="1952625"/>
                  <a:pt x="0" y="1854555"/>
                  <a:pt x="0" y="1733580"/>
                </a:cubicBezTo>
                <a:lnTo>
                  <a:pt x="0" y="219045"/>
                </a:lnTo>
                <a:close/>
              </a:path>
            </a:pathLst>
          </a:custGeom>
          <a:gradFill rotWithShape="1">
            <a:gsLst>
              <a:gs pos="0">
                <a:srgbClr val="B3FFFF"/>
              </a:gs>
              <a:gs pos="100000">
                <a:srgbClr val="A6CAF0"/>
              </a:gs>
            </a:gsLst>
            <a:lin ang="5400000" scaled="1"/>
          </a:gradFill>
          <a:ln w="9525">
            <a:noFill/>
            <a:round/>
            <a:headEnd/>
            <a:tailEnd/>
          </a:ln>
        </xdr:spPr>
      </xdr:sp>
      <xdr:sp macro="" textlink="">
        <xdr:nvSpPr>
          <xdr:cNvPr id="247" name="Freeform 210"/>
          <xdr:cNvSpPr>
            <a:spLocks/>
          </xdr:cNvSpPr>
        </xdr:nvSpPr>
        <xdr:spPr bwMode="auto">
          <a:xfrm>
            <a:off x="3295650" y="1962150"/>
            <a:ext cx="2724150" cy="1038225"/>
          </a:xfrm>
          <a:custGeom>
            <a:avLst/>
            <a:gdLst>
              <a:gd name="T0" fmla="*/ 2147483647 w 286"/>
              <a:gd name="T1" fmla="*/ 2147483647 h 109"/>
              <a:gd name="T2" fmla="*/ 2147483647 w 286"/>
              <a:gd name="T3" fmla="*/ 2147483647 h 109"/>
              <a:gd name="T4" fmla="*/ 2147483647 w 286"/>
              <a:gd name="T5" fmla="*/ 2147483647 h 109"/>
              <a:gd name="T6" fmla="*/ 2147483647 w 286"/>
              <a:gd name="T7" fmla="*/ 2147483647 h 109"/>
              <a:gd name="T8" fmla="*/ 2147483647 w 286"/>
              <a:gd name="T9" fmla="*/ 2147483647 h 109"/>
              <a:gd name="T10" fmla="*/ 2147483647 w 286"/>
              <a:gd name="T11" fmla="*/ 2147483647 h 109"/>
              <a:gd name="T12" fmla="*/ 2147483647 w 286"/>
              <a:gd name="T13" fmla="*/ 2147483647 h 109"/>
              <a:gd name="T14" fmla="*/ 2147483647 w 286"/>
              <a:gd name="T15" fmla="*/ 2147483647 h 109"/>
              <a:gd name="T16" fmla="*/ 2147483647 w 286"/>
              <a:gd name="T17" fmla="*/ 2147483647 h 109"/>
              <a:gd name="T18" fmla="*/ 2147483647 w 286"/>
              <a:gd name="T19" fmla="*/ 2147483647 h 109"/>
              <a:gd name="T20" fmla="*/ 2147483647 w 286"/>
              <a:gd name="T21" fmla="*/ 2147483647 h 109"/>
              <a:gd name="T22" fmla="*/ 2147483647 w 286"/>
              <a:gd name="T23" fmla="*/ 2147483647 h 109"/>
              <a:gd name="T24" fmla="*/ 2147483647 w 286"/>
              <a:gd name="T25" fmla="*/ 0 h 109"/>
              <a:gd name="T26" fmla="*/ 2147483647 w 286"/>
              <a:gd name="T27" fmla="*/ 2147483647 h 109"/>
              <a:gd name="T28" fmla="*/ 0 w 286"/>
              <a:gd name="T29" fmla="*/ 2147483647 h 109"/>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286"/>
              <a:gd name="T46" fmla="*/ 0 h 109"/>
              <a:gd name="T47" fmla="*/ 286 w 286"/>
              <a:gd name="T48" fmla="*/ 109 h 109"/>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286" h="109">
                <a:moveTo>
                  <a:pt x="9" y="82"/>
                </a:moveTo>
                <a:lnTo>
                  <a:pt x="12" y="92"/>
                </a:lnTo>
                <a:lnTo>
                  <a:pt x="23" y="83"/>
                </a:lnTo>
                <a:lnTo>
                  <a:pt x="38" y="69"/>
                </a:lnTo>
                <a:lnTo>
                  <a:pt x="91" y="17"/>
                </a:lnTo>
                <a:lnTo>
                  <a:pt x="226" y="22"/>
                </a:lnTo>
                <a:lnTo>
                  <a:pt x="174" y="88"/>
                </a:lnTo>
                <a:lnTo>
                  <a:pt x="180" y="90"/>
                </a:lnTo>
                <a:lnTo>
                  <a:pt x="178" y="109"/>
                </a:lnTo>
                <a:lnTo>
                  <a:pt x="242" y="101"/>
                </a:lnTo>
                <a:lnTo>
                  <a:pt x="286" y="23"/>
                </a:lnTo>
                <a:lnTo>
                  <a:pt x="279" y="6"/>
                </a:lnTo>
                <a:lnTo>
                  <a:pt x="105" y="0"/>
                </a:lnTo>
                <a:lnTo>
                  <a:pt x="40" y="7"/>
                </a:lnTo>
                <a:lnTo>
                  <a:pt x="0" y="82"/>
                </a:lnTo>
              </a:path>
            </a:pathLst>
          </a:custGeom>
          <a:solidFill>
            <a:srgbClr val="BDFFFF"/>
          </a:solidFill>
          <a:ln w="9525">
            <a:noFill/>
            <a:round/>
            <a:headEnd/>
            <a:tailEnd/>
          </a:ln>
        </xdr:spPr>
      </xdr:sp>
      <xdr:sp macro="" textlink="">
        <xdr:nvSpPr>
          <xdr:cNvPr id="248" name="Line 211"/>
          <xdr:cNvSpPr>
            <a:spLocks noChangeShapeType="1"/>
          </xdr:cNvSpPr>
        </xdr:nvSpPr>
        <xdr:spPr bwMode="auto">
          <a:xfrm flipV="1">
            <a:off x="5657850" y="981075"/>
            <a:ext cx="1743075" cy="1771650"/>
          </a:xfrm>
          <a:prstGeom prst="line">
            <a:avLst/>
          </a:prstGeom>
          <a:noFill/>
          <a:ln w="28575">
            <a:solidFill>
              <a:srgbClr val="66FFFF"/>
            </a:solidFill>
            <a:round/>
            <a:headEnd/>
            <a:tailEnd/>
          </a:ln>
        </xdr:spPr>
      </xdr:sp>
      <xdr:sp macro="" textlink="">
        <xdr:nvSpPr>
          <xdr:cNvPr id="249" name="Freeform 212"/>
          <xdr:cNvSpPr>
            <a:spLocks/>
          </xdr:cNvSpPr>
        </xdr:nvSpPr>
        <xdr:spPr bwMode="auto">
          <a:xfrm>
            <a:off x="3429000" y="2124075"/>
            <a:ext cx="2009775" cy="1971675"/>
          </a:xfrm>
          <a:custGeom>
            <a:avLst/>
            <a:gdLst>
              <a:gd name="T0" fmla="*/ 2147483647 w 211"/>
              <a:gd name="T1" fmla="*/ 2147483647 h 207"/>
              <a:gd name="T2" fmla="*/ 2147483647 w 211"/>
              <a:gd name="T3" fmla="*/ 2147483647 h 207"/>
              <a:gd name="T4" fmla="*/ 2147483647 w 211"/>
              <a:gd name="T5" fmla="*/ 2147483647 h 207"/>
              <a:gd name="T6" fmla="*/ 2147483647 w 211"/>
              <a:gd name="T7" fmla="*/ 2147483647 h 207"/>
              <a:gd name="T8" fmla="*/ 2147483647 w 211"/>
              <a:gd name="T9" fmla="*/ 0 h 207"/>
              <a:gd name="T10" fmla="*/ 0 w 211"/>
              <a:gd name="T11" fmla="*/ 2147483647 h 207"/>
              <a:gd name="T12" fmla="*/ 2147483647 w 211"/>
              <a:gd name="T13" fmla="*/ 2147483647 h 207"/>
              <a:gd name="T14" fmla="*/ 0 60000 65536"/>
              <a:gd name="T15" fmla="*/ 0 60000 65536"/>
              <a:gd name="T16" fmla="*/ 0 60000 65536"/>
              <a:gd name="T17" fmla="*/ 0 60000 65536"/>
              <a:gd name="T18" fmla="*/ 0 60000 65536"/>
              <a:gd name="T19" fmla="*/ 0 60000 65536"/>
              <a:gd name="T20" fmla="*/ 0 60000 65536"/>
              <a:gd name="T21" fmla="*/ 0 w 211"/>
              <a:gd name="T22" fmla="*/ 0 h 207"/>
              <a:gd name="T23" fmla="*/ 211 w 211"/>
              <a:gd name="T24" fmla="*/ 207 h 207"/>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211" h="207">
                <a:moveTo>
                  <a:pt x="2" y="207"/>
                </a:moveTo>
                <a:lnTo>
                  <a:pt x="164" y="207"/>
                </a:lnTo>
                <a:lnTo>
                  <a:pt x="162" y="71"/>
                </a:lnTo>
                <a:lnTo>
                  <a:pt x="211" y="5"/>
                </a:lnTo>
                <a:lnTo>
                  <a:pt x="77" y="0"/>
                </a:lnTo>
                <a:lnTo>
                  <a:pt x="0" y="74"/>
                </a:lnTo>
                <a:lnTo>
                  <a:pt x="2" y="207"/>
                </a:lnTo>
                <a:close/>
              </a:path>
            </a:pathLst>
          </a:custGeom>
          <a:noFill/>
          <a:ln w="19050" cmpd="sng">
            <a:solidFill>
              <a:srgbClr val="000000"/>
            </a:solidFill>
            <a:round/>
            <a:headEnd/>
            <a:tailEnd/>
          </a:ln>
        </xdr:spPr>
      </xdr:sp>
      <xdr:sp macro="" textlink="">
        <xdr:nvSpPr>
          <xdr:cNvPr id="250" name="Freeform 213"/>
          <xdr:cNvSpPr>
            <a:spLocks/>
          </xdr:cNvSpPr>
        </xdr:nvSpPr>
        <xdr:spPr bwMode="auto">
          <a:xfrm>
            <a:off x="3371850" y="2752725"/>
            <a:ext cx="123825" cy="47625"/>
          </a:xfrm>
          <a:custGeom>
            <a:avLst/>
            <a:gdLst>
              <a:gd name="T0" fmla="*/ 2147483647 w 13"/>
              <a:gd name="T1" fmla="*/ 2147483647 h 5"/>
              <a:gd name="T2" fmla="*/ 2147483647 w 13"/>
              <a:gd name="T3" fmla="*/ 2147483647 h 5"/>
              <a:gd name="T4" fmla="*/ 2147483647 w 13"/>
              <a:gd name="T5" fmla="*/ 0 h 5"/>
              <a:gd name="T6" fmla="*/ 0 w 13"/>
              <a:gd name="T7" fmla="*/ 0 h 5"/>
              <a:gd name="T8" fmla="*/ 2147483647 w 13"/>
              <a:gd name="T9" fmla="*/ 2147483647 h 5"/>
              <a:gd name="T10" fmla="*/ 0 60000 65536"/>
              <a:gd name="T11" fmla="*/ 0 60000 65536"/>
              <a:gd name="T12" fmla="*/ 0 60000 65536"/>
              <a:gd name="T13" fmla="*/ 0 60000 65536"/>
              <a:gd name="T14" fmla="*/ 0 60000 65536"/>
              <a:gd name="T15" fmla="*/ 0 w 13"/>
              <a:gd name="T16" fmla="*/ 0 h 5"/>
              <a:gd name="T17" fmla="*/ 13 w 13"/>
              <a:gd name="T18" fmla="*/ 5 h 5"/>
            </a:gdLst>
            <a:ahLst/>
            <a:cxnLst>
              <a:cxn ang="T10">
                <a:pos x="T0" y="T1"/>
              </a:cxn>
              <a:cxn ang="T11">
                <a:pos x="T2" y="T3"/>
              </a:cxn>
              <a:cxn ang="T12">
                <a:pos x="T4" y="T5"/>
              </a:cxn>
              <a:cxn ang="T13">
                <a:pos x="T6" y="T7"/>
              </a:cxn>
              <a:cxn ang="T14">
                <a:pos x="T8" y="T9"/>
              </a:cxn>
            </a:cxnLst>
            <a:rect l="T15" t="T16" r="T17" b="T18"/>
            <a:pathLst>
              <a:path w="13" h="5">
                <a:moveTo>
                  <a:pt x="2" y="5"/>
                </a:moveTo>
                <a:lnTo>
                  <a:pt x="10" y="5"/>
                </a:lnTo>
                <a:lnTo>
                  <a:pt x="13" y="0"/>
                </a:lnTo>
                <a:lnTo>
                  <a:pt x="0" y="0"/>
                </a:lnTo>
                <a:lnTo>
                  <a:pt x="2" y="5"/>
                </a:lnTo>
                <a:close/>
              </a:path>
            </a:pathLst>
          </a:custGeom>
          <a:solidFill>
            <a:srgbClr val="66FFCC"/>
          </a:solidFill>
          <a:ln w="9525">
            <a:noFill/>
            <a:round/>
            <a:headEnd/>
            <a:tailEnd/>
          </a:ln>
        </xdr:spPr>
      </xdr:sp>
      <xdr:sp macro="" textlink="">
        <xdr:nvSpPr>
          <xdr:cNvPr id="251" name="Freeform 214"/>
          <xdr:cNvSpPr>
            <a:spLocks/>
          </xdr:cNvSpPr>
        </xdr:nvSpPr>
        <xdr:spPr bwMode="auto">
          <a:xfrm>
            <a:off x="3352800" y="2752725"/>
            <a:ext cx="152400" cy="47625"/>
          </a:xfrm>
          <a:custGeom>
            <a:avLst/>
            <a:gdLst>
              <a:gd name="T0" fmla="*/ 2147483647 w 16"/>
              <a:gd name="T1" fmla="*/ 2147483647 h 5"/>
              <a:gd name="T2" fmla="*/ 2147483647 w 16"/>
              <a:gd name="T3" fmla="*/ 2147483647 h 5"/>
              <a:gd name="T4" fmla="*/ 2147483647 w 16"/>
              <a:gd name="T5" fmla="*/ 0 h 5"/>
              <a:gd name="T6" fmla="*/ 0 w 16"/>
              <a:gd name="T7" fmla="*/ 0 h 5"/>
              <a:gd name="T8" fmla="*/ 0 60000 65536"/>
              <a:gd name="T9" fmla="*/ 0 60000 65536"/>
              <a:gd name="T10" fmla="*/ 0 60000 65536"/>
              <a:gd name="T11" fmla="*/ 0 60000 65536"/>
              <a:gd name="T12" fmla="*/ 0 w 16"/>
              <a:gd name="T13" fmla="*/ 0 h 5"/>
              <a:gd name="T14" fmla="*/ 16 w 16"/>
              <a:gd name="T15" fmla="*/ 5 h 5"/>
            </a:gdLst>
            <a:ahLst/>
            <a:cxnLst>
              <a:cxn ang="T8">
                <a:pos x="T0" y="T1"/>
              </a:cxn>
              <a:cxn ang="T9">
                <a:pos x="T2" y="T3"/>
              </a:cxn>
              <a:cxn ang="T10">
                <a:pos x="T4" y="T5"/>
              </a:cxn>
              <a:cxn ang="T11">
                <a:pos x="T6" y="T7"/>
              </a:cxn>
            </a:cxnLst>
            <a:rect l="T12" t="T13" r="T14" b="T15"/>
            <a:pathLst>
              <a:path w="16" h="5">
                <a:moveTo>
                  <a:pt x="3" y="5"/>
                </a:moveTo>
                <a:lnTo>
                  <a:pt x="12" y="5"/>
                </a:lnTo>
                <a:lnTo>
                  <a:pt x="16" y="0"/>
                </a:lnTo>
                <a:lnTo>
                  <a:pt x="0" y="0"/>
                </a:lnTo>
              </a:path>
            </a:pathLst>
          </a:custGeom>
          <a:noFill/>
          <a:ln w="9525">
            <a:solidFill>
              <a:srgbClr val="000000"/>
            </a:solidFill>
            <a:round/>
            <a:headEnd/>
            <a:tailEnd/>
          </a:ln>
        </xdr:spPr>
      </xdr:sp>
      <xdr:sp macro="" textlink="">
        <xdr:nvSpPr>
          <xdr:cNvPr id="252" name="Line 215"/>
          <xdr:cNvSpPr>
            <a:spLocks noChangeShapeType="1"/>
          </xdr:cNvSpPr>
        </xdr:nvSpPr>
        <xdr:spPr bwMode="auto">
          <a:xfrm flipH="1">
            <a:off x="3438525" y="2705100"/>
            <a:ext cx="123825" cy="114300"/>
          </a:xfrm>
          <a:prstGeom prst="line">
            <a:avLst/>
          </a:prstGeom>
          <a:noFill/>
          <a:ln w="12700">
            <a:solidFill>
              <a:srgbClr val="000000"/>
            </a:solidFill>
            <a:round/>
            <a:headEnd/>
            <a:tailEnd/>
          </a:ln>
        </xdr:spPr>
      </xdr:sp>
      <xdr:sp macro="" textlink="">
        <xdr:nvSpPr>
          <xdr:cNvPr id="253" name="Freeform 216"/>
          <xdr:cNvSpPr>
            <a:spLocks/>
          </xdr:cNvSpPr>
        </xdr:nvSpPr>
        <xdr:spPr bwMode="auto">
          <a:xfrm>
            <a:off x="4981575" y="2752725"/>
            <a:ext cx="714375" cy="66675"/>
          </a:xfrm>
          <a:custGeom>
            <a:avLst/>
            <a:gdLst>
              <a:gd name="T0" fmla="*/ 0 w 75"/>
              <a:gd name="T1" fmla="*/ 2147483647 h 7"/>
              <a:gd name="T2" fmla="*/ 2147483647 w 75"/>
              <a:gd name="T3" fmla="*/ 2147483647 h 7"/>
              <a:gd name="T4" fmla="*/ 2147483647 w 75"/>
              <a:gd name="T5" fmla="*/ 2147483647 h 7"/>
              <a:gd name="T6" fmla="*/ 2147483647 w 75"/>
              <a:gd name="T7" fmla="*/ 2147483647 h 7"/>
              <a:gd name="T8" fmla="*/ 2147483647 w 75"/>
              <a:gd name="T9" fmla="*/ 2147483647 h 7"/>
              <a:gd name="T10" fmla="*/ 2147483647 w 75"/>
              <a:gd name="T11" fmla="*/ 2147483647 h 7"/>
              <a:gd name="T12" fmla="*/ 2147483647 w 75"/>
              <a:gd name="T13" fmla="*/ 0 h 7"/>
              <a:gd name="T14" fmla="*/ 2147483647 w 75"/>
              <a:gd name="T15" fmla="*/ 0 h 7"/>
              <a:gd name="T16" fmla="*/ 2147483647 w 75"/>
              <a:gd name="T17" fmla="*/ 0 h 7"/>
              <a:gd name="T18" fmla="*/ 0 w 75"/>
              <a:gd name="T19" fmla="*/ 2147483647 h 7"/>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75"/>
              <a:gd name="T31" fmla="*/ 0 h 7"/>
              <a:gd name="T32" fmla="*/ 75 w 75"/>
              <a:gd name="T33" fmla="*/ 7 h 7"/>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75" h="7">
                <a:moveTo>
                  <a:pt x="0" y="5"/>
                </a:moveTo>
                <a:lnTo>
                  <a:pt x="62" y="5"/>
                </a:lnTo>
                <a:lnTo>
                  <a:pt x="66" y="6"/>
                </a:lnTo>
                <a:lnTo>
                  <a:pt x="69" y="6"/>
                </a:lnTo>
                <a:lnTo>
                  <a:pt x="72" y="7"/>
                </a:lnTo>
                <a:lnTo>
                  <a:pt x="75" y="1"/>
                </a:lnTo>
                <a:lnTo>
                  <a:pt x="70" y="0"/>
                </a:lnTo>
                <a:lnTo>
                  <a:pt x="62" y="0"/>
                </a:lnTo>
                <a:lnTo>
                  <a:pt x="3" y="0"/>
                </a:lnTo>
                <a:lnTo>
                  <a:pt x="0" y="5"/>
                </a:lnTo>
                <a:close/>
              </a:path>
            </a:pathLst>
          </a:custGeom>
          <a:solidFill>
            <a:srgbClr val="66FFCC"/>
          </a:solidFill>
          <a:ln w="9525">
            <a:noFill/>
            <a:round/>
            <a:headEnd/>
            <a:tailEnd/>
          </a:ln>
        </xdr:spPr>
      </xdr:sp>
      <xdr:sp macro="" textlink="">
        <xdr:nvSpPr>
          <xdr:cNvPr id="254" name="Freeform 217"/>
          <xdr:cNvSpPr>
            <a:spLocks/>
          </xdr:cNvSpPr>
        </xdr:nvSpPr>
        <xdr:spPr bwMode="auto">
          <a:xfrm>
            <a:off x="4981575" y="2800350"/>
            <a:ext cx="723900" cy="47625"/>
          </a:xfrm>
          <a:custGeom>
            <a:avLst/>
            <a:gdLst>
              <a:gd name="T0" fmla="*/ 0 w 76"/>
              <a:gd name="T1" fmla="*/ 0 h 5"/>
              <a:gd name="T2" fmla="*/ 2147483647 w 76"/>
              <a:gd name="T3" fmla="*/ 0 h 5"/>
              <a:gd name="T4" fmla="*/ 2147483647 w 76"/>
              <a:gd name="T5" fmla="*/ 2147483647 h 5"/>
              <a:gd name="T6" fmla="*/ 2147483647 w 76"/>
              <a:gd name="T7" fmla="*/ 2147483647 h 5"/>
              <a:gd name="T8" fmla="*/ 2147483647 w 76"/>
              <a:gd name="T9" fmla="*/ 2147483647 h 5"/>
              <a:gd name="T10" fmla="*/ 0 60000 65536"/>
              <a:gd name="T11" fmla="*/ 0 60000 65536"/>
              <a:gd name="T12" fmla="*/ 0 60000 65536"/>
              <a:gd name="T13" fmla="*/ 0 60000 65536"/>
              <a:gd name="T14" fmla="*/ 0 60000 65536"/>
              <a:gd name="T15" fmla="*/ 0 w 76"/>
              <a:gd name="T16" fmla="*/ 0 h 5"/>
              <a:gd name="T17" fmla="*/ 76 w 76"/>
              <a:gd name="T18" fmla="*/ 5 h 5"/>
            </a:gdLst>
            <a:ahLst/>
            <a:cxnLst>
              <a:cxn ang="T10">
                <a:pos x="T0" y="T1"/>
              </a:cxn>
              <a:cxn ang="T11">
                <a:pos x="T2" y="T3"/>
              </a:cxn>
              <a:cxn ang="T12">
                <a:pos x="T4" y="T5"/>
              </a:cxn>
              <a:cxn ang="T13">
                <a:pos x="T6" y="T7"/>
              </a:cxn>
              <a:cxn ang="T14">
                <a:pos x="T8" y="T9"/>
              </a:cxn>
            </a:cxnLst>
            <a:rect l="T15" t="T16" r="T17" b="T18"/>
            <a:pathLst>
              <a:path w="76" h="5">
                <a:moveTo>
                  <a:pt x="0" y="0"/>
                </a:moveTo>
                <a:lnTo>
                  <a:pt x="66" y="0"/>
                </a:lnTo>
                <a:lnTo>
                  <a:pt x="70" y="1"/>
                </a:lnTo>
                <a:lnTo>
                  <a:pt x="73" y="3"/>
                </a:lnTo>
                <a:lnTo>
                  <a:pt x="76" y="5"/>
                </a:lnTo>
              </a:path>
            </a:pathLst>
          </a:custGeom>
          <a:noFill/>
          <a:ln w="9525">
            <a:solidFill>
              <a:srgbClr val="000000"/>
            </a:solidFill>
            <a:round/>
            <a:headEnd/>
            <a:tailEnd/>
          </a:ln>
        </xdr:spPr>
      </xdr:sp>
      <xdr:sp macro="" textlink="">
        <xdr:nvSpPr>
          <xdr:cNvPr id="255" name="Freeform 218"/>
          <xdr:cNvSpPr>
            <a:spLocks/>
          </xdr:cNvSpPr>
        </xdr:nvSpPr>
        <xdr:spPr bwMode="auto">
          <a:xfrm>
            <a:off x="4981575" y="2752725"/>
            <a:ext cx="742950" cy="47625"/>
          </a:xfrm>
          <a:custGeom>
            <a:avLst/>
            <a:gdLst>
              <a:gd name="T0" fmla="*/ 0 w 78"/>
              <a:gd name="T1" fmla="*/ 2147483647 h 5"/>
              <a:gd name="T2" fmla="*/ 2147483647 w 78"/>
              <a:gd name="T3" fmla="*/ 0 h 5"/>
              <a:gd name="T4" fmla="*/ 2147483647 w 78"/>
              <a:gd name="T5" fmla="*/ 0 h 5"/>
              <a:gd name="T6" fmla="*/ 2147483647 w 78"/>
              <a:gd name="T7" fmla="*/ 0 h 5"/>
              <a:gd name="T8" fmla="*/ 2147483647 w 78"/>
              <a:gd name="T9" fmla="*/ 2147483647 h 5"/>
              <a:gd name="T10" fmla="*/ 2147483647 w 78"/>
              <a:gd name="T11" fmla="*/ 2147483647 h 5"/>
              <a:gd name="T12" fmla="*/ 0 60000 65536"/>
              <a:gd name="T13" fmla="*/ 0 60000 65536"/>
              <a:gd name="T14" fmla="*/ 0 60000 65536"/>
              <a:gd name="T15" fmla="*/ 0 60000 65536"/>
              <a:gd name="T16" fmla="*/ 0 60000 65536"/>
              <a:gd name="T17" fmla="*/ 0 60000 65536"/>
              <a:gd name="T18" fmla="*/ 0 w 78"/>
              <a:gd name="T19" fmla="*/ 0 h 5"/>
              <a:gd name="T20" fmla="*/ 78 w 78"/>
              <a:gd name="T21" fmla="*/ 5 h 5"/>
            </a:gdLst>
            <a:ahLst/>
            <a:cxnLst>
              <a:cxn ang="T12">
                <a:pos x="T0" y="T1"/>
              </a:cxn>
              <a:cxn ang="T13">
                <a:pos x="T2" y="T3"/>
              </a:cxn>
              <a:cxn ang="T14">
                <a:pos x="T4" y="T5"/>
              </a:cxn>
              <a:cxn ang="T15">
                <a:pos x="T6" y="T7"/>
              </a:cxn>
              <a:cxn ang="T16">
                <a:pos x="T8" y="T9"/>
              </a:cxn>
              <a:cxn ang="T17">
                <a:pos x="T10" y="T11"/>
              </a:cxn>
            </a:cxnLst>
            <a:rect l="T18" t="T19" r="T20" b="T21"/>
            <a:pathLst>
              <a:path w="78" h="5">
                <a:moveTo>
                  <a:pt x="0" y="5"/>
                </a:moveTo>
                <a:lnTo>
                  <a:pt x="4" y="0"/>
                </a:lnTo>
                <a:lnTo>
                  <a:pt x="66" y="0"/>
                </a:lnTo>
                <a:lnTo>
                  <a:pt x="70" y="0"/>
                </a:lnTo>
                <a:lnTo>
                  <a:pt x="74" y="1"/>
                </a:lnTo>
                <a:lnTo>
                  <a:pt x="78" y="2"/>
                </a:lnTo>
              </a:path>
            </a:pathLst>
          </a:custGeom>
          <a:noFill/>
          <a:ln w="9525">
            <a:solidFill>
              <a:srgbClr val="000000"/>
            </a:solidFill>
            <a:round/>
            <a:headEnd/>
            <a:tailEnd/>
          </a:ln>
        </xdr:spPr>
      </xdr:sp>
      <xdr:sp macro="" textlink="">
        <xdr:nvSpPr>
          <xdr:cNvPr id="256" name="Line 219"/>
          <xdr:cNvSpPr>
            <a:spLocks noChangeShapeType="1"/>
          </xdr:cNvSpPr>
        </xdr:nvSpPr>
        <xdr:spPr bwMode="auto">
          <a:xfrm>
            <a:off x="5019675" y="2743200"/>
            <a:ext cx="0" cy="0"/>
          </a:xfrm>
          <a:prstGeom prst="line">
            <a:avLst/>
          </a:prstGeom>
          <a:noFill/>
          <a:ln w="9525">
            <a:solidFill>
              <a:srgbClr val="000000"/>
            </a:solidFill>
            <a:round/>
            <a:headEnd/>
            <a:tailEnd/>
          </a:ln>
        </xdr:spPr>
      </xdr:sp>
      <xdr:sp macro="" textlink="">
        <xdr:nvSpPr>
          <xdr:cNvPr id="257" name="Line 221"/>
          <xdr:cNvSpPr>
            <a:spLocks noChangeShapeType="1"/>
          </xdr:cNvSpPr>
        </xdr:nvSpPr>
        <xdr:spPr bwMode="auto">
          <a:xfrm flipH="1">
            <a:off x="5772147" y="4128337"/>
            <a:ext cx="1853868" cy="1881939"/>
          </a:xfrm>
          <a:prstGeom prst="line">
            <a:avLst/>
          </a:prstGeom>
          <a:noFill/>
          <a:ln w="19050">
            <a:solidFill>
              <a:srgbClr val="000000"/>
            </a:solidFill>
            <a:round/>
            <a:headEnd/>
            <a:tailEnd/>
          </a:ln>
        </xdr:spPr>
      </xdr:sp>
      <xdr:grpSp>
        <xdr:nvGrpSpPr>
          <xdr:cNvPr id="258" name="Group 222"/>
          <xdr:cNvGrpSpPr>
            <a:grpSpLocks/>
          </xdr:cNvGrpSpPr>
        </xdr:nvGrpSpPr>
        <xdr:grpSpPr bwMode="auto">
          <a:xfrm>
            <a:off x="2686050" y="3476625"/>
            <a:ext cx="666750" cy="552450"/>
            <a:chOff x="875" y="709"/>
            <a:chExt cx="70" cy="58"/>
          </a:xfrm>
        </xdr:grpSpPr>
        <xdr:grpSp>
          <xdr:nvGrpSpPr>
            <xdr:cNvPr id="322" name="Group 223"/>
            <xdr:cNvGrpSpPr>
              <a:grpSpLocks/>
            </xdr:cNvGrpSpPr>
          </xdr:nvGrpSpPr>
          <xdr:grpSpPr bwMode="auto">
            <a:xfrm>
              <a:off x="875" y="709"/>
              <a:ext cx="70" cy="58"/>
              <a:chOff x="875" y="709"/>
              <a:chExt cx="70" cy="58"/>
            </a:xfrm>
          </xdr:grpSpPr>
          <xdr:sp macro="" textlink="">
            <xdr:nvSpPr>
              <xdr:cNvPr id="326" name="AutoShape 224"/>
              <xdr:cNvSpPr>
                <a:spLocks noChangeArrowheads="1"/>
              </xdr:cNvSpPr>
            </xdr:nvSpPr>
            <xdr:spPr bwMode="auto">
              <a:xfrm>
                <a:off x="880" y="709"/>
                <a:ext cx="65" cy="56"/>
              </a:xfrm>
              <a:prstGeom prst="hexagon">
                <a:avLst>
                  <a:gd name="adj" fmla="val 29018"/>
                  <a:gd name="vf" fmla="val 115470"/>
                </a:avLst>
              </a:prstGeom>
              <a:solidFill>
                <a:srgbClr val="FFCC00"/>
              </a:solidFill>
              <a:ln w="9525">
                <a:solidFill>
                  <a:srgbClr val="000000"/>
                </a:solidFill>
                <a:miter lim="800000"/>
                <a:headEnd/>
                <a:tailEnd/>
              </a:ln>
            </xdr:spPr>
          </xdr:sp>
          <xdr:sp macro="" textlink="">
            <xdr:nvSpPr>
              <xdr:cNvPr id="327" name="AutoShape 225"/>
              <xdr:cNvSpPr>
                <a:spLocks noChangeArrowheads="1"/>
              </xdr:cNvSpPr>
            </xdr:nvSpPr>
            <xdr:spPr bwMode="auto">
              <a:xfrm>
                <a:off x="875" y="711"/>
                <a:ext cx="65" cy="56"/>
              </a:xfrm>
              <a:prstGeom prst="hexagon">
                <a:avLst>
                  <a:gd name="adj" fmla="val 29018"/>
                  <a:gd name="vf" fmla="val 115470"/>
                </a:avLst>
              </a:prstGeom>
              <a:solidFill>
                <a:srgbClr val="FFCC00"/>
              </a:solidFill>
              <a:ln w="9525">
                <a:solidFill>
                  <a:srgbClr val="000000"/>
                </a:solidFill>
                <a:miter lim="800000"/>
                <a:headEnd/>
                <a:tailEnd/>
              </a:ln>
            </xdr:spPr>
          </xdr:sp>
          <xdr:sp macro="" textlink="">
            <xdr:nvSpPr>
              <xdr:cNvPr id="328" name="Oval 226"/>
              <xdr:cNvSpPr>
                <a:spLocks noChangeArrowheads="1"/>
              </xdr:cNvSpPr>
            </xdr:nvSpPr>
            <xdr:spPr bwMode="auto">
              <a:xfrm>
                <a:off x="893" y="724"/>
                <a:ext cx="31" cy="32"/>
              </a:xfrm>
              <a:prstGeom prst="ellipse">
                <a:avLst/>
              </a:prstGeom>
              <a:solidFill>
                <a:srgbClr val="FFCC00"/>
              </a:solidFill>
              <a:ln w="9525">
                <a:solidFill>
                  <a:srgbClr val="000000"/>
                </a:solidFill>
                <a:round/>
                <a:headEnd/>
                <a:tailEnd/>
              </a:ln>
            </xdr:spPr>
          </xdr:sp>
          <xdr:sp macro="" textlink="">
            <xdr:nvSpPr>
              <xdr:cNvPr id="329" name="Oval 227"/>
              <xdr:cNvSpPr>
                <a:spLocks noChangeArrowheads="1"/>
              </xdr:cNvSpPr>
            </xdr:nvSpPr>
            <xdr:spPr bwMode="auto">
              <a:xfrm>
                <a:off x="890" y="727"/>
                <a:ext cx="32" cy="31"/>
              </a:xfrm>
              <a:prstGeom prst="ellipse">
                <a:avLst/>
              </a:prstGeom>
              <a:solidFill>
                <a:srgbClr val="FFCC00"/>
              </a:solidFill>
              <a:ln w="9525">
                <a:solidFill>
                  <a:srgbClr val="000000"/>
                </a:solidFill>
                <a:round/>
                <a:headEnd/>
                <a:tailEnd/>
              </a:ln>
            </xdr:spPr>
          </xdr:sp>
          <xdr:sp macro="" textlink="">
            <xdr:nvSpPr>
              <xdr:cNvPr id="330" name="Oval 228"/>
              <xdr:cNvSpPr>
                <a:spLocks noChangeArrowheads="1"/>
              </xdr:cNvSpPr>
            </xdr:nvSpPr>
            <xdr:spPr bwMode="auto">
              <a:xfrm>
                <a:off x="888" y="729"/>
                <a:ext cx="31" cy="31"/>
              </a:xfrm>
              <a:prstGeom prst="ellipse">
                <a:avLst/>
              </a:prstGeom>
              <a:solidFill>
                <a:srgbClr val="FFCC00"/>
              </a:solidFill>
              <a:ln w="9525">
                <a:solidFill>
                  <a:srgbClr val="000000"/>
                </a:solidFill>
                <a:round/>
                <a:headEnd/>
                <a:tailEnd/>
              </a:ln>
            </xdr:spPr>
          </xdr:sp>
          <xdr:sp macro="" textlink="">
            <xdr:nvSpPr>
              <xdr:cNvPr id="331" name="Oval 229"/>
              <xdr:cNvSpPr>
                <a:spLocks noChangeArrowheads="1"/>
              </xdr:cNvSpPr>
            </xdr:nvSpPr>
            <xdr:spPr bwMode="auto">
              <a:xfrm>
                <a:off x="886" y="731"/>
                <a:ext cx="31" cy="32"/>
              </a:xfrm>
              <a:prstGeom prst="ellipse">
                <a:avLst/>
              </a:prstGeom>
              <a:solidFill>
                <a:srgbClr val="FFCC00"/>
              </a:solidFill>
              <a:ln w="9525">
                <a:solidFill>
                  <a:srgbClr val="000000"/>
                </a:solidFill>
                <a:round/>
                <a:headEnd/>
                <a:tailEnd/>
              </a:ln>
            </xdr:spPr>
          </xdr:sp>
          <xdr:sp macro="" textlink="">
            <xdr:nvSpPr>
              <xdr:cNvPr id="332" name="Freeform 230"/>
              <xdr:cNvSpPr>
                <a:spLocks/>
              </xdr:cNvSpPr>
            </xdr:nvSpPr>
            <xdr:spPr bwMode="auto">
              <a:xfrm>
                <a:off x="891" y="709"/>
                <a:ext cx="38" cy="2"/>
              </a:xfrm>
              <a:custGeom>
                <a:avLst/>
                <a:gdLst>
                  <a:gd name="T0" fmla="*/ 0 w 32"/>
                  <a:gd name="T1" fmla="*/ 2 h 2"/>
                  <a:gd name="T2" fmla="*/ 268 w 32"/>
                  <a:gd name="T3" fmla="*/ 0 h 2"/>
                  <a:gd name="T4" fmla="*/ 1662 w 32"/>
                  <a:gd name="T5" fmla="*/ 0 h 2"/>
                  <a:gd name="T6" fmla="*/ 1423 w 32"/>
                  <a:gd name="T7" fmla="*/ 2 h 2"/>
                  <a:gd name="T8" fmla="*/ 0 w 32"/>
                  <a:gd name="T9" fmla="*/ 2 h 2"/>
                  <a:gd name="T10" fmla="*/ 0 60000 65536"/>
                  <a:gd name="T11" fmla="*/ 0 60000 65536"/>
                  <a:gd name="T12" fmla="*/ 0 60000 65536"/>
                  <a:gd name="T13" fmla="*/ 0 60000 65536"/>
                  <a:gd name="T14" fmla="*/ 0 60000 65536"/>
                  <a:gd name="T15" fmla="*/ 0 w 32"/>
                  <a:gd name="T16" fmla="*/ 0 h 2"/>
                  <a:gd name="T17" fmla="*/ 32 w 32"/>
                  <a:gd name="T18" fmla="*/ 2 h 2"/>
                </a:gdLst>
                <a:ahLst/>
                <a:cxnLst>
                  <a:cxn ang="T10">
                    <a:pos x="T0" y="T1"/>
                  </a:cxn>
                  <a:cxn ang="T11">
                    <a:pos x="T2" y="T3"/>
                  </a:cxn>
                  <a:cxn ang="T12">
                    <a:pos x="T4" y="T5"/>
                  </a:cxn>
                  <a:cxn ang="T13">
                    <a:pos x="T6" y="T7"/>
                  </a:cxn>
                  <a:cxn ang="T14">
                    <a:pos x="T8" y="T9"/>
                  </a:cxn>
                </a:cxnLst>
                <a:rect l="T15" t="T16" r="T17" b="T18"/>
                <a:pathLst>
                  <a:path w="32" h="2">
                    <a:moveTo>
                      <a:pt x="0" y="2"/>
                    </a:moveTo>
                    <a:lnTo>
                      <a:pt x="5" y="0"/>
                    </a:lnTo>
                    <a:lnTo>
                      <a:pt x="32" y="0"/>
                    </a:lnTo>
                    <a:lnTo>
                      <a:pt x="28" y="2"/>
                    </a:lnTo>
                    <a:lnTo>
                      <a:pt x="0" y="2"/>
                    </a:lnTo>
                    <a:close/>
                  </a:path>
                </a:pathLst>
              </a:custGeom>
              <a:solidFill>
                <a:srgbClr val="FFCC00"/>
              </a:solidFill>
              <a:ln w="9525">
                <a:solidFill>
                  <a:srgbClr val="000000"/>
                </a:solidFill>
                <a:round/>
                <a:headEnd/>
                <a:tailEnd/>
              </a:ln>
            </xdr:spPr>
          </xdr:sp>
          <xdr:sp macro="" textlink="">
            <xdr:nvSpPr>
              <xdr:cNvPr id="333" name="Freeform 231"/>
              <xdr:cNvSpPr>
                <a:spLocks/>
              </xdr:cNvSpPr>
            </xdr:nvSpPr>
            <xdr:spPr bwMode="auto">
              <a:xfrm>
                <a:off x="924" y="737"/>
                <a:ext cx="21" cy="30"/>
              </a:xfrm>
              <a:custGeom>
                <a:avLst/>
                <a:gdLst>
                  <a:gd name="T0" fmla="*/ 488 w 18"/>
                  <a:gd name="T1" fmla="*/ 2 h 26"/>
                  <a:gd name="T2" fmla="*/ 653 w 18"/>
                  <a:gd name="T3" fmla="*/ 0 h 26"/>
                  <a:gd name="T4" fmla="*/ 163 w 18"/>
                  <a:gd name="T5" fmla="*/ 659 h 26"/>
                  <a:gd name="T6" fmla="*/ 0 w 18"/>
                  <a:gd name="T7" fmla="*/ 689 h 26"/>
                  <a:gd name="T8" fmla="*/ 488 w 18"/>
                  <a:gd name="T9" fmla="*/ 2 h 26"/>
                  <a:gd name="T10" fmla="*/ 0 60000 65536"/>
                  <a:gd name="T11" fmla="*/ 0 60000 65536"/>
                  <a:gd name="T12" fmla="*/ 0 60000 65536"/>
                  <a:gd name="T13" fmla="*/ 0 60000 65536"/>
                  <a:gd name="T14" fmla="*/ 0 60000 65536"/>
                  <a:gd name="T15" fmla="*/ 0 w 18"/>
                  <a:gd name="T16" fmla="*/ 0 h 26"/>
                  <a:gd name="T17" fmla="*/ 18 w 18"/>
                  <a:gd name="T18" fmla="*/ 26 h 26"/>
                </a:gdLst>
                <a:ahLst/>
                <a:cxnLst>
                  <a:cxn ang="T10">
                    <a:pos x="T0" y="T1"/>
                  </a:cxn>
                  <a:cxn ang="T11">
                    <a:pos x="T2" y="T3"/>
                  </a:cxn>
                  <a:cxn ang="T12">
                    <a:pos x="T4" y="T5"/>
                  </a:cxn>
                  <a:cxn ang="T13">
                    <a:pos x="T6" y="T7"/>
                  </a:cxn>
                  <a:cxn ang="T14">
                    <a:pos x="T8" y="T9"/>
                  </a:cxn>
                </a:cxnLst>
                <a:rect l="T15" t="T16" r="T17" b="T18"/>
                <a:pathLst>
                  <a:path w="18" h="26">
                    <a:moveTo>
                      <a:pt x="14" y="2"/>
                    </a:moveTo>
                    <a:lnTo>
                      <a:pt x="18" y="0"/>
                    </a:lnTo>
                    <a:lnTo>
                      <a:pt x="4" y="24"/>
                    </a:lnTo>
                    <a:lnTo>
                      <a:pt x="0" y="26"/>
                    </a:lnTo>
                    <a:lnTo>
                      <a:pt x="14" y="2"/>
                    </a:lnTo>
                    <a:close/>
                  </a:path>
                </a:pathLst>
              </a:custGeom>
              <a:solidFill>
                <a:srgbClr val="FFCC00"/>
              </a:solidFill>
              <a:ln w="9525">
                <a:solidFill>
                  <a:srgbClr val="000000"/>
                </a:solidFill>
                <a:round/>
                <a:headEnd/>
                <a:tailEnd/>
              </a:ln>
            </xdr:spPr>
          </xdr:sp>
        </xdr:grpSp>
        <xdr:grpSp>
          <xdr:nvGrpSpPr>
            <xdr:cNvPr id="323" name="Group 232"/>
            <xdr:cNvGrpSpPr>
              <a:grpSpLocks/>
            </xdr:cNvGrpSpPr>
          </xdr:nvGrpSpPr>
          <xdr:grpSpPr bwMode="auto">
            <a:xfrm>
              <a:off x="889" y="735"/>
              <a:ext cx="24" cy="24"/>
              <a:chOff x="789" y="844"/>
              <a:chExt cx="24" cy="24"/>
            </a:xfrm>
          </xdr:grpSpPr>
          <xdr:sp macro="" textlink="">
            <xdr:nvSpPr>
              <xdr:cNvPr id="324" name="Line 233"/>
              <xdr:cNvSpPr>
                <a:spLocks noChangeShapeType="1"/>
              </xdr:cNvSpPr>
            </xdr:nvSpPr>
            <xdr:spPr bwMode="auto">
              <a:xfrm>
                <a:off x="789" y="857"/>
                <a:ext cx="24" cy="0"/>
              </a:xfrm>
              <a:prstGeom prst="line">
                <a:avLst/>
              </a:prstGeom>
              <a:noFill/>
              <a:ln w="28575">
                <a:solidFill>
                  <a:srgbClr val="000000"/>
                </a:solidFill>
                <a:round/>
                <a:headEnd/>
                <a:tailEnd/>
              </a:ln>
            </xdr:spPr>
          </xdr:sp>
          <xdr:sp macro="" textlink="">
            <xdr:nvSpPr>
              <xdr:cNvPr id="325" name="Line 234"/>
              <xdr:cNvSpPr>
                <a:spLocks noChangeShapeType="1"/>
              </xdr:cNvSpPr>
            </xdr:nvSpPr>
            <xdr:spPr bwMode="auto">
              <a:xfrm rot="-5400000">
                <a:off x="790" y="856"/>
                <a:ext cx="24" cy="0"/>
              </a:xfrm>
              <a:prstGeom prst="line">
                <a:avLst/>
              </a:prstGeom>
              <a:noFill/>
              <a:ln w="28575">
                <a:solidFill>
                  <a:srgbClr val="000000"/>
                </a:solidFill>
                <a:round/>
                <a:headEnd/>
                <a:tailEnd/>
              </a:ln>
            </xdr:spPr>
          </xdr:sp>
        </xdr:grpSp>
      </xdr:grpSp>
      <xdr:grpSp>
        <xdr:nvGrpSpPr>
          <xdr:cNvPr id="259" name="Group 235"/>
          <xdr:cNvGrpSpPr>
            <a:grpSpLocks/>
          </xdr:cNvGrpSpPr>
        </xdr:nvGrpSpPr>
        <xdr:grpSpPr bwMode="auto">
          <a:xfrm>
            <a:off x="5095971" y="3476625"/>
            <a:ext cx="666750" cy="552450"/>
            <a:chOff x="1016" y="782"/>
            <a:chExt cx="70" cy="58"/>
          </a:xfrm>
        </xdr:grpSpPr>
        <xdr:grpSp>
          <xdr:nvGrpSpPr>
            <xdr:cNvPr id="312" name="Group 236"/>
            <xdr:cNvGrpSpPr>
              <a:grpSpLocks/>
            </xdr:cNvGrpSpPr>
          </xdr:nvGrpSpPr>
          <xdr:grpSpPr bwMode="auto">
            <a:xfrm>
              <a:off x="1016" y="782"/>
              <a:ext cx="70" cy="58"/>
              <a:chOff x="875" y="709"/>
              <a:chExt cx="70" cy="58"/>
            </a:xfrm>
          </xdr:grpSpPr>
          <xdr:sp macro="" textlink="">
            <xdr:nvSpPr>
              <xdr:cNvPr id="314" name="AutoShape 237"/>
              <xdr:cNvSpPr>
                <a:spLocks noChangeArrowheads="1"/>
              </xdr:cNvSpPr>
            </xdr:nvSpPr>
            <xdr:spPr bwMode="auto">
              <a:xfrm>
                <a:off x="880" y="709"/>
                <a:ext cx="65" cy="56"/>
              </a:xfrm>
              <a:prstGeom prst="hexagon">
                <a:avLst>
                  <a:gd name="adj" fmla="val 29018"/>
                  <a:gd name="vf" fmla="val 115470"/>
                </a:avLst>
              </a:prstGeom>
              <a:solidFill>
                <a:srgbClr val="FFCC00"/>
              </a:solidFill>
              <a:ln w="9525">
                <a:solidFill>
                  <a:srgbClr val="000000"/>
                </a:solidFill>
                <a:miter lim="800000"/>
                <a:headEnd/>
                <a:tailEnd/>
              </a:ln>
            </xdr:spPr>
          </xdr:sp>
          <xdr:sp macro="" textlink="">
            <xdr:nvSpPr>
              <xdr:cNvPr id="315" name="AutoShape 238"/>
              <xdr:cNvSpPr>
                <a:spLocks noChangeArrowheads="1"/>
              </xdr:cNvSpPr>
            </xdr:nvSpPr>
            <xdr:spPr bwMode="auto">
              <a:xfrm>
                <a:off x="875" y="711"/>
                <a:ext cx="65" cy="56"/>
              </a:xfrm>
              <a:prstGeom prst="hexagon">
                <a:avLst>
                  <a:gd name="adj" fmla="val 29018"/>
                  <a:gd name="vf" fmla="val 115470"/>
                </a:avLst>
              </a:prstGeom>
              <a:solidFill>
                <a:srgbClr val="FFCC00"/>
              </a:solidFill>
              <a:ln w="9525">
                <a:solidFill>
                  <a:srgbClr val="000000"/>
                </a:solidFill>
                <a:miter lim="800000"/>
                <a:headEnd/>
                <a:tailEnd/>
              </a:ln>
            </xdr:spPr>
          </xdr:sp>
          <xdr:sp macro="" textlink="">
            <xdr:nvSpPr>
              <xdr:cNvPr id="316" name="Oval 239"/>
              <xdr:cNvSpPr>
                <a:spLocks noChangeArrowheads="1"/>
              </xdr:cNvSpPr>
            </xdr:nvSpPr>
            <xdr:spPr bwMode="auto">
              <a:xfrm>
                <a:off x="893" y="724"/>
                <a:ext cx="31" cy="32"/>
              </a:xfrm>
              <a:prstGeom prst="ellipse">
                <a:avLst/>
              </a:prstGeom>
              <a:solidFill>
                <a:srgbClr val="FFCC00"/>
              </a:solidFill>
              <a:ln w="9525">
                <a:solidFill>
                  <a:srgbClr val="000000"/>
                </a:solidFill>
                <a:round/>
                <a:headEnd/>
                <a:tailEnd/>
              </a:ln>
            </xdr:spPr>
          </xdr:sp>
          <xdr:sp macro="" textlink="">
            <xdr:nvSpPr>
              <xdr:cNvPr id="317" name="Oval 240"/>
              <xdr:cNvSpPr>
                <a:spLocks noChangeArrowheads="1"/>
              </xdr:cNvSpPr>
            </xdr:nvSpPr>
            <xdr:spPr bwMode="auto">
              <a:xfrm>
                <a:off x="890" y="727"/>
                <a:ext cx="32" cy="31"/>
              </a:xfrm>
              <a:prstGeom prst="ellipse">
                <a:avLst/>
              </a:prstGeom>
              <a:solidFill>
                <a:srgbClr val="FFCC00"/>
              </a:solidFill>
              <a:ln w="9525">
                <a:solidFill>
                  <a:srgbClr val="000000"/>
                </a:solidFill>
                <a:round/>
                <a:headEnd/>
                <a:tailEnd/>
              </a:ln>
            </xdr:spPr>
          </xdr:sp>
          <xdr:sp macro="" textlink="">
            <xdr:nvSpPr>
              <xdr:cNvPr id="318" name="Oval 241"/>
              <xdr:cNvSpPr>
                <a:spLocks noChangeArrowheads="1"/>
              </xdr:cNvSpPr>
            </xdr:nvSpPr>
            <xdr:spPr bwMode="auto">
              <a:xfrm>
                <a:off x="888" y="729"/>
                <a:ext cx="31" cy="31"/>
              </a:xfrm>
              <a:prstGeom prst="ellipse">
                <a:avLst/>
              </a:prstGeom>
              <a:solidFill>
                <a:srgbClr val="FFCC00"/>
              </a:solidFill>
              <a:ln w="9525">
                <a:solidFill>
                  <a:srgbClr val="000000"/>
                </a:solidFill>
                <a:round/>
                <a:headEnd/>
                <a:tailEnd/>
              </a:ln>
            </xdr:spPr>
          </xdr:sp>
          <xdr:sp macro="" textlink="">
            <xdr:nvSpPr>
              <xdr:cNvPr id="319" name="Oval 242"/>
              <xdr:cNvSpPr>
                <a:spLocks noChangeArrowheads="1"/>
              </xdr:cNvSpPr>
            </xdr:nvSpPr>
            <xdr:spPr bwMode="auto">
              <a:xfrm>
                <a:off x="886" y="731"/>
                <a:ext cx="31" cy="32"/>
              </a:xfrm>
              <a:prstGeom prst="ellipse">
                <a:avLst/>
              </a:prstGeom>
              <a:solidFill>
                <a:srgbClr val="FFCC00"/>
              </a:solidFill>
              <a:ln w="9525">
                <a:solidFill>
                  <a:srgbClr val="000000"/>
                </a:solidFill>
                <a:round/>
                <a:headEnd/>
                <a:tailEnd/>
              </a:ln>
            </xdr:spPr>
          </xdr:sp>
          <xdr:sp macro="" textlink="">
            <xdr:nvSpPr>
              <xdr:cNvPr id="320" name="Freeform 243"/>
              <xdr:cNvSpPr>
                <a:spLocks/>
              </xdr:cNvSpPr>
            </xdr:nvSpPr>
            <xdr:spPr bwMode="auto">
              <a:xfrm>
                <a:off x="891" y="709"/>
                <a:ext cx="38" cy="2"/>
              </a:xfrm>
              <a:custGeom>
                <a:avLst/>
                <a:gdLst>
                  <a:gd name="T0" fmla="*/ 0 w 32"/>
                  <a:gd name="T1" fmla="*/ 2 h 2"/>
                  <a:gd name="T2" fmla="*/ 268 w 32"/>
                  <a:gd name="T3" fmla="*/ 0 h 2"/>
                  <a:gd name="T4" fmla="*/ 1662 w 32"/>
                  <a:gd name="T5" fmla="*/ 0 h 2"/>
                  <a:gd name="T6" fmla="*/ 1423 w 32"/>
                  <a:gd name="T7" fmla="*/ 2 h 2"/>
                  <a:gd name="T8" fmla="*/ 0 w 32"/>
                  <a:gd name="T9" fmla="*/ 2 h 2"/>
                  <a:gd name="T10" fmla="*/ 0 60000 65536"/>
                  <a:gd name="T11" fmla="*/ 0 60000 65536"/>
                  <a:gd name="T12" fmla="*/ 0 60000 65536"/>
                  <a:gd name="T13" fmla="*/ 0 60000 65536"/>
                  <a:gd name="T14" fmla="*/ 0 60000 65536"/>
                  <a:gd name="T15" fmla="*/ 0 w 32"/>
                  <a:gd name="T16" fmla="*/ 0 h 2"/>
                  <a:gd name="T17" fmla="*/ 32 w 32"/>
                  <a:gd name="T18" fmla="*/ 2 h 2"/>
                </a:gdLst>
                <a:ahLst/>
                <a:cxnLst>
                  <a:cxn ang="T10">
                    <a:pos x="T0" y="T1"/>
                  </a:cxn>
                  <a:cxn ang="T11">
                    <a:pos x="T2" y="T3"/>
                  </a:cxn>
                  <a:cxn ang="T12">
                    <a:pos x="T4" y="T5"/>
                  </a:cxn>
                  <a:cxn ang="T13">
                    <a:pos x="T6" y="T7"/>
                  </a:cxn>
                  <a:cxn ang="T14">
                    <a:pos x="T8" y="T9"/>
                  </a:cxn>
                </a:cxnLst>
                <a:rect l="T15" t="T16" r="T17" b="T18"/>
                <a:pathLst>
                  <a:path w="32" h="2">
                    <a:moveTo>
                      <a:pt x="0" y="2"/>
                    </a:moveTo>
                    <a:lnTo>
                      <a:pt x="5" y="0"/>
                    </a:lnTo>
                    <a:lnTo>
                      <a:pt x="32" y="0"/>
                    </a:lnTo>
                    <a:lnTo>
                      <a:pt x="28" y="2"/>
                    </a:lnTo>
                    <a:lnTo>
                      <a:pt x="0" y="2"/>
                    </a:lnTo>
                    <a:close/>
                  </a:path>
                </a:pathLst>
              </a:custGeom>
              <a:solidFill>
                <a:srgbClr val="FFCC00"/>
              </a:solidFill>
              <a:ln w="9525">
                <a:solidFill>
                  <a:srgbClr val="000000"/>
                </a:solidFill>
                <a:round/>
                <a:headEnd/>
                <a:tailEnd/>
              </a:ln>
            </xdr:spPr>
          </xdr:sp>
          <xdr:sp macro="" textlink="">
            <xdr:nvSpPr>
              <xdr:cNvPr id="321" name="Freeform 244"/>
              <xdr:cNvSpPr>
                <a:spLocks/>
              </xdr:cNvSpPr>
            </xdr:nvSpPr>
            <xdr:spPr bwMode="auto">
              <a:xfrm>
                <a:off x="924" y="737"/>
                <a:ext cx="21" cy="30"/>
              </a:xfrm>
              <a:custGeom>
                <a:avLst/>
                <a:gdLst>
                  <a:gd name="T0" fmla="*/ 488 w 18"/>
                  <a:gd name="T1" fmla="*/ 2 h 26"/>
                  <a:gd name="T2" fmla="*/ 653 w 18"/>
                  <a:gd name="T3" fmla="*/ 0 h 26"/>
                  <a:gd name="T4" fmla="*/ 163 w 18"/>
                  <a:gd name="T5" fmla="*/ 659 h 26"/>
                  <a:gd name="T6" fmla="*/ 0 w 18"/>
                  <a:gd name="T7" fmla="*/ 689 h 26"/>
                  <a:gd name="T8" fmla="*/ 488 w 18"/>
                  <a:gd name="T9" fmla="*/ 2 h 26"/>
                  <a:gd name="T10" fmla="*/ 0 60000 65536"/>
                  <a:gd name="T11" fmla="*/ 0 60000 65536"/>
                  <a:gd name="T12" fmla="*/ 0 60000 65536"/>
                  <a:gd name="T13" fmla="*/ 0 60000 65536"/>
                  <a:gd name="T14" fmla="*/ 0 60000 65536"/>
                  <a:gd name="T15" fmla="*/ 0 w 18"/>
                  <a:gd name="T16" fmla="*/ 0 h 26"/>
                  <a:gd name="T17" fmla="*/ 18 w 18"/>
                  <a:gd name="T18" fmla="*/ 26 h 26"/>
                </a:gdLst>
                <a:ahLst/>
                <a:cxnLst>
                  <a:cxn ang="T10">
                    <a:pos x="T0" y="T1"/>
                  </a:cxn>
                  <a:cxn ang="T11">
                    <a:pos x="T2" y="T3"/>
                  </a:cxn>
                  <a:cxn ang="T12">
                    <a:pos x="T4" y="T5"/>
                  </a:cxn>
                  <a:cxn ang="T13">
                    <a:pos x="T6" y="T7"/>
                  </a:cxn>
                  <a:cxn ang="T14">
                    <a:pos x="T8" y="T9"/>
                  </a:cxn>
                </a:cxnLst>
                <a:rect l="T15" t="T16" r="T17" b="T18"/>
                <a:pathLst>
                  <a:path w="18" h="26">
                    <a:moveTo>
                      <a:pt x="14" y="2"/>
                    </a:moveTo>
                    <a:lnTo>
                      <a:pt x="18" y="0"/>
                    </a:lnTo>
                    <a:lnTo>
                      <a:pt x="4" y="24"/>
                    </a:lnTo>
                    <a:lnTo>
                      <a:pt x="0" y="26"/>
                    </a:lnTo>
                    <a:lnTo>
                      <a:pt x="14" y="2"/>
                    </a:lnTo>
                    <a:close/>
                  </a:path>
                </a:pathLst>
              </a:custGeom>
              <a:solidFill>
                <a:srgbClr val="FFCC00"/>
              </a:solidFill>
              <a:ln w="9525">
                <a:solidFill>
                  <a:srgbClr val="000000"/>
                </a:solidFill>
                <a:round/>
                <a:headEnd/>
                <a:tailEnd/>
              </a:ln>
            </xdr:spPr>
          </xdr:sp>
        </xdr:grpSp>
        <xdr:sp macro="" textlink="">
          <xdr:nvSpPr>
            <xdr:cNvPr id="313" name="Line 245"/>
            <xdr:cNvSpPr>
              <a:spLocks noChangeShapeType="1"/>
            </xdr:cNvSpPr>
          </xdr:nvSpPr>
          <xdr:spPr bwMode="auto">
            <a:xfrm>
              <a:off x="1030" y="819"/>
              <a:ext cx="24" cy="0"/>
            </a:xfrm>
            <a:prstGeom prst="line">
              <a:avLst/>
            </a:prstGeom>
            <a:noFill/>
            <a:ln w="28575">
              <a:solidFill>
                <a:srgbClr val="000000"/>
              </a:solidFill>
              <a:round/>
              <a:headEnd/>
              <a:tailEnd/>
            </a:ln>
          </xdr:spPr>
        </xdr:sp>
      </xdr:grpSp>
      <xdr:sp macro="" textlink="">
        <xdr:nvSpPr>
          <xdr:cNvPr id="260" name="AutoShape 246"/>
          <xdr:cNvSpPr>
            <a:spLocks/>
          </xdr:cNvSpPr>
        </xdr:nvSpPr>
        <xdr:spPr bwMode="auto">
          <a:xfrm>
            <a:off x="0" y="95251"/>
            <a:ext cx="5600700" cy="733424"/>
          </a:xfrm>
          <a:prstGeom prst="callout2">
            <a:avLst>
              <a:gd name="adj1" fmla="val 8634"/>
              <a:gd name="adj2" fmla="val 102491"/>
              <a:gd name="adj3" fmla="val 8634"/>
              <a:gd name="adj4" fmla="val 115264"/>
              <a:gd name="adj5" fmla="val 275706"/>
              <a:gd name="adj6" fmla="val 88945"/>
            </a:avLst>
          </a:prstGeom>
          <a:solidFill>
            <a:srgbClr val="FFFFFF"/>
          </a:solidFill>
          <a:ln w="9525">
            <a:solidFill>
              <a:srgbClr val="000000"/>
            </a:solidFill>
            <a:miter lim="800000"/>
            <a:headEnd/>
            <a:tailEnd type="triangle" w="lg" len="lg"/>
          </a:ln>
        </xdr:spPr>
        <xdr:txBody>
          <a:bodyPr vertOverflow="clip" wrap="square" lIns="0" tIns="41148" rIns="45720" bIns="0" anchor="t" upright="1"/>
          <a:lstStyle/>
          <a:p>
            <a:pPr algn="r" rtl="0">
              <a:defRPr sz="1000"/>
            </a:pPr>
            <a:r>
              <a:rPr lang="en-US" sz="2000" b="1" i="0" u="none" strike="noStrike" baseline="0">
                <a:solidFill>
                  <a:srgbClr val="000000"/>
                </a:solidFill>
                <a:latin typeface="Arial"/>
                <a:cs typeface="Arial"/>
              </a:rPr>
              <a:t>Heat Transfer Surfaces on Top and Bottom of Container in Contact with Cell Conductors</a:t>
            </a:r>
          </a:p>
        </xdr:txBody>
      </xdr:sp>
      <xdr:sp macro="" textlink="">
        <xdr:nvSpPr>
          <xdr:cNvPr id="261" name="AutoShape 247"/>
          <xdr:cNvSpPr>
            <a:spLocks/>
          </xdr:cNvSpPr>
        </xdr:nvSpPr>
        <xdr:spPr bwMode="auto">
          <a:xfrm>
            <a:off x="628745" y="3305175"/>
            <a:ext cx="1400175" cy="723900"/>
          </a:xfrm>
          <a:prstGeom prst="callout2">
            <a:avLst>
              <a:gd name="adj1" fmla="val 15792"/>
              <a:gd name="adj2" fmla="val 104278"/>
              <a:gd name="adj3" fmla="val 15792"/>
              <a:gd name="adj4" fmla="val 117111"/>
              <a:gd name="adj5" fmla="val 47367"/>
              <a:gd name="adj6" fmla="val 154933"/>
            </a:avLst>
          </a:prstGeom>
          <a:solidFill>
            <a:srgbClr val="FFFFFF"/>
          </a:solidFill>
          <a:ln w="9525">
            <a:solidFill>
              <a:srgbClr val="000000"/>
            </a:solidFill>
            <a:miter lim="800000"/>
            <a:headEnd type="none" w="lg" len="lg"/>
            <a:tailEnd type="triangle" w="lg" len="lg"/>
          </a:ln>
        </xdr:spPr>
        <xdr:txBody>
          <a:bodyPr vertOverflow="clip" wrap="square" lIns="0" tIns="41148" rIns="45720" bIns="0" anchor="t" upright="1"/>
          <a:lstStyle/>
          <a:p>
            <a:pPr algn="r" rtl="0">
              <a:defRPr sz="1000"/>
            </a:pPr>
            <a:r>
              <a:rPr lang="en-US" sz="2000" b="1" i="0" u="none" strike="noStrike" baseline="0">
                <a:solidFill>
                  <a:srgbClr val="000000"/>
                </a:solidFill>
                <a:latin typeface="Arial"/>
                <a:cs typeface="Arial"/>
              </a:rPr>
              <a:t>Module Terminal </a:t>
            </a:r>
          </a:p>
        </xdr:txBody>
      </xdr:sp>
      <xdr:sp macro="" textlink="">
        <xdr:nvSpPr>
          <xdr:cNvPr id="262" name="AutoShape 249"/>
          <xdr:cNvSpPr>
            <a:spLocks/>
          </xdr:cNvSpPr>
        </xdr:nvSpPr>
        <xdr:spPr bwMode="auto">
          <a:xfrm>
            <a:off x="6991350" y="5276850"/>
            <a:ext cx="2105025" cy="733425"/>
          </a:xfrm>
          <a:prstGeom prst="callout2">
            <a:avLst>
              <a:gd name="adj1" fmla="val 15583"/>
              <a:gd name="adj2" fmla="val -3347"/>
              <a:gd name="adj3" fmla="val 15583"/>
              <a:gd name="adj4" fmla="val -20921"/>
              <a:gd name="adj5" fmla="val -92208"/>
              <a:gd name="adj6" fmla="val -51046"/>
            </a:avLst>
          </a:prstGeom>
          <a:solidFill>
            <a:srgbClr val="FFFFFF"/>
          </a:solidFill>
          <a:ln w="9525">
            <a:solidFill>
              <a:srgbClr val="000000"/>
            </a:solidFill>
            <a:miter lim="800000"/>
            <a:headEnd/>
            <a:tailEnd type="triangle" w="lg" len="lg"/>
          </a:ln>
        </xdr:spPr>
        <xdr:txBody>
          <a:bodyPr vertOverflow="clip" wrap="square" lIns="45720" tIns="41148" rIns="0" bIns="0" anchor="t" upright="1"/>
          <a:lstStyle/>
          <a:p>
            <a:pPr algn="l" rtl="0">
              <a:defRPr sz="1000"/>
            </a:pPr>
            <a:r>
              <a:rPr lang="en-US" sz="2000" b="1" i="0" u="none" strike="noStrike" baseline="0">
                <a:solidFill>
                  <a:srgbClr val="000000"/>
                </a:solidFill>
                <a:latin typeface="Arial"/>
                <a:cs typeface="Arial"/>
              </a:rPr>
              <a:t>Double-Seamed Module Closure</a:t>
            </a:r>
          </a:p>
        </xdr:txBody>
      </xdr:sp>
      <xdr:sp macro="" textlink="">
        <xdr:nvSpPr>
          <xdr:cNvPr id="263" name="TextBox 262"/>
          <xdr:cNvSpPr txBox="1"/>
        </xdr:nvSpPr>
        <xdr:spPr>
          <a:xfrm>
            <a:off x="1844842" y="6272212"/>
            <a:ext cx="5572125" cy="8667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t>Module</a:t>
            </a:r>
            <a:r>
              <a:rPr lang="en-US" sz="2400" b="1" baseline="0"/>
              <a:t> with Sealed Aluminum Container Designed for Liquid Cooling</a:t>
            </a:r>
          </a:p>
        </xdr:txBody>
      </xdr:sp>
      <xdr:sp macro="" textlink="">
        <xdr:nvSpPr>
          <xdr:cNvPr id="264" name="TextBox 263"/>
          <xdr:cNvSpPr txBox="1"/>
        </xdr:nvSpPr>
        <xdr:spPr>
          <a:xfrm>
            <a:off x="8039100" y="6210299"/>
            <a:ext cx="5572125" cy="8667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t>Provision for Rapid Gas Release from Back</a:t>
            </a:r>
            <a:r>
              <a:rPr lang="en-US" sz="2400" b="1" baseline="0"/>
              <a:t> of Modules through Pack Cover</a:t>
            </a:r>
          </a:p>
        </xdr:txBody>
      </xdr:sp>
      <xdr:sp macro="" textlink="">
        <xdr:nvSpPr>
          <xdr:cNvPr id="265" name="TextBox 264"/>
          <xdr:cNvSpPr txBox="1"/>
        </xdr:nvSpPr>
        <xdr:spPr>
          <a:xfrm>
            <a:off x="2390775" y="847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lang="en-US" sz="1100"/>
          </a:p>
        </xdr:txBody>
      </xdr:sp>
      <xdr:grpSp>
        <xdr:nvGrpSpPr>
          <xdr:cNvPr id="266" name="Group 265"/>
          <xdr:cNvGrpSpPr/>
        </xdr:nvGrpSpPr>
        <xdr:grpSpPr>
          <a:xfrm>
            <a:off x="8305801" y="1162049"/>
            <a:ext cx="2219304" cy="3952875"/>
            <a:chOff x="5283871" y="809625"/>
            <a:chExt cx="1633995" cy="3952875"/>
          </a:xfrm>
        </xdr:grpSpPr>
        <xdr:sp macro="" textlink="">
          <xdr:nvSpPr>
            <xdr:cNvPr id="310" name="Rectangle 309"/>
            <xdr:cNvSpPr/>
          </xdr:nvSpPr>
          <xdr:spPr>
            <a:xfrm>
              <a:off x="5283871" y="809625"/>
              <a:ext cx="1633995" cy="3952875"/>
            </a:xfrm>
            <a:prstGeom prst="rect">
              <a:avLst/>
            </a:prstGeom>
            <a:blipFill>
              <a:blip xmlns:r="http://schemas.openxmlformats.org/officeDocument/2006/relationships" r:embed="rId1"/>
              <a:tile tx="0" ty="0" sx="100000" sy="100000" flip="none" algn="tl"/>
            </a:blipFill>
            <a:ln w="19050">
              <a:solidFill>
                <a:schemeClr val="bg2">
                  <a:lumMod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1" name="Rectangle 310"/>
            <xdr:cNvSpPr/>
          </xdr:nvSpPr>
          <xdr:spPr>
            <a:xfrm>
              <a:off x="5311921" y="1066800"/>
              <a:ext cx="1387398" cy="3390900"/>
            </a:xfrm>
            <a:prstGeom prst="rect">
              <a:avLst/>
            </a:prstGeom>
            <a:solidFill>
              <a:schemeClr val="accent1">
                <a:lumMod val="40000"/>
                <a:lumOff val="60000"/>
              </a:schemeClr>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67" name="Rectangle 266"/>
          <xdr:cNvSpPr/>
        </xdr:nvSpPr>
        <xdr:spPr>
          <a:xfrm>
            <a:off x="8743950" y="1571624"/>
            <a:ext cx="1419225" cy="3105150"/>
          </a:xfrm>
          <a:prstGeom prst="rect">
            <a:avLst/>
          </a:prstGeom>
          <a:solidFill>
            <a:schemeClr val="bg1"/>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8" name="Rectangle 267"/>
          <xdr:cNvSpPr/>
        </xdr:nvSpPr>
        <xdr:spPr>
          <a:xfrm>
            <a:off x="9567039" y="1733550"/>
            <a:ext cx="355218" cy="2790825"/>
          </a:xfrm>
          <a:prstGeom prst="rect">
            <a:avLst/>
          </a:prstGeom>
          <a:gradFill flip="none" rotWithShape="1">
            <a:gsLst>
              <a:gs pos="0">
                <a:schemeClr val="tx1">
                  <a:lumMod val="50000"/>
                  <a:lumOff val="50000"/>
                </a:schemeClr>
              </a:gs>
              <a:gs pos="50000">
                <a:srgbClr val="CCFFFF">
                  <a:shade val="67500"/>
                  <a:satMod val="115000"/>
                </a:srgbClr>
              </a:gs>
              <a:gs pos="100000">
                <a:schemeClr val="bg1"/>
              </a:gs>
            </a:gsLst>
            <a:lin ang="13500000" scaled="1"/>
            <a:tileRect/>
          </a:gra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gradFill>
                <a:gsLst>
                  <a:gs pos="0">
                    <a:schemeClr val="tx1">
                      <a:lumMod val="50000"/>
                      <a:lumOff val="50000"/>
                    </a:schemeClr>
                  </a:gs>
                  <a:gs pos="50000">
                    <a:schemeClr val="bg1"/>
                  </a:gs>
                  <a:gs pos="100000">
                    <a:schemeClr val="bg1"/>
                  </a:gs>
                </a:gsLst>
                <a:lin ang="13500000" scaled="1"/>
              </a:gradFill>
            </a:endParaRPr>
          </a:p>
        </xdr:txBody>
      </xdr:sp>
      <xdr:sp macro="" textlink="">
        <xdr:nvSpPr>
          <xdr:cNvPr id="269" name="Rounded Rectangle 268"/>
          <xdr:cNvSpPr/>
        </xdr:nvSpPr>
        <xdr:spPr>
          <a:xfrm>
            <a:off x="9944458" y="1914524"/>
            <a:ext cx="185380" cy="190499"/>
          </a:xfrm>
          <a:prstGeom prst="roundRect">
            <a:avLst/>
          </a:prstGeom>
          <a:solidFill>
            <a:schemeClr val="bg1"/>
          </a:solidFill>
          <a:ln w="38100">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270" name="Straight Connector 269"/>
          <xdr:cNvCxnSpPr/>
        </xdr:nvCxnSpPr>
        <xdr:spPr>
          <a:xfrm flipV="1">
            <a:off x="8753475" y="1581442"/>
            <a:ext cx="1476376" cy="0"/>
          </a:xfrm>
          <a:prstGeom prst="line">
            <a:avLst/>
          </a:prstGeom>
          <a:ln w="38100">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71" name="Straight Connector 270"/>
          <xdr:cNvCxnSpPr/>
        </xdr:nvCxnSpPr>
        <xdr:spPr>
          <a:xfrm>
            <a:off x="10153642" y="1591114"/>
            <a:ext cx="0" cy="3095037"/>
          </a:xfrm>
          <a:prstGeom prst="line">
            <a:avLst/>
          </a:prstGeom>
          <a:ln w="38100">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72" name="Rectangle 271"/>
          <xdr:cNvSpPr/>
        </xdr:nvSpPr>
        <xdr:spPr>
          <a:xfrm>
            <a:off x="10172701" y="1581149"/>
            <a:ext cx="45719" cy="3095625"/>
          </a:xfrm>
          <a:prstGeom prst="rect">
            <a:avLst/>
          </a:prstGeom>
          <a:solidFill>
            <a:schemeClr val="bg1"/>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73" name="Trapezoid 272"/>
          <xdr:cNvSpPr/>
        </xdr:nvSpPr>
        <xdr:spPr>
          <a:xfrm rot="5400000">
            <a:off x="7465877" y="2846292"/>
            <a:ext cx="3005137" cy="560579"/>
          </a:xfrm>
          <a:prstGeom prst="trapezoid">
            <a:avLst>
              <a:gd name="adj" fmla="val 17054"/>
            </a:avLst>
          </a:prstGeom>
          <a:gradFill flip="none" rotWithShape="1">
            <a:gsLst>
              <a:gs pos="0">
                <a:schemeClr val="accent3">
                  <a:lumMod val="40000"/>
                  <a:lumOff val="60000"/>
                </a:schemeClr>
              </a:gs>
              <a:gs pos="50000">
                <a:schemeClr val="accent3">
                  <a:lumMod val="40000"/>
                  <a:lumOff val="60000"/>
                </a:schemeClr>
              </a:gs>
              <a:gs pos="100000">
                <a:schemeClr val="accent1">
                  <a:tint val="23500"/>
                  <a:satMod val="160000"/>
                </a:schemeClr>
              </a:gs>
            </a:gsLst>
            <a:path path="circle">
              <a:fillToRect r="100000" b="100000"/>
            </a:path>
            <a:tileRect l="-100000" t="-100000"/>
          </a:gra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274" name="Straight Connector 273"/>
          <xdr:cNvCxnSpPr/>
        </xdr:nvCxnSpPr>
        <xdr:spPr>
          <a:xfrm>
            <a:off x="9248775" y="5419724"/>
            <a:ext cx="504825"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275" name="Straight Arrow Connector 274"/>
          <xdr:cNvCxnSpPr/>
        </xdr:nvCxnSpPr>
        <xdr:spPr>
          <a:xfrm flipV="1">
            <a:off x="9744075" y="4695825"/>
            <a:ext cx="190500" cy="723899"/>
          </a:xfrm>
          <a:prstGeom prst="straightConnector1">
            <a:avLst/>
          </a:prstGeom>
          <a:ln w="19050">
            <a:solidFill>
              <a:sysClr val="windowText" lastClr="000000"/>
            </a:solidFill>
            <a:headEnd type="none" w="med" len="med"/>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76" name="Rectangle 275"/>
          <xdr:cNvSpPr/>
        </xdr:nvSpPr>
        <xdr:spPr>
          <a:xfrm>
            <a:off x="8334375" y="1581149"/>
            <a:ext cx="352425" cy="3086100"/>
          </a:xfrm>
          <a:prstGeom prst="rect">
            <a:avLst/>
          </a:prstGeom>
          <a:gradFill flip="none" rotWithShape="1">
            <a:gsLst>
              <a:gs pos="0">
                <a:schemeClr val="accent3">
                  <a:lumMod val="60000"/>
                  <a:lumOff val="40000"/>
                </a:schemeClr>
              </a:gs>
              <a:gs pos="50000">
                <a:schemeClr val="bg2">
                  <a:lumMod val="90000"/>
                </a:schemeClr>
              </a:gs>
              <a:gs pos="100000">
                <a:schemeClr val="accent1">
                  <a:tint val="23500"/>
                  <a:satMod val="160000"/>
                </a:schemeClr>
              </a:gs>
            </a:gsLst>
            <a:path path="circle">
              <a:fillToRect r="100000" b="100000"/>
            </a:path>
            <a:tileRect l="-100000" t="-100000"/>
          </a:gra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277" name="Straight Connector 276"/>
          <xdr:cNvCxnSpPr/>
        </xdr:nvCxnSpPr>
        <xdr:spPr>
          <a:xfrm flipH="1" flipV="1">
            <a:off x="11468100" y="1114427"/>
            <a:ext cx="20260" cy="4305297"/>
          </a:xfrm>
          <a:prstGeom prst="lin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278" name="Straight Connector 277"/>
          <xdr:cNvCxnSpPr/>
        </xdr:nvCxnSpPr>
        <xdr:spPr>
          <a:xfrm>
            <a:off x="9020175" y="1114424"/>
            <a:ext cx="2447925" cy="0"/>
          </a:xfrm>
          <a:prstGeom prst="lin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279" name="Straight Connector 278"/>
          <xdr:cNvCxnSpPr/>
        </xdr:nvCxnSpPr>
        <xdr:spPr>
          <a:xfrm>
            <a:off x="8620125" y="5143499"/>
            <a:ext cx="2000250" cy="0"/>
          </a:xfrm>
          <a:prstGeom prst="lin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280" name="Straight Connector 279"/>
          <xdr:cNvCxnSpPr/>
        </xdr:nvCxnSpPr>
        <xdr:spPr>
          <a:xfrm>
            <a:off x="10620375" y="5143499"/>
            <a:ext cx="0" cy="257175"/>
          </a:xfrm>
          <a:prstGeom prst="lin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281" name="Straight Connector 280"/>
          <xdr:cNvCxnSpPr/>
        </xdr:nvCxnSpPr>
        <xdr:spPr>
          <a:xfrm>
            <a:off x="10182225" y="2486024"/>
            <a:ext cx="0" cy="1257300"/>
          </a:xfrm>
          <a:prstGeom prst="lin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sp macro="" textlink="">
        <xdr:nvSpPr>
          <xdr:cNvPr id="282" name="Rectangle 281"/>
          <xdr:cNvSpPr/>
        </xdr:nvSpPr>
        <xdr:spPr>
          <a:xfrm>
            <a:off x="10229850" y="2428874"/>
            <a:ext cx="314325" cy="1371600"/>
          </a:xfrm>
          <a:prstGeom prst="rect">
            <a:avLst/>
          </a:prstGeom>
          <a:blipFill>
            <a:blip xmlns:r="http://schemas.openxmlformats.org/officeDocument/2006/relationships" r:embed="rId1"/>
            <a:tile tx="0" ty="0" sx="100000" sy="100000" flip="none" algn="tl"/>
          </a:blip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283" name="Straight Arrow Connector 282"/>
          <xdr:cNvCxnSpPr/>
        </xdr:nvCxnSpPr>
        <xdr:spPr>
          <a:xfrm flipH="1" flipV="1">
            <a:off x="10201275" y="2862263"/>
            <a:ext cx="990601" cy="290511"/>
          </a:xfrm>
          <a:prstGeom prst="straightConnector1">
            <a:avLst/>
          </a:prstGeom>
          <a:ln w="19050">
            <a:solidFill>
              <a:sysClr val="windowText" lastClr="000000"/>
            </a:solidFill>
            <a:headEnd type="none" w="med" len="med"/>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84" name="Straight Arrow Connector 283"/>
          <xdr:cNvCxnSpPr/>
        </xdr:nvCxnSpPr>
        <xdr:spPr>
          <a:xfrm>
            <a:off x="9144000" y="314324"/>
            <a:ext cx="609600" cy="1676400"/>
          </a:xfrm>
          <a:prstGeom prst="straightConnector1">
            <a:avLst/>
          </a:prstGeom>
          <a:ln w="19050">
            <a:solidFill>
              <a:sysClr val="windowText" lastClr="000000"/>
            </a:solidFill>
            <a:headEnd type="none" w="med" len="med"/>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85" name="Line Callout 2 (No Border) 284"/>
          <xdr:cNvSpPr/>
        </xdr:nvSpPr>
        <xdr:spPr>
          <a:xfrm>
            <a:off x="11839576" y="1009650"/>
            <a:ext cx="1981200" cy="1266824"/>
          </a:xfrm>
          <a:prstGeom prst="callout2">
            <a:avLst>
              <a:gd name="adj1" fmla="val 19109"/>
              <a:gd name="adj2" fmla="val -1582"/>
              <a:gd name="adj3" fmla="val 18750"/>
              <a:gd name="adj4" fmla="val -41667"/>
              <a:gd name="adj5" fmla="val 71131"/>
              <a:gd name="adj6" fmla="val -91388"/>
            </a:avLst>
          </a:prstGeom>
          <a:noFill/>
          <a:ln w="19050">
            <a:solidFill>
              <a:sysClr val="windowText" lastClr="000000"/>
            </a:solidFill>
            <a:headEnd type="none" w="med" len="med"/>
            <a:tailEnd type="triangle" w="lg" len="lg"/>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ln>
                  <a:noFill/>
                </a:ln>
                <a:solidFill>
                  <a:sysClr val="windowText" lastClr="000000"/>
                </a:solidFill>
                <a:latin typeface="Arial" panose="020B0604020202020204" pitchFamily="34" charset="0"/>
                <a:cs typeface="Arial" panose="020B0604020202020204" pitchFamily="34" charset="0"/>
              </a:rPr>
              <a:t>Polymer Standoff Providing Gas Passage</a:t>
            </a:r>
          </a:p>
        </xdr:txBody>
      </xdr:sp>
      <xdr:sp macro="" textlink="">
        <xdr:nvSpPr>
          <xdr:cNvPr id="286" name="Line Callout 2 (No Border) 285"/>
          <xdr:cNvSpPr/>
        </xdr:nvSpPr>
        <xdr:spPr>
          <a:xfrm>
            <a:off x="12049126" y="2524125"/>
            <a:ext cx="1695450" cy="447674"/>
          </a:xfrm>
          <a:prstGeom prst="callout2">
            <a:avLst>
              <a:gd name="adj1" fmla="val 19861"/>
              <a:gd name="adj2" fmla="val -1582"/>
              <a:gd name="adj3" fmla="val 18750"/>
              <a:gd name="adj4" fmla="val -16667"/>
              <a:gd name="adj5" fmla="val -78942"/>
              <a:gd name="adj6" fmla="val -112401"/>
            </a:avLst>
          </a:prstGeom>
          <a:noFill/>
          <a:ln w="19050">
            <a:solidFill>
              <a:sysClr val="windowText" lastClr="000000"/>
            </a:solidFill>
            <a:headEnd type="none" w="med" len="med"/>
            <a:tailEnd type="triangle" w="lg" len="lg"/>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ln>
                  <a:noFill/>
                </a:ln>
                <a:solidFill>
                  <a:sysClr val="windowText" lastClr="000000"/>
                </a:solidFill>
                <a:latin typeface="Arial" panose="020B0604020202020204" pitchFamily="34" charset="0"/>
                <a:cs typeface="Arial" panose="020B0604020202020204" pitchFamily="34" charset="0"/>
              </a:rPr>
              <a:t>Module Wall</a:t>
            </a:r>
          </a:p>
        </xdr:txBody>
      </xdr:sp>
      <xdr:sp macro="" textlink="">
        <xdr:nvSpPr>
          <xdr:cNvPr id="287" name="Line Callout 2 (No Border) 286"/>
          <xdr:cNvSpPr/>
        </xdr:nvSpPr>
        <xdr:spPr>
          <a:xfrm>
            <a:off x="12058650" y="2990850"/>
            <a:ext cx="1724025" cy="742950"/>
          </a:xfrm>
          <a:prstGeom prst="callout2">
            <a:avLst>
              <a:gd name="adj1" fmla="val 19861"/>
              <a:gd name="adj2" fmla="val -1582"/>
              <a:gd name="adj3" fmla="val 21314"/>
              <a:gd name="adj4" fmla="val -49816"/>
              <a:gd name="adj5" fmla="val 46625"/>
              <a:gd name="adj6" fmla="val -96728"/>
            </a:avLst>
          </a:prstGeom>
          <a:noFill/>
          <a:ln w="19050">
            <a:solidFill>
              <a:sysClr val="windowText" lastClr="000000"/>
            </a:solidFill>
            <a:headEnd type="none" w="med" len="med"/>
            <a:tailEnd type="triangle" w="lg" len="lg"/>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ln>
                  <a:noFill/>
                </a:ln>
                <a:solidFill>
                  <a:sysClr val="windowText" lastClr="000000"/>
                </a:solidFill>
                <a:latin typeface="Arial" panose="020B0604020202020204" pitchFamily="34" charset="0"/>
                <a:cs typeface="Arial" panose="020B0604020202020204" pitchFamily="34" charset="0"/>
              </a:rPr>
              <a:t>Pressure</a:t>
            </a:r>
            <a:r>
              <a:rPr lang="en-US" sz="2000" b="1" baseline="0">
                <a:ln>
                  <a:noFill/>
                </a:ln>
                <a:solidFill>
                  <a:sysClr val="windowText" lastClr="000000"/>
                </a:solidFill>
                <a:latin typeface="Arial" panose="020B0604020202020204" pitchFamily="34" charset="0"/>
                <a:cs typeface="Arial" panose="020B0604020202020204" pitchFamily="34" charset="0"/>
              </a:rPr>
              <a:t> Relief Disks</a:t>
            </a:r>
            <a:endParaRPr lang="en-US" sz="2000" b="1">
              <a:ln>
                <a:noFill/>
              </a:ln>
              <a:solidFill>
                <a:sysClr val="windowText" lastClr="000000"/>
              </a:solidFill>
              <a:latin typeface="Arial" panose="020B0604020202020204" pitchFamily="34" charset="0"/>
              <a:cs typeface="Arial" panose="020B0604020202020204" pitchFamily="34" charset="0"/>
            </a:endParaRPr>
          </a:p>
        </xdr:txBody>
      </xdr:sp>
      <xdr:sp macro="" textlink="">
        <xdr:nvSpPr>
          <xdr:cNvPr id="288" name="Line Callout 2 (No Border) 287"/>
          <xdr:cNvSpPr/>
        </xdr:nvSpPr>
        <xdr:spPr>
          <a:xfrm>
            <a:off x="11772900" y="4810125"/>
            <a:ext cx="2257425" cy="1028700"/>
          </a:xfrm>
          <a:prstGeom prst="callout2">
            <a:avLst>
              <a:gd name="adj1" fmla="val 19861"/>
              <a:gd name="adj2" fmla="val -1582"/>
              <a:gd name="adj3" fmla="val 18750"/>
              <a:gd name="adj4" fmla="val -16667"/>
              <a:gd name="adj5" fmla="val -9536"/>
              <a:gd name="adj6" fmla="val -34852"/>
            </a:avLst>
          </a:prstGeom>
          <a:noFill/>
          <a:ln w="19050">
            <a:solidFill>
              <a:sysClr val="windowText" lastClr="000000"/>
            </a:solidFill>
            <a:headEnd type="none" w="med" len="med"/>
            <a:tailEnd type="triangle" w="lg" len="lg"/>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ln>
                  <a:noFill/>
                </a:ln>
                <a:solidFill>
                  <a:sysClr val="windowText" lastClr="000000"/>
                </a:solidFill>
                <a:latin typeface="Arial" panose="020B0604020202020204" pitchFamily="34" charset="0"/>
                <a:cs typeface="Arial" panose="020B0604020202020204" pitchFamily="34" charset="0"/>
              </a:rPr>
              <a:t>Exterior Exhaust</a:t>
            </a:r>
          </a:p>
          <a:p>
            <a:pPr algn="l"/>
            <a:r>
              <a:rPr lang="en-US" sz="2000" b="1">
                <a:ln>
                  <a:noFill/>
                </a:ln>
                <a:solidFill>
                  <a:sysClr val="windowText" lastClr="000000"/>
                </a:solidFill>
                <a:latin typeface="Arial" panose="020B0604020202020204" pitchFamily="34" charset="0"/>
                <a:cs typeface="Arial" panose="020B0604020202020204" pitchFamily="34" charset="0"/>
              </a:rPr>
              <a:t>Channel</a:t>
            </a:r>
            <a:r>
              <a:rPr lang="en-US" sz="2000" b="1" baseline="0">
                <a:ln>
                  <a:noFill/>
                </a:ln>
                <a:solidFill>
                  <a:sysClr val="windowText" lastClr="000000"/>
                </a:solidFill>
                <a:latin typeface="Arial" panose="020B0604020202020204" pitchFamily="34" charset="0"/>
                <a:cs typeface="Arial" panose="020B0604020202020204" pitchFamily="34" charset="0"/>
              </a:rPr>
              <a:t> to Beneath Vehicle</a:t>
            </a:r>
          </a:p>
        </xdr:txBody>
      </xdr:sp>
      <xdr:sp macro="" textlink="">
        <xdr:nvSpPr>
          <xdr:cNvPr id="289" name="Line Callout 2 (No Border) 288"/>
          <xdr:cNvSpPr/>
        </xdr:nvSpPr>
        <xdr:spPr>
          <a:xfrm>
            <a:off x="9515475" y="152400"/>
            <a:ext cx="2257425" cy="857250"/>
          </a:xfrm>
          <a:prstGeom prst="callout2">
            <a:avLst>
              <a:gd name="adj1" fmla="val 19861"/>
              <a:gd name="adj2" fmla="val -1582"/>
              <a:gd name="adj3" fmla="val 18750"/>
              <a:gd name="adj4" fmla="val -16667"/>
              <a:gd name="adj5" fmla="val 343612"/>
              <a:gd name="adj6" fmla="val -214177"/>
            </a:avLst>
          </a:prstGeom>
          <a:noFill/>
          <a:ln w="19050">
            <a:solidFill>
              <a:sysClr val="windowText" lastClr="000000"/>
            </a:solidFill>
            <a:headEnd type="none" w="med" len="med"/>
            <a:tailEnd type="triangle" w="lg" len="lg"/>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ln>
                  <a:noFill/>
                </a:ln>
                <a:solidFill>
                  <a:sysClr val="windowText" lastClr="000000"/>
                </a:solidFill>
                <a:latin typeface="Arial" panose="020B0604020202020204" pitchFamily="34" charset="0"/>
                <a:cs typeface="Arial" panose="020B0604020202020204" pitchFamily="34" charset="0"/>
              </a:rPr>
              <a:t>Cell Terminal</a:t>
            </a:r>
          </a:p>
        </xdr:txBody>
      </xdr:sp>
      <xdr:sp macro="" textlink="">
        <xdr:nvSpPr>
          <xdr:cNvPr id="290" name="Rectangle 289"/>
          <xdr:cNvSpPr/>
        </xdr:nvSpPr>
        <xdr:spPr>
          <a:xfrm>
            <a:off x="9229724" y="1714500"/>
            <a:ext cx="352425" cy="2828925"/>
          </a:xfrm>
          <a:prstGeom prst="rect">
            <a:avLst/>
          </a:prstGeom>
          <a:gradFill flip="none" rotWithShape="1">
            <a:gsLst>
              <a:gs pos="0">
                <a:schemeClr val="accent3">
                  <a:lumMod val="60000"/>
                  <a:lumOff val="40000"/>
                </a:schemeClr>
              </a:gs>
              <a:gs pos="50000">
                <a:schemeClr val="bg2">
                  <a:lumMod val="90000"/>
                </a:schemeClr>
              </a:gs>
              <a:gs pos="100000">
                <a:schemeClr val="accent1">
                  <a:tint val="23500"/>
                  <a:satMod val="160000"/>
                </a:schemeClr>
              </a:gs>
            </a:gsLst>
            <a:path path="circle">
              <a:fillToRect r="100000" b="100000"/>
            </a:path>
            <a:tileRect l="-100000" t="-100000"/>
          </a:gra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w="19050">
                <a:solidFill>
                  <a:schemeClr val="tx1"/>
                </a:solidFill>
              </a:ln>
            </a:endParaRPr>
          </a:p>
        </xdr:txBody>
      </xdr:sp>
      <xdr:sp macro="" textlink="">
        <xdr:nvSpPr>
          <xdr:cNvPr id="291" name="Line Callout 2 (No Border) 290"/>
          <xdr:cNvSpPr/>
        </xdr:nvSpPr>
        <xdr:spPr>
          <a:xfrm>
            <a:off x="11772900" y="3657599"/>
            <a:ext cx="1924050" cy="1000125"/>
          </a:xfrm>
          <a:prstGeom prst="callout2">
            <a:avLst>
              <a:gd name="adj1" fmla="val 19861"/>
              <a:gd name="adj2" fmla="val -1582"/>
              <a:gd name="adj3" fmla="val 21314"/>
              <a:gd name="adj4" fmla="val -49816"/>
              <a:gd name="adj5" fmla="val 35443"/>
              <a:gd name="adj6" fmla="val -120998"/>
            </a:avLst>
          </a:prstGeom>
          <a:noFill/>
          <a:ln w="19050">
            <a:solidFill>
              <a:sysClr val="windowText" lastClr="000000"/>
            </a:solidFill>
            <a:headEnd type="none" w="med" len="med"/>
            <a:tailEnd type="triangle" w="lg" len="lg"/>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ln>
                  <a:noFill/>
                </a:ln>
                <a:solidFill>
                  <a:sysClr val="windowText" lastClr="000000"/>
                </a:solidFill>
                <a:latin typeface="Arial" panose="020B0604020202020204" pitchFamily="34" charset="0"/>
                <a:cs typeface="Arial" panose="020B0604020202020204" pitchFamily="34" charset="0"/>
              </a:rPr>
              <a:t>Cell Pouch -to-Terminal seal</a:t>
            </a:r>
          </a:p>
        </xdr:txBody>
      </xdr:sp>
      <xdr:sp macro="" textlink="">
        <xdr:nvSpPr>
          <xdr:cNvPr id="292" name="Line Callout 2 (No Border) 291"/>
          <xdr:cNvSpPr/>
        </xdr:nvSpPr>
        <xdr:spPr>
          <a:xfrm>
            <a:off x="12172950" y="276225"/>
            <a:ext cx="1724025" cy="742950"/>
          </a:xfrm>
          <a:prstGeom prst="callout2">
            <a:avLst>
              <a:gd name="adj1" fmla="val 19861"/>
              <a:gd name="adj2" fmla="val -1582"/>
              <a:gd name="adj3" fmla="val 18750"/>
              <a:gd name="adj4" fmla="val -13352"/>
              <a:gd name="adj5" fmla="val 157202"/>
              <a:gd name="adj6" fmla="val -95900"/>
            </a:avLst>
          </a:prstGeom>
          <a:noFill/>
          <a:ln w="19050">
            <a:solidFill>
              <a:sysClr val="windowText" lastClr="000000"/>
            </a:solidFill>
            <a:headEnd type="none" w="med" len="med"/>
            <a:tailEnd type="triangle" w="lg" len="lg"/>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ln>
                  <a:noFill/>
                </a:ln>
                <a:solidFill>
                  <a:sysClr val="windowText" lastClr="000000"/>
                </a:solidFill>
                <a:latin typeface="Arial" panose="020B0604020202020204" pitchFamily="34" charset="0"/>
                <a:cs typeface="Arial" panose="020B0604020202020204" pitchFamily="34" charset="0"/>
              </a:rPr>
              <a:t>Insulated Pack Cover</a:t>
            </a:r>
          </a:p>
        </xdr:txBody>
      </xdr:sp>
      <xdr:cxnSp macro="">
        <xdr:nvCxnSpPr>
          <xdr:cNvPr id="293" name="Straight Connector 292"/>
          <xdr:cNvCxnSpPr/>
        </xdr:nvCxnSpPr>
        <xdr:spPr>
          <a:xfrm>
            <a:off x="10144469" y="1576388"/>
            <a:ext cx="87762" cy="2381"/>
          </a:xfrm>
          <a:prstGeom prst="line">
            <a:avLst/>
          </a:prstGeom>
          <a:ln w="57150">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94" name="Rounded Rectangle 293"/>
          <xdr:cNvSpPr/>
        </xdr:nvSpPr>
        <xdr:spPr>
          <a:xfrm>
            <a:off x="9949221" y="4114715"/>
            <a:ext cx="185380" cy="190499"/>
          </a:xfrm>
          <a:prstGeom prst="roundRect">
            <a:avLst/>
          </a:prstGeom>
          <a:solidFill>
            <a:schemeClr val="bg1"/>
          </a:solidFill>
          <a:ln w="38100">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295" name="Straight Connector 294"/>
          <xdr:cNvCxnSpPr/>
        </xdr:nvCxnSpPr>
        <xdr:spPr>
          <a:xfrm>
            <a:off x="8420100" y="4686592"/>
            <a:ext cx="1828801" cy="0"/>
          </a:xfrm>
          <a:prstGeom prst="line">
            <a:avLst/>
          </a:prstGeom>
          <a:ln w="38100">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96" name="Straight Connector 295"/>
          <xdr:cNvCxnSpPr/>
        </xdr:nvCxnSpPr>
        <xdr:spPr>
          <a:xfrm>
            <a:off x="10163519" y="4681538"/>
            <a:ext cx="87762" cy="2381"/>
          </a:xfrm>
          <a:prstGeom prst="line">
            <a:avLst/>
          </a:prstGeom>
          <a:ln w="57150">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97" name="Line Callout 2 (No Border) 296"/>
          <xdr:cNvSpPr/>
        </xdr:nvSpPr>
        <xdr:spPr>
          <a:xfrm>
            <a:off x="10220325" y="533400"/>
            <a:ext cx="1266825" cy="857250"/>
          </a:xfrm>
          <a:prstGeom prst="callout2">
            <a:avLst>
              <a:gd name="adj1" fmla="val 19861"/>
              <a:gd name="adj2" fmla="val -1582"/>
              <a:gd name="adj3" fmla="val 18750"/>
              <a:gd name="adj4" fmla="val -16667"/>
              <a:gd name="adj5" fmla="val 110278"/>
              <a:gd name="adj6" fmla="val -38364"/>
            </a:avLst>
          </a:prstGeom>
          <a:noFill/>
          <a:ln w="19050">
            <a:solidFill>
              <a:sysClr val="windowText" lastClr="000000"/>
            </a:solidFill>
            <a:headEnd type="none" w="med" len="med"/>
            <a:tailEnd type="triangle" w="lg" len="lg"/>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ln>
                  <a:noFill/>
                </a:ln>
                <a:solidFill>
                  <a:sysClr val="windowText" lastClr="000000"/>
                </a:solidFill>
                <a:latin typeface="Arial" panose="020B0604020202020204" pitchFamily="34" charset="0"/>
                <a:cs typeface="Arial" panose="020B0604020202020204" pitchFamily="34" charset="0"/>
              </a:rPr>
              <a:t>Coolant</a:t>
            </a:r>
          </a:p>
        </xdr:txBody>
      </xdr:sp>
      <xdr:grpSp>
        <xdr:nvGrpSpPr>
          <xdr:cNvPr id="298" name="Group 297"/>
          <xdr:cNvGrpSpPr/>
        </xdr:nvGrpSpPr>
        <xdr:grpSpPr>
          <a:xfrm>
            <a:off x="2921132" y="4329635"/>
            <a:ext cx="202914" cy="201157"/>
            <a:chOff x="2921132" y="4329635"/>
            <a:chExt cx="202914" cy="201157"/>
          </a:xfrm>
        </xdr:grpSpPr>
        <xdr:sp macro="" textlink="">
          <xdr:nvSpPr>
            <xdr:cNvPr id="306" name="Oval 305"/>
            <xdr:cNvSpPr/>
          </xdr:nvSpPr>
          <xdr:spPr>
            <a:xfrm>
              <a:off x="2957054" y="4329635"/>
              <a:ext cx="166992" cy="168164"/>
            </a:xfrm>
            <a:prstGeom prst="ellipse">
              <a:avLst/>
            </a:prstGeom>
            <a:solidFill>
              <a:schemeClr val="accent6"/>
            </a:solidFill>
            <a:ln w="12700">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07" name="Oval 306"/>
            <xdr:cNvSpPr/>
          </xdr:nvSpPr>
          <xdr:spPr>
            <a:xfrm>
              <a:off x="2921132" y="4362628"/>
              <a:ext cx="166992" cy="168164"/>
            </a:xfrm>
            <a:prstGeom prst="ellipse">
              <a:avLst/>
            </a:prstGeom>
            <a:solidFill>
              <a:schemeClr val="accent6">
                <a:lumMod val="60000"/>
                <a:lumOff val="40000"/>
              </a:schemeClr>
            </a:solidFill>
            <a:ln w="28575">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308" name="Straight Connector 307"/>
            <xdr:cNvCxnSpPr/>
          </xdr:nvCxnSpPr>
          <xdr:spPr>
            <a:xfrm flipV="1">
              <a:off x="2945606" y="4333874"/>
              <a:ext cx="69057" cy="38101"/>
            </a:xfrm>
            <a:prstGeom prst="line">
              <a:avLst/>
            </a:prstGeom>
            <a:ln>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309" name="Straight Connector 308"/>
            <xdr:cNvCxnSpPr/>
          </xdr:nvCxnSpPr>
          <xdr:spPr>
            <a:xfrm flipV="1">
              <a:off x="3057529" y="4467225"/>
              <a:ext cx="54765" cy="57152"/>
            </a:xfrm>
            <a:prstGeom prst="line">
              <a:avLst/>
            </a:prstGeom>
            <a:ln>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299" name="AutoShape 247"/>
          <xdr:cNvSpPr>
            <a:spLocks/>
          </xdr:cNvSpPr>
        </xdr:nvSpPr>
        <xdr:spPr bwMode="auto">
          <a:xfrm>
            <a:off x="295276" y="4073846"/>
            <a:ext cx="1771488" cy="723900"/>
          </a:xfrm>
          <a:prstGeom prst="callout2">
            <a:avLst>
              <a:gd name="adj1" fmla="val 15792"/>
              <a:gd name="adj2" fmla="val 104278"/>
              <a:gd name="adj3" fmla="val 15792"/>
              <a:gd name="adj4" fmla="val 117111"/>
              <a:gd name="adj5" fmla="val 46051"/>
              <a:gd name="adj6" fmla="val 150171"/>
            </a:avLst>
          </a:prstGeom>
          <a:solidFill>
            <a:srgbClr val="FFFFFF"/>
          </a:solidFill>
          <a:ln w="9525">
            <a:solidFill>
              <a:srgbClr val="000000"/>
            </a:solidFill>
            <a:miter lim="800000"/>
            <a:headEnd type="none" w="lg" len="lg"/>
            <a:tailEnd type="triangle" w="lg" len="lg"/>
          </a:ln>
        </xdr:spPr>
        <xdr:txBody>
          <a:bodyPr vertOverflow="clip" wrap="square" lIns="0" tIns="41148" rIns="45720" bIns="0" anchor="t" upright="1"/>
          <a:lstStyle/>
          <a:p>
            <a:pPr algn="r" rtl="0">
              <a:defRPr sz="1000"/>
            </a:pPr>
            <a:r>
              <a:rPr lang="en-US" sz="2000" b="1" i="0" u="none" strike="noStrike" baseline="0">
                <a:solidFill>
                  <a:srgbClr val="000000"/>
                </a:solidFill>
                <a:latin typeface="Arial"/>
                <a:cs typeface="Arial"/>
              </a:rPr>
              <a:t>Low Voltage Coaxial Port</a:t>
            </a:r>
          </a:p>
        </xdr:txBody>
      </xdr:sp>
      <xdr:cxnSp macro="">
        <xdr:nvCxnSpPr>
          <xdr:cNvPr id="300" name="Straight Connector 299"/>
          <xdr:cNvCxnSpPr/>
        </xdr:nvCxnSpPr>
        <xdr:spPr>
          <a:xfrm flipH="1">
            <a:off x="8339138" y="1621631"/>
            <a:ext cx="745332" cy="0"/>
          </a:xfrm>
          <a:prstGeom prst="line">
            <a:avLst/>
          </a:prstGeom>
          <a:ln w="38100">
            <a:solidFill>
              <a:schemeClr val="tx1">
                <a:lumMod val="65000"/>
                <a:lumOff val="3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301" name="Straight Connector 300"/>
          <xdr:cNvCxnSpPr/>
        </xdr:nvCxnSpPr>
        <xdr:spPr>
          <a:xfrm flipH="1">
            <a:off x="8339138" y="4650581"/>
            <a:ext cx="745332" cy="0"/>
          </a:xfrm>
          <a:prstGeom prst="line">
            <a:avLst/>
          </a:prstGeom>
          <a:ln w="38100">
            <a:solidFill>
              <a:schemeClr val="tx1">
                <a:lumMod val="65000"/>
                <a:lumOff val="3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02" name="Oval 301"/>
          <xdr:cNvSpPr/>
        </xdr:nvSpPr>
        <xdr:spPr>
          <a:xfrm>
            <a:off x="2967039" y="4417218"/>
            <a:ext cx="76200" cy="7620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03" name="Freeform 302"/>
          <xdr:cNvSpPr/>
        </xdr:nvSpPr>
        <xdr:spPr>
          <a:xfrm>
            <a:off x="8162925" y="1114424"/>
            <a:ext cx="733425" cy="4095750"/>
          </a:xfrm>
          <a:custGeom>
            <a:avLst/>
            <a:gdLst>
              <a:gd name="connsiteX0" fmla="*/ 733425 w 733425"/>
              <a:gd name="connsiteY0" fmla="*/ 0 h 4095750"/>
              <a:gd name="connsiteX1" fmla="*/ 276225 w 733425"/>
              <a:gd name="connsiteY1" fmla="*/ 2076450 h 4095750"/>
              <a:gd name="connsiteX2" fmla="*/ 571500 w 733425"/>
              <a:gd name="connsiteY2" fmla="*/ 1971675 h 4095750"/>
              <a:gd name="connsiteX3" fmla="*/ 142875 w 733425"/>
              <a:gd name="connsiteY3" fmla="*/ 4095750 h 4095750"/>
              <a:gd name="connsiteX4" fmla="*/ 0 w 733425"/>
              <a:gd name="connsiteY4" fmla="*/ 4086225 h 4095750"/>
              <a:gd name="connsiteX5" fmla="*/ 47625 w 733425"/>
              <a:gd name="connsiteY5" fmla="*/ 0 h 4095750"/>
              <a:gd name="connsiteX6" fmla="*/ 733425 w 733425"/>
              <a:gd name="connsiteY6" fmla="*/ 0 h 40957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733425" h="4095750">
                <a:moveTo>
                  <a:pt x="733425" y="0"/>
                </a:moveTo>
                <a:lnTo>
                  <a:pt x="276225" y="2076450"/>
                </a:lnTo>
                <a:lnTo>
                  <a:pt x="571500" y="1971675"/>
                </a:lnTo>
                <a:lnTo>
                  <a:pt x="142875" y="4095750"/>
                </a:lnTo>
                <a:lnTo>
                  <a:pt x="0" y="4086225"/>
                </a:lnTo>
                <a:lnTo>
                  <a:pt x="47625" y="0"/>
                </a:lnTo>
                <a:lnTo>
                  <a:pt x="733425" y="0"/>
                </a:lnTo>
                <a:close/>
              </a:path>
            </a:pathLst>
          </a:cu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solidFill>
                <a:schemeClr val="bg1"/>
              </a:solidFill>
            </a:endParaRPr>
          </a:p>
        </xdr:txBody>
      </xdr:sp>
      <xdr:sp macro="" textlink="">
        <xdr:nvSpPr>
          <xdr:cNvPr id="304" name="Freeform 303"/>
          <xdr:cNvSpPr/>
        </xdr:nvSpPr>
        <xdr:spPr>
          <a:xfrm>
            <a:off x="8305800" y="1040604"/>
            <a:ext cx="611981" cy="4131469"/>
          </a:xfrm>
          <a:custGeom>
            <a:avLst/>
            <a:gdLst>
              <a:gd name="connsiteX0" fmla="*/ 581025 w 581025"/>
              <a:gd name="connsiteY0" fmla="*/ 0 h 4000500"/>
              <a:gd name="connsiteX1" fmla="*/ 142875 w 581025"/>
              <a:gd name="connsiteY1" fmla="*/ 1981200 h 4000500"/>
              <a:gd name="connsiteX2" fmla="*/ 447675 w 581025"/>
              <a:gd name="connsiteY2" fmla="*/ 1885950 h 4000500"/>
              <a:gd name="connsiteX3" fmla="*/ 0 w 581025"/>
              <a:gd name="connsiteY3" fmla="*/ 4000500 h 4000500"/>
              <a:gd name="connsiteX0" fmla="*/ 581025 w 581025"/>
              <a:gd name="connsiteY0" fmla="*/ 0 h 4000500"/>
              <a:gd name="connsiteX1" fmla="*/ 142875 w 581025"/>
              <a:gd name="connsiteY1" fmla="*/ 2016919 h 4000500"/>
              <a:gd name="connsiteX2" fmla="*/ 447675 w 581025"/>
              <a:gd name="connsiteY2" fmla="*/ 1885950 h 4000500"/>
              <a:gd name="connsiteX3" fmla="*/ 0 w 581025"/>
              <a:gd name="connsiteY3" fmla="*/ 4000500 h 4000500"/>
              <a:gd name="connsiteX0" fmla="*/ 611981 w 611981"/>
              <a:gd name="connsiteY0" fmla="*/ 0 h 4131469"/>
              <a:gd name="connsiteX1" fmla="*/ 142875 w 611981"/>
              <a:gd name="connsiteY1" fmla="*/ 2147888 h 4131469"/>
              <a:gd name="connsiteX2" fmla="*/ 447675 w 611981"/>
              <a:gd name="connsiteY2" fmla="*/ 2016919 h 4131469"/>
              <a:gd name="connsiteX3" fmla="*/ 0 w 611981"/>
              <a:gd name="connsiteY3" fmla="*/ 4131469 h 4131469"/>
            </a:gdLst>
            <a:ahLst/>
            <a:cxnLst>
              <a:cxn ang="0">
                <a:pos x="connsiteX0" y="connsiteY0"/>
              </a:cxn>
              <a:cxn ang="0">
                <a:pos x="connsiteX1" y="connsiteY1"/>
              </a:cxn>
              <a:cxn ang="0">
                <a:pos x="connsiteX2" y="connsiteY2"/>
              </a:cxn>
              <a:cxn ang="0">
                <a:pos x="connsiteX3" y="connsiteY3"/>
              </a:cxn>
            </a:cxnLst>
            <a:rect l="l" t="t" r="r" b="b"/>
            <a:pathLst>
              <a:path w="611981" h="4131469">
                <a:moveTo>
                  <a:pt x="611981" y="0"/>
                </a:moveTo>
                <a:lnTo>
                  <a:pt x="142875" y="2147888"/>
                </a:lnTo>
                <a:lnTo>
                  <a:pt x="447675" y="2016919"/>
                </a:lnTo>
                <a:lnTo>
                  <a:pt x="0" y="4131469"/>
                </a:lnTo>
              </a:path>
            </a:pathLst>
          </a:custGeom>
          <a:noFill/>
          <a:ln w="28575">
            <a:solidFill>
              <a:sysClr val="windowText" lastClr="000000"/>
            </a:solidFill>
            <a:prstDash val="lgDashDot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305" name="Straight Arrow Connector 304"/>
          <xdr:cNvCxnSpPr/>
        </xdr:nvCxnSpPr>
        <xdr:spPr>
          <a:xfrm>
            <a:off x="6457950" y="152399"/>
            <a:ext cx="2514600" cy="1428751"/>
          </a:xfrm>
          <a:prstGeom prst="straightConnector1">
            <a:avLst/>
          </a:prstGeom>
          <a:ln w="19050">
            <a:solidFill>
              <a:sysClr val="windowText" lastClr="000000"/>
            </a:solidFill>
            <a:headEnd type="none" w="med" len="med"/>
            <a:tailEnd type="triangle" w="lg" len="lg"/>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8.xml><?xml version="1.0" encoding="utf-8"?>
<xdr:wsDr xmlns:xdr="http://schemas.openxmlformats.org/drawingml/2006/spreadsheetDrawing" xmlns:a="http://schemas.openxmlformats.org/drawingml/2006/main">
  <xdr:twoCellAnchor>
    <xdr:from>
      <xdr:col>13</xdr:col>
      <xdr:colOff>38100</xdr:colOff>
      <xdr:row>220</xdr:row>
      <xdr:rowOff>133350</xdr:rowOff>
    </xdr:from>
    <xdr:to>
      <xdr:col>13</xdr:col>
      <xdr:colOff>209550</xdr:colOff>
      <xdr:row>220</xdr:row>
      <xdr:rowOff>133350</xdr:rowOff>
    </xdr:to>
    <xdr:sp macro="" textlink="">
      <xdr:nvSpPr>
        <xdr:cNvPr id="12460" name="Line 1257"/>
        <xdr:cNvSpPr>
          <a:spLocks noChangeShapeType="1"/>
        </xdr:cNvSpPr>
      </xdr:nvSpPr>
      <xdr:spPr bwMode="auto">
        <a:xfrm>
          <a:off x="7962900" y="36271200"/>
          <a:ext cx="171450" cy="0"/>
        </a:xfrm>
        <a:prstGeom prst="line">
          <a:avLst/>
        </a:prstGeom>
        <a:noFill/>
        <a:ln w="38100">
          <a:solidFill>
            <a:srgbClr val="000000"/>
          </a:solidFill>
          <a:round/>
          <a:headEnd/>
          <a:tailEnd/>
        </a:ln>
      </xdr:spPr>
    </xdr:sp>
    <xdr:clientData/>
  </xdr:twoCellAnchor>
  <xdr:twoCellAnchor>
    <xdr:from>
      <xdr:col>0</xdr:col>
      <xdr:colOff>120718</xdr:colOff>
      <xdr:row>78</xdr:row>
      <xdr:rowOff>9525</xdr:rowOff>
    </xdr:from>
    <xdr:to>
      <xdr:col>11</xdr:col>
      <xdr:colOff>476250</xdr:colOff>
      <xdr:row>132</xdr:row>
      <xdr:rowOff>123825</xdr:rowOff>
    </xdr:to>
    <xdr:grpSp>
      <xdr:nvGrpSpPr>
        <xdr:cNvPr id="16" name="Group 15"/>
        <xdr:cNvGrpSpPr/>
      </xdr:nvGrpSpPr>
      <xdr:grpSpPr>
        <a:xfrm>
          <a:off x="120718" y="12917121"/>
          <a:ext cx="7071878" cy="8686800"/>
          <a:chOff x="120718" y="13154025"/>
          <a:chExt cx="7061132" cy="8858250"/>
        </a:xfrm>
      </xdr:grpSpPr>
      <xdr:grpSp>
        <xdr:nvGrpSpPr>
          <xdr:cNvPr id="137696" name="Group 137695"/>
          <xdr:cNvGrpSpPr/>
        </xdr:nvGrpSpPr>
        <xdr:grpSpPr>
          <a:xfrm>
            <a:off x="120718" y="13154025"/>
            <a:ext cx="7061132" cy="4724400"/>
            <a:chOff x="2701993" y="15363825"/>
            <a:chExt cx="7061132" cy="4724400"/>
          </a:xfrm>
        </xdr:grpSpPr>
        <xdr:grpSp>
          <xdr:nvGrpSpPr>
            <xdr:cNvPr id="4" name="Group 3"/>
            <xdr:cNvGrpSpPr/>
          </xdr:nvGrpSpPr>
          <xdr:grpSpPr>
            <a:xfrm>
              <a:off x="2701993" y="15363825"/>
              <a:ext cx="6878878" cy="4724400"/>
              <a:chOff x="1854268" y="14030325"/>
              <a:chExt cx="6878878" cy="4724400"/>
            </a:xfrm>
          </xdr:grpSpPr>
          <xdr:sp macro="" textlink="">
            <xdr:nvSpPr>
              <xdr:cNvPr id="7" name="Freeform 6"/>
              <xdr:cNvSpPr/>
            </xdr:nvSpPr>
            <xdr:spPr>
              <a:xfrm>
                <a:off x="1854268" y="16776080"/>
                <a:ext cx="519545" cy="736371"/>
              </a:xfrm>
              <a:custGeom>
                <a:avLst/>
                <a:gdLst>
                  <a:gd name="connsiteX0" fmla="*/ 473703 w 524639"/>
                  <a:gd name="connsiteY0" fmla="*/ 213930 h 738569"/>
                  <a:gd name="connsiteX1" fmla="*/ 117153 w 524639"/>
                  <a:gd name="connsiteY1" fmla="*/ 15280 h 738569"/>
                  <a:gd name="connsiteX2" fmla="*/ 66217 w 524639"/>
                  <a:gd name="connsiteY2" fmla="*/ 5093 h 738569"/>
                  <a:gd name="connsiteX3" fmla="*/ 30562 w 524639"/>
                  <a:gd name="connsiteY3" fmla="*/ 0 h 738569"/>
                  <a:gd name="connsiteX4" fmla="*/ 15281 w 524639"/>
                  <a:gd name="connsiteY4" fmla="*/ 20374 h 738569"/>
                  <a:gd name="connsiteX5" fmla="*/ 5094 w 524639"/>
                  <a:gd name="connsiteY5" fmla="*/ 56029 h 738569"/>
                  <a:gd name="connsiteX6" fmla="*/ 0 w 524639"/>
                  <a:gd name="connsiteY6" fmla="*/ 331083 h 738569"/>
                  <a:gd name="connsiteX7" fmla="*/ 15281 w 524639"/>
                  <a:gd name="connsiteY7" fmla="*/ 382018 h 738569"/>
                  <a:gd name="connsiteX8" fmla="*/ 20375 w 524639"/>
                  <a:gd name="connsiteY8" fmla="*/ 412580 h 738569"/>
                  <a:gd name="connsiteX9" fmla="*/ 35655 w 524639"/>
                  <a:gd name="connsiteY9" fmla="*/ 443141 h 738569"/>
                  <a:gd name="connsiteX10" fmla="*/ 56030 w 524639"/>
                  <a:gd name="connsiteY10" fmla="*/ 463516 h 738569"/>
                  <a:gd name="connsiteX11" fmla="*/ 96778 w 524639"/>
                  <a:gd name="connsiteY11" fmla="*/ 509358 h 738569"/>
                  <a:gd name="connsiteX12" fmla="*/ 524639 w 524639"/>
                  <a:gd name="connsiteY12" fmla="*/ 738569 h 738569"/>
                  <a:gd name="connsiteX13" fmla="*/ 463516 w 524639"/>
                  <a:gd name="connsiteY13" fmla="*/ 565387 h 738569"/>
                  <a:gd name="connsiteX14" fmla="*/ 473703 w 524639"/>
                  <a:gd name="connsiteY14" fmla="*/ 213930 h 738569"/>
                  <a:gd name="connsiteX0" fmla="*/ 473703 w 524639"/>
                  <a:gd name="connsiteY0" fmla="*/ 213930 h 738569"/>
                  <a:gd name="connsiteX1" fmla="*/ 117153 w 524639"/>
                  <a:gd name="connsiteY1" fmla="*/ 15280 h 738569"/>
                  <a:gd name="connsiteX2" fmla="*/ 66217 w 524639"/>
                  <a:gd name="connsiteY2" fmla="*/ 5093 h 738569"/>
                  <a:gd name="connsiteX3" fmla="*/ 30562 w 524639"/>
                  <a:gd name="connsiteY3" fmla="*/ 0 h 738569"/>
                  <a:gd name="connsiteX4" fmla="*/ 15281 w 524639"/>
                  <a:gd name="connsiteY4" fmla="*/ 20374 h 738569"/>
                  <a:gd name="connsiteX5" fmla="*/ 5094 w 524639"/>
                  <a:gd name="connsiteY5" fmla="*/ 56029 h 738569"/>
                  <a:gd name="connsiteX6" fmla="*/ 0 w 524639"/>
                  <a:gd name="connsiteY6" fmla="*/ 331083 h 738569"/>
                  <a:gd name="connsiteX7" fmla="*/ 15281 w 524639"/>
                  <a:gd name="connsiteY7" fmla="*/ 382018 h 738569"/>
                  <a:gd name="connsiteX8" fmla="*/ 20375 w 524639"/>
                  <a:gd name="connsiteY8" fmla="*/ 412580 h 738569"/>
                  <a:gd name="connsiteX9" fmla="*/ 35655 w 524639"/>
                  <a:gd name="connsiteY9" fmla="*/ 443141 h 738569"/>
                  <a:gd name="connsiteX10" fmla="*/ 56030 w 524639"/>
                  <a:gd name="connsiteY10" fmla="*/ 463516 h 738569"/>
                  <a:gd name="connsiteX11" fmla="*/ 96778 w 524639"/>
                  <a:gd name="connsiteY11" fmla="*/ 509358 h 738569"/>
                  <a:gd name="connsiteX12" fmla="*/ 524639 w 524639"/>
                  <a:gd name="connsiteY12" fmla="*/ 738569 h 738569"/>
                  <a:gd name="connsiteX13" fmla="*/ 494078 w 524639"/>
                  <a:gd name="connsiteY13" fmla="*/ 560293 h 738569"/>
                  <a:gd name="connsiteX14" fmla="*/ 473703 w 524639"/>
                  <a:gd name="connsiteY14" fmla="*/ 213930 h 738569"/>
                  <a:gd name="connsiteX0" fmla="*/ 473703 w 524639"/>
                  <a:gd name="connsiteY0" fmla="*/ 216022 h 740661"/>
                  <a:gd name="connsiteX1" fmla="*/ 117153 w 524639"/>
                  <a:gd name="connsiteY1" fmla="*/ 17372 h 740661"/>
                  <a:gd name="connsiteX2" fmla="*/ 66217 w 524639"/>
                  <a:gd name="connsiteY2" fmla="*/ 0 h 740661"/>
                  <a:gd name="connsiteX3" fmla="*/ 30562 w 524639"/>
                  <a:gd name="connsiteY3" fmla="*/ 2092 h 740661"/>
                  <a:gd name="connsiteX4" fmla="*/ 15281 w 524639"/>
                  <a:gd name="connsiteY4" fmla="*/ 22466 h 740661"/>
                  <a:gd name="connsiteX5" fmla="*/ 5094 w 524639"/>
                  <a:gd name="connsiteY5" fmla="*/ 58121 h 740661"/>
                  <a:gd name="connsiteX6" fmla="*/ 0 w 524639"/>
                  <a:gd name="connsiteY6" fmla="*/ 333175 h 740661"/>
                  <a:gd name="connsiteX7" fmla="*/ 15281 w 524639"/>
                  <a:gd name="connsiteY7" fmla="*/ 384110 h 740661"/>
                  <a:gd name="connsiteX8" fmla="*/ 20375 w 524639"/>
                  <a:gd name="connsiteY8" fmla="*/ 414672 h 740661"/>
                  <a:gd name="connsiteX9" fmla="*/ 35655 w 524639"/>
                  <a:gd name="connsiteY9" fmla="*/ 445233 h 740661"/>
                  <a:gd name="connsiteX10" fmla="*/ 56030 w 524639"/>
                  <a:gd name="connsiteY10" fmla="*/ 465608 h 740661"/>
                  <a:gd name="connsiteX11" fmla="*/ 96778 w 524639"/>
                  <a:gd name="connsiteY11" fmla="*/ 511450 h 740661"/>
                  <a:gd name="connsiteX12" fmla="*/ 524639 w 524639"/>
                  <a:gd name="connsiteY12" fmla="*/ 740661 h 740661"/>
                  <a:gd name="connsiteX13" fmla="*/ 494078 w 524639"/>
                  <a:gd name="connsiteY13" fmla="*/ 562385 h 740661"/>
                  <a:gd name="connsiteX14" fmla="*/ 473703 w 524639"/>
                  <a:gd name="connsiteY14" fmla="*/ 216022 h 740661"/>
                  <a:gd name="connsiteX0" fmla="*/ 468609 w 519545"/>
                  <a:gd name="connsiteY0" fmla="*/ 216022 h 740661"/>
                  <a:gd name="connsiteX1" fmla="*/ 112059 w 519545"/>
                  <a:gd name="connsiteY1" fmla="*/ 17372 h 740661"/>
                  <a:gd name="connsiteX2" fmla="*/ 61123 w 519545"/>
                  <a:gd name="connsiteY2" fmla="*/ 0 h 740661"/>
                  <a:gd name="connsiteX3" fmla="*/ 25468 w 519545"/>
                  <a:gd name="connsiteY3" fmla="*/ 2092 h 740661"/>
                  <a:gd name="connsiteX4" fmla="*/ 10187 w 519545"/>
                  <a:gd name="connsiteY4" fmla="*/ 22466 h 740661"/>
                  <a:gd name="connsiteX5" fmla="*/ 0 w 519545"/>
                  <a:gd name="connsiteY5" fmla="*/ 58121 h 740661"/>
                  <a:gd name="connsiteX6" fmla="*/ 2049 w 519545"/>
                  <a:gd name="connsiteY6" fmla="*/ 333175 h 740661"/>
                  <a:gd name="connsiteX7" fmla="*/ 10187 w 519545"/>
                  <a:gd name="connsiteY7" fmla="*/ 384110 h 740661"/>
                  <a:gd name="connsiteX8" fmla="*/ 15281 w 519545"/>
                  <a:gd name="connsiteY8" fmla="*/ 414672 h 740661"/>
                  <a:gd name="connsiteX9" fmla="*/ 30561 w 519545"/>
                  <a:gd name="connsiteY9" fmla="*/ 445233 h 740661"/>
                  <a:gd name="connsiteX10" fmla="*/ 50936 w 519545"/>
                  <a:gd name="connsiteY10" fmla="*/ 465608 h 740661"/>
                  <a:gd name="connsiteX11" fmla="*/ 91684 w 519545"/>
                  <a:gd name="connsiteY11" fmla="*/ 511450 h 740661"/>
                  <a:gd name="connsiteX12" fmla="*/ 519545 w 519545"/>
                  <a:gd name="connsiteY12" fmla="*/ 740661 h 740661"/>
                  <a:gd name="connsiteX13" fmla="*/ 488984 w 519545"/>
                  <a:gd name="connsiteY13" fmla="*/ 562385 h 740661"/>
                  <a:gd name="connsiteX14" fmla="*/ 468609 w 519545"/>
                  <a:gd name="connsiteY14" fmla="*/ 216022 h 740661"/>
                  <a:gd name="connsiteX0" fmla="*/ 468609 w 519545"/>
                  <a:gd name="connsiteY0" fmla="*/ 216022 h 740661"/>
                  <a:gd name="connsiteX1" fmla="*/ 112059 w 519545"/>
                  <a:gd name="connsiteY1" fmla="*/ 17372 h 740661"/>
                  <a:gd name="connsiteX2" fmla="*/ 61123 w 519545"/>
                  <a:gd name="connsiteY2" fmla="*/ 0 h 740661"/>
                  <a:gd name="connsiteX3" fmla="*/ 25468 w 519545"/>
                  <a:gd name="connsiteY3" fmla="*/ 2092 h 740661"/>
                  <a:gd name="connsiteX4" fmla="*/ 10187 w 519545"/>
                  <a:gd name="connsiteY4" fmla="*/ 22466 h 740661"/>
                  <a:gd name="connsiteX5" fmla="*/ 0 w 519545"/>
                  <a:gd name="connsiteY5" fmla="*/ 58121 h 740661"/>
                  <a:gd name="connsiteX6" fmla="*/ 2049 w 519545"/>
                  <a:gd name="connsiteY6" fmla="*/ 333175 h 740661"/>
                  <a:gd name="connsiteX7" fmla="*/ 10187 w 519545"/>
                  <a:gd name="connsiteY7" fmla="*/ 384110 h 740661"/>
                  <a:gd name="connsiteX8" fmla="*/ 15281 w 519545"/>
                  <a:gd name="connsiteY8" fmla="*/ 414672 h 740661"/>
                  <a:gd name="connsiteX9" fmla="*/ 30561 w 519545"/>
                  <a:gd name="connsiteY9" fmla="*/ 445233 h 740661"/>
                  <a:gd name="connsiteX10" fmla="*/ 55698 w 519545"/>
                  <a:gd name="connsiteY10" fmla="*/ 479978 h 740661"/>
                  <a:gd name="connsiteX11" fmla="*/ 91684 w 519545"/>
                  <a:gd name="connsiteY11" fmla="*/ 511450 h 740661"/>
                  <a:gd name="connsiteX12" fmla="*/ 519545 w 519545"/>
                  <a:gd name="connsiteY12" fmla="*/ 740661 h 740661"/>
                  <a:gd name="connsiteX13" fmla="*/ 488984 w 519545"/>
                  <a:gd name="connsiteY13" fmla="*/ 562385 h 740661"/>
                  <a:gd name="connsiteX14" fmla="*/ 468609 w 519545"/>
                  <a:gd name="connsiteY14" fmla="*/ 216022 h 740661"/>
                  <a:gd name="connsiteX0" fmla="*/ 468609 w 519545"/>
                  <a:gd name="connsiteY0" fmla="*/ 216022 h 740661"/>
                  <a:gd name="connsiteX1" fmla="*/ 112059 w 519545"/>
                  <a:gd name="connsiteY1" fmla="*/ 17372 h 740661"/>
                  <a:gd name="connsiteX2" fmla="*/ 61123 w 519545"/>
                  <a:gd name="connsiteY2" fmla="*/ 0 h 740661"/>
                  <a:gd name="connsiteX3" fmla="*/ 25468 w 519545"/>
                  <a:gd name="connsiteY3" fmla="*/ 2092 h 740661"/>
                  <a:gd name="connsiteX4" fmla="*/ 10187 w 519545"/>
                  <a:gd name="connsiteY4" fmla="*/ 22466 h 740661"/>
                  <a:gd name="connsiteX5" fmla="*/ 0 w 519545"/>
                  <a:gd name="connsiteY5" fmla="*/ 58121 h 740661"/>
                  <a:gd name="connsiteX6" fmla="*/ 2049 w 519545"/>
                  <a:gd name="connsiteY6" fmla="*/ 333175 h 740661"/>
                  <a:gd name="connsiteX7" fmla="*/ 7806 w 519545"/>
                  <a:gd name="connsiteY7" fmla="*/ 374529 h 740661"/>
                  <a:gd name="connsiteX8" fmla="*/ 15281 w 519545"/>
                  <a:gd name="connsiteY8" fmla="*/ 414672 h 740661"/>
                  <a:gd name="connsiteX9" fmla="*/ 30561 w 519545"/>
                  <a:gd name="connsiteY9" fmla="*/ 445233 h 740661"/>
                  <a:gd name="connsiteX10" fmla="*/ 55698 w 519545"/>
                  <a:gd name="connsiteY10" fmla="*/ 479978 h 740661"/>
                  <a:gd name="connsiteX11" fmla="*/ 91684 w 519545"/>
                  <a:gd name="connsiteY11" fmla="*/ 511450 h 740661"/>
                  <a:gd name="connsiteX12" fmla="*/ 519545 w 519545"/>
                  <a:gd name="connsiteY12" fmla="*/ 740661 h 740661"/>
                  <a:gd name="connsiteX13" fmla="*/ 488984 w 519545"/>
                  <a:gd name="connsiteY13" fmla="*/ 562385 h 740661"/>
                  <a:gd name="connsiteX14" fmla="*/ 468609 w 519545"/>
                  <a:gd name="connsiteY14" fmla="*/ 216022 h 74066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Lst>
                <a:rect l="l" t="t" r="r" b="b"/>
                <a:pathLst>
                  <a:path w="519545" h="740661">
                    <a:moveTo>
                      <a:pt x="468609" y="216022"/>
                    </a:moveTo>
                    <a:lnTo>
                      <a:pt x="112059" y="17372"/>
                    </a:lnTo>
                    <a:lnTo>
                      <a:pt x="61123" y="0"/>
                    </a:lnTo>
                    <a:lnTo>
                      <a:pt x="25468" y="2092"/>
                    </a:lnTo>
                    <a:lnTo>
                      <a:pt x="10187" y="22466"/>
                    </a:lnTo>
                    <a:lnTo>
                      <a:pt x="0" y="58121"/>
                    </a:lnTo>
                    <a:lnTo>
                      <a:pt x="2049" y="333175"/>
                    </a:lnTo>
                    <a:lnTo>
                      <a:pt x="7806" y="374529"/>
                    </a:lnTo>
                    <a:lnTo>
                      <a:pt x="15281" y="414672"/>
                    </a:lnTo>
                    <a:lnTo>
                      <a:pt x="30561" y="445233"/>
                    </a:lnTo>
                    <a:lnTo>
                      <a:pt x="55698" y="479978"/>
                    </a:lnTo>
                    <a:lnTo>
                      <a:pt x="91684" y="511450"/>
                    </a:lnTo>
                    <a:lnTo>
                      <a:pt x="519545" y="740661"/>
                    </a:lnTo>
                    <a:lnTo>
                      <a:pt x="488984" y="562385"/>
                    </a:lnTo>
                    <a:lnTo>
                      <a:pt x="468609" y="216022"/>
                    </a:lnTo>
                    <a:close/>
                  </a:path>
                </a:pathLst>
              </a:custGeom>
              <a:gradFill>
                <a:gsLst>
                  <a:gs pos="0">
                    <a:srgbClr val="CCFFCC"/>
                  </a:gs>
                  <a:gs pos="39999">
                    <a:srgbClr val="E1E8F5"/>
                  </a:gs>
                  <a:gs pos="70000">
                    <a:srgbClr val="CCFFFF"/>
                  </a:gs>
                  <a:gs pos="100000">
                    <a:srgbClr val="CCFFFF"/>
                  </a:gs>
                </a:gsLst>
                <a:lin ang="5400000" scaled="0"/>
              </a:gra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12443" name="Freeform 761"/>
              <xdr:cNvSpPr>
                <a:spLocks/>
              </xdr:cNvSpPr>
            </xdr:nvSpPr>
            <xdr:spPr bwMode="auto">
              <a:xfrm>
                <a:off x="4676775" y="15001875"/>
                <a:ext cx="3676650" cy="3705225"/>
              </a:xfrm>
              <a:custGeom>
                <a:avLst/>
                <a:gdLst>
                  <a:gd name="T0" fmla="*/ 28771 w 10000"/>
                  <a:gd name="T1" fmla="*/ 1819990 h 10000"/>
                  <a:gd name="T2" fmla="*/ 3502659 w 10000"/>
                  <a:gd name="T3" fmla="*/ 0 h 10000"/>
                  <a:gd name="T4" fmla="*/ 3657947 w 10000"/>
                  <a:gd name="T5" fmla="*/ 180433 h 10000"/>
                  <a:gd name="T6" fmla="*/ 3638766 w 10000"/>
                  <a:gd name="T7" fmla="*/ 103637 h 10000"/>
                  <a:gd name="T8" fmla="*/ 3585651 w 10000"/>
                  <a:gd name="T9" fmla="*/ 47718 h 10000"/>
                  <a:gd name="T10" fmla="*/ 3676759 w 10000"/>
                  <a:gd name="T11" fmla="*/ 247536 h 10000"/>
                  <a:gd name="T12" fmla="*/ 3686349 w 10000"/>
                  <a:gd name="T13" fmla="*/ 1417370 h 10000"/>
                  <a:gd name="T14" fmla="*/ 3676759 w 10000"/>
                  <a:gd name="T15" fmla="*/ 1474780 h 10000"/>
                  <a:gd name="T16" fmla="*/ 3657947 w 10000"/>
                  <a:gd name="T17" fmla="*/ 1513178 h 10000"/>
                  <a:gd name="T18" fmla="*/ 3619586 w 10000"/>
                  <a:gd name="T19" fmla="*/ 1542257 h 10000"/>
                  <a:gd name="T20" fmla="*/ 0 w 10000"/>
                  <a:gd name="T21" fmla="*/ 3727959 h 10000"/>
                  <a:gd name="T22" fmla="*/ 28771 w 10000"/>
                  <a:gd name="T23" fmla="*/ 3689561 h 10000"/>
                  <a:gd name="T24" fmla="*/ 37992 w 10000"/>
                  <a:gd name="T25" fmla="*/ 1916171 h 10000"/>
                  <a:gd name="T26" fmla="*/ 47582 w 10000"/>
                  <a:gd name="T27" fmla="*/ 1877773 h 10000"/>
                  <a:gd name="T28" fmla="*/ 28771 w 10000"/>
                  <a:gd name="T29" fmla="*/ 1819990 h 10000"/>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0" t="0" r="r" b="b"/>
                <a:pathLst>
                  <a:path w="10000" h="10000">
                    <a:moveTo>
                      <a:pt x="78" y="4882"/>
                    </a:moveTo>
                    <a:lnTo>
                      <a:pt x="9496" y="0"/>
                    </a:lnTo>
                    <a:lnTo>
                      <a:pt x="9917" y="484"/>
                    </a:lnTo>
                    <a:cubicBezTo>
                      <a:pt x="9900" y="415"/>
                      <a:pt x="9882" y="347"/>
                      <a:pt x="9865" y="278"/>
                    </a:cubicBezTo>
                    <a:lnTo>
                      <a:pt x="9721" y="128"/>
                    </a:lnTo>
                    <a:cubicBezTo>
                      <a:pt x="9773" y="154"/>
                      <a:pt x="9917" y="21"/>
                      <a:pt x="9968" y="664"/>
                    </a:cubicBezTo>
                    <a:cubicBezTo>
                      <a:pt x="10020" y="1281"/>
                      <a:pt x="9994" y="3261"/>
                      <a:pt x="9994" y="3802"/>
                    </a:cubicBezTo>
                    <a:cubicBezTo>
                      <a:pt x="9985" y="3853"/>
                      <a:pt x="9977" y="3905"/>
                      <a:pt x="9968" y="3956"/>
                    </a:cubicBezTo>
                    <a:cubicBezTo>
                      <a:pt x="9951" y="3990"/>
                      <a:pt x="9934" y="4025"/>
                      <a:pt x="9917" y="4059"/>
                    </a:cubicBezTo>
                    <a:lnTo>
                      <a:pt x="9813" y="4137"/>
                    </a:lnTo>
                    <a:lnTo>
                      <a:pt x="0" y="10000"/>
                    </a:lnTo>
                    <a:cubicBezTo>
                      <a:pt x="26" y="9966"/>
                      <a:pt x="52" y="9931"/>
                      <a:pt x="78" y="9897"/>
                    </a:cubicBezTo>
                    <a:cubicBezTo>
                      <a:pt x="86" y="8311"/>
                      <a:pt x="95" y="6725"/>
                      <a:pt x="103" y="5140"/>
                    </a:cubicBezTo>
                    <a:cubicBezTo>
                      <a:pt x="112" y="5105"/>
                      <a:pt x="120" y="5071"/>
                      <a:pt x="129" y="5037"/>
                    </a:cubicBezTo>
                    <a:cubicBezTo>
                      <a:pt x="112" y="4985"/>
                      <a:pt x="95" y="4933"/>
                      <a:pt x="78" y="4882"/>
                    </a:cubicBezTo>
                    <a:close/>
                  </a:path>
                </a:pathLst>
              </a:custGeom>
              <a:gradFill rotWithShape="1">
                <a:gsLst>
                  <a:gs pos="0">
                    <a:srgbClr val="CCFFCC"/>
                  </a:gs>
                  <a:gs pos="100000">
                    <a:srgbClr val="99FFCC"/>
                  </a:gs>
                </a:gsLst>
                <a:path path="rect">
                  <a:fillToRect l="50000" t="50000" r="50000" b="50000"/>
                </a:path>
              </a:gradFill>
              <a:ln w="19050" cmpd="sng">
                <a:solidFill>
                  <a:srgbClr val="000000"/>
                </a:solidFill>
                <a:round/>
                <a:headEnd/>
                <a:tailEnd/>
              </a:ln>
            </xdr:spPr>
          </xdr:sp>
          <xdr:sp macro="" textlink="">
            <xdr:nvSpPr>
              <xdr:cNvPr id="12444" name="Freeform 762"/>
              <xdr:cNvSpPr>
                <a:spLocks/>
              </xdr:cNvSpPr>
            </xdr:nvSpPr>
            <xdr:spPr bwMode="auto">
              <a:xfrm>
                <a:off x="2352675" y="14030325"/>
                <a:ext cx="6362700" cy="3533775"/>
              </a:xfrm>
              <a:custGeom>
                <a:avLst/>
                <a:gdLst>
                  <a:gd name="T0" fmla="*/ 2772361 w 10615"/>
                  <a:gd name="T1" fmla="*/ 3409778 h 10739"/>
                  <a:gd name="T2" fmla="*/ 2721399 w 10615"/>
                  <a:gd name="T3" fmla="*/ 3327655 h 10739"/>
                  <a:gd name="T4" fmla="*/ 94131 w 10615"/>
                  <a:gd name="T5" fmla="*/ 1960458 h 10739"/>
                  <a:gd name="T6" fmla="*/ 37173 w 10615"/>
                  <a:gd name="T7" fmla="*/ 1948304 h 10739"/>
                  <a:gd name="T8" fmla="*/ 0 w 10615"/>
                  <a:gd name="T9" fmla="*/ 1919396 h 10739"/>
                  <a:gd name="T10" fmla="*/ 3503823 w 10615"/>
                  <a:gd name="T11" fmla="*/ 12811 h 10739"/>
                  <a:gd name="T12" fmla="*/ 3564378 w 10615"/>
                  <a:gd name="T13" fmla="*/ 0 h 10739"/>
                  <a:gd name="T14" fmla="*/ 3632128 w 10615"/>
                  <a:gd name="T15" fmla="*/ 9855 h 10739"/>
                  <a:gd name="T16" fmla="*/ 6218626 w 10615"/>
                  <a:gd name="T17" fmla="*/ 1130023 h 10739"/>
                  <a:gd name="T18" fmla="*/ 6265991 w 10615"/>
                  <a:gd name="T19" fmla="*/ 1165172 h 10739"/>
                  <a:gd name="T20" fmla="*/ 6329545 w 10615"/>
                  <a:gd name="T21" fmla="*/ 1217402 h 10739"/>
                  <a:gd name="T22" fmla="*/ 6340936 w 10615"/>
                  <a:gd name="T23" fmla="*/ 1272261 h 10739"/>
                  <a:gd name="T24" fmla="*/ 6364319 w 10615"/>
                  <a:gd name="T25" fmla="*/ 1327120 h 10739"/>
                  <a:gd name="T26" fmla="*/ 2801739 w 10615"/>
                  <a:gd name="T27" fmla="*/ 3527708 h 10739"/>
                  <a:gd name="T28" fmla="*/ 2772361 w 10615"/>
                  <a:gd name="T29" fmla="*/ 3409778 h 10739"/>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0" t="0" r="r" b="b"/>
                <a:pathLst>
                  <a:path w="10615" h="10739">
                    <a:moveTo>
                      <a:pt x="4624" y="10380"/>
                    </a:moveTo>
                    <a:cubicBezTo>
                      <a:pt x="4581" y="10304"/>
                      <a:pt x="4582" y="10207"/>
                      <a:pt x="4539" y="10130"/>
                    </a:cubicBezTo>
                    <a:lnTo>
                      <a:pt x="157" y="5968"/>
                    </a:lnTo>
                    <a:cubicBezTo>
                      <a:pt x="125" y="5956"/>
                      <a:pt x="94" y="5943"/>
                      <a:pt x="62" y="5931"/>
                    </a:cubicBezTo>
                    <a:cubicBezTo>
                      <a:pt x="39" y="5894"/>
                      <a:pt x="23" y="5880"/>
                      <a:pt x="0" y="5843"/>
                    </a:cubicBezTo>
                    <a:lnTo>
                      <a:pt x="5844" y="39"/>
                    </a:lnTo>
                    <a:lnTo>
                      <a:pt x="5945" y="0"/>
                    </a:lnTo>
                    <a:lnTo>
                      <a:pt x="6058" y="30"/>
                    </a:lnTo>
                    <a:lnTo>
                      <a:pt x="10372" y="3440"/>
                    </a:lnTo>
                    <a:cubicBezTo>
                      <a:pt x="10409" y="3507"/>
                      <a:pt x="10414" y="3480"/>
                      <a:pt x="10451" y="3547"/>
                    </a:cubicBezTo>
                    <a:cubicBezTo>
                      <a:pt x="10472" y="3662"/>
                      <a:pt x="10536" y="3590"/>
                      <a:pt x="10557" y="3706"/>
                    </a:cubicBezTo>
                    <a:cubicBezTo>
                      <a:pt x="10546" y="3648"/>
                      <a:pt x="10587" y="3931"/>
                      <a:pt x="10576" y="3873"/>
                    </a:cubicBezTo>
                    <a:cubicBezTo>
                      <a:pt x="10592" y="3979"/>
                      <a:pt x="10599" y="3935"/>
                      <a:pt x="10615" y="4040"/>
                    </a:cubicBezTo>
                    <a:lnTo>
                      <a:pt x="4673" y="10739"/>
                    </a:lnTo>
                    <a:cubicBezTo>
                      <a:pt x="4657" y="10613"/>
                      <a:pt x="4639" y="10506"/>
                      <a:pt x="4624" y="10380"/>
                    </a:cubicBezTo>
                    <a:close/>
                  </a:path>
                </a:pathLst>
              </a:custGeom>
              <a:gradFill rotWithShape="1">
                <a:gsLst>
                  <a:gs pos="0">
                    <a:srgbClr val="CCFFCC"/>
                  </a:gs>
                  <a:gs pos="50000">
                    <a:srgbClr val="69FFFF"/>
                  </a:gs>
                  <a:gs pos="100000">
                    <a:srgbClr val="CCFFCC"/>
                  </a:gs>
                </a:gsLst>
                <a:lin ang="2700000" scaled="1"/>
              </a:gradFill>
              <a:ln w="19050" cmpd="sng">
                <a:solidFill>
                  <a:srgbClr val="000000"/>
                </a:solidFill>
                <a:round/>
                <a:headEnd/>
                <a:tailEnd/>
              </a:ln>
            </xdr:spPr>
          </xdr:sp>
          <xdr:sp macro="" textlink="">
            <xdr:nvSpPr>
              <xdr:cNvPr id="12445" name="Freeform 764"/>
              <xdr:cNvSpPr>
                <a:spLocks/>
              </xdr:cNvSpPr>
            </xdr:nvSpPr>
            <xdr:spPr bwMode="auto">
              <a:xfrm>
                <a:off x="5105400" y="15154275"/>
                <a:ext cx="3619500" cy="2371725"/>
              </a:xfrm>
              <a:custGeom>
                <a:avLst/>
                <a:gdLst>
                  <a:gd name="T0" fmla="*/ 103416 w 10017"/>
                  <a:gd name="T1" fmla="*/ 2394345 h 10133"/>
                  <a:gd name="T2" fmla="*/ 81075 w 10017"/>
                  <a:gd name="T3" fmla="*/ 2287777 h 10133"/>
                  <a:gd name="T4" fmla="*/ 0 w 10017"/>
                  <a:gd name="T5" fmla="*/ 2182628 h 10133"/>
                  <a:gd name="T6" fmla="*/ 3499932 w 10017"/>
                  <a:gd name="T7" fmla="*/ 0 h 10133"/>
                  <a:gd name="T8" fmla="*/ 3572360 w 10017"/>
                  <a:gd name="T9" fmla="*/ 86719 h 10133"/>
                  <a:gd name="T10" fmla="*/ 3609474 w 10017"/>
                  <a:gd name="T11" fmla="*/ 195650 h 10133"/>
                  <a:gd name="T12" fmla="*/ 103416 w 10017"/>
                  <a:gd name="T13" fmla="*/ 2394345 h 10133"/>
                  <a:gd name="T14" fmla="*/ 0 60000 65536"/>
                  <a:gd name="T15" fmla="*/ 0 60000 65536"/>
                  <a:gd name="T16" fmla="*/ 0 60000 65536"/>
                  <a:gd name="T17" fmla="*/ 0 60000 65536"/>
                  <a:gd name="T18" fmla="*/ 0 60000 65536"/>
                  <a:gd name="T19" fmla="*/ 0 60000 65536"/>
                  <a:gd name="T20" fmla="*/ 0 60000 65536"/>
                </a:gdLst>
                <a:ahLst/>
                <a:cxnLst>
                  <a:cxn ang="T14">
                    <a:pos x="T0" y="T1"/>
                  </a:cxn>
                  <a:cxn ang="T15">
                    <a:pos x="T2" y="T3"/>
                  </a:cxn>
                  <a:cxn ang="T16">
                    <a:pos x="T4" y="T5"/>
                  </a:cxn>
                  <a:cxn ang="T17">
                    <a:pos x="T6" y="T7"/>
                  </a:cxn>
                  <a:cxn ang="T18">
                    <a:pos x="T8" y="T9"/>
                  </a:cxn>
                  <a:cxn ang="T19">
                    <a:pos x="T10" y="T11"/>
                  </a:cxn>
                  <a:cxn ang="T20">
                    <a:pos x="T12" y="T13"/>
                  </a:cxn>
                </a:cxnLst>
                <a:rect l="0" t="0" r="r" b="b"/>
                <a:pathLst>
                  <a:path w="10017" h="10133">
                    <a:moveTo>
                      <a:pt x="287" y="10133"/>
                    </a:moveTo>
                    <a:cubicBezTo>
                      <a:pt x="261" y="9930"/>
                      <a:pt x="252" y="9885"/>
                      <a:pt x="225" y="9682"/>
                    </a:cubicBezTo>
                    <a:cubicBezTo>
                      <a:pt x="156" y="9534"/>
                      <a:pt x="70" y="9386"/>
                      <a:pt x="0" y="9237"/>
                    </a:cubicBezTo>
                    <a:lnTo>
                      <a:pt x="9713" y="0"/>
                    </a:lnTo>
                    <a:cubicBezTo>
                      <a:pt x="9791" y="149"/>
                      <a:pt x="9836" y="217"/>
                      <a:pt x="9914" y="367"/>
                    </a:cubicBezTo>
                    <a:cubicBezTo>
                      <a:pt x="9932" y="556"/>
                      <a:pt x="10000" y="638"/>
                      <a:pt x="10017" y="828"/>
                    </a:cubicBezTo>
                    <a:lnTo>
                      <a:pt x="287" y="10133"/>
                    </a:lnTo>
                    <a:close/>
                  </a:path>
                </a:pathLst>
              </a:custGeom>
              <a:gradFill rotWithShape="1">
                <a:gsLst>
                  <a:gs pos="0">
                    <a:srgbClr val="DDDDDD"/>
                  </a:gs>
                  <a:gs pos="100000">
                    <a:srgbClr val="CCFFCC"/>
                  </a:gs>
                </a:gsLst>
                <a:path path="rect">
                  <a:fillToRect l="50000" t="50000" r="50000" b="50000"/>
                </a:path>
              </a:gradFill>
              <a:ln w="9525">
                <a:noFill/>
                <a:round/>
                <a:headEnd/>
                <a:tailEnd/>
              </a:ln>
            </xdr:spPr>
          </xdr:sp>
          <xdr:grpSp>
            <xdr:nvGrpSpPr>
              <xdr:cNvPr id="12446" name="Group 765"/>
              <xdr:cNvGrpSpPr>
                <a:grpSpLocks/>
              </xdr:cNvGrpSpPr>
            </xdr:nvGrpSpPr>
            <xdr:grpSpPr bwMode="auto">
              <a:xfrm>
                <a:off x="4514850" y="18583275"/>
                <a:ext cx="161925" cy="171450"/>
                <a:chOff x="2867025" y="5172075"/>
                <a:chExt cx="17" cy="18"/>
              </a:xfrm>
            </xdr:grpSpPr>
            <xdr:sp macro="" textlink="">
              <xdr:nvSpPr>
                <xdr:cNvPr id="12547" name="Freeform 872"/>
                <xdr:cNvSpPr>
                  <a:spLocks/>
                </xdr:cNvSpPr>
              </xdr:nvSpPr>
              <xdr:spPr bwMode="auto">
                <a:xfrm>
                  <a:off x="2867029" y="5172075"/>
                  <a:ext cx="13" cy="16"/>
                </a:xfrm>
                <a:custGeom>
                  <a:avLst/>
                  <a:gdLst>
                    <a:gd name="T0" fmla="*/ 0 w 59"/>
                    <a:gd name="T1" fmla="*/ 0 h 76"/>
                    <a:gd name="T2" fmla="*/ 0 w 59"/>
                    <a:gd name="T3" fmla="*/ 0 h 76"/>
                    <a:gd name="T4" fmla="*/ 0 w 59"/>
                    <a:gd name="T5" fmla="*/ 0 h 76"/>
                    <a:gd name="T6" fmla="*/ 0 w 59"/>
                    <a:gd name="T7" fmla="*/ 0 h 76"/>
                    <a:gd name="T8" fmla="*/ 0 w 59"/>
                    <a:gd name="T9" fmla="*/ 0 h 76"/>
                    <a:gd name="T10" fmla="*/ 0 w 59"/>
                    <a:gd name="T11" fmla="*/ 0 h 76"/>
                    <a:gd name="T12" fmla="*/ 0 w 59"/>
                    <a:gd name="T13" fmla="*/ 0 h 76"/>
                    <a:gd name="T14" fmla="*/ 0 60000 65536"/>
                    <a:gd name="T15" fmla="*/ 0 60000 65536"/>
                    <a:gd name="T16" fmla="*/ 0 60000 65536"/>
                    <a:gd name="T17" fmla="*/ 0 60000 65536"/>
                    <a:gd name="T18" fmla="*/ 0 60000 65536"/>
                    <a:gd name="T19" fmla="*/ 0 60000 65536"/>
                    <a:gd name="T20" fmla="*/ 0 60000 65536"/>
                    <a:gd name="T21" fmla="*/ 0 w 59"/>
                    <a:gd name="T22" fmla="*/ 0 h 76"/>
                    <a:gd name="T23" fmla="*/ 59 w 59"/>
                    <a:gd name="T24" fmla="*/ 76 h 76"/>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9" h="76">
                      <a:moveTo>
                        <a:pt x="45" y="76"/>
                      </a:moveTo>
                      <a:lnTo>
                        <a:pt x="59" y="58"/>
                      </a:lnTo>
                      <a:lnTo>
                        <a:pt x="45" y="18"/>
                      </a:lnTo>
                      <a:lnTo>
                        <a:pt x="13" y="0"/>
                      </a:lnTo>
                      <a:lnTo>
                        <a:pt x="0" y="23"/>
                      </a:lnTo>
                      <a:lnTo>
                        <a:pt x="13" y="58"/>
                      </a:lnTo>
                      <a:lnTo>
                        <a:pt x="45" y="76"/>
                      </a:lnTo>
                      <a:close/>
                    </a:path>
                  </a:pathLst>
                </a:custGeom>
                <a:solidFill>
                  <a:srgbClr val="FFFFFF"/>
                </a:solidFill>
                <a:ln w="9525">
                  <a:solidFill>
                    <a:srgbClr val="000000"/>
                  </a:solidFill>
                  <a:round/>
                  <a:headEnd/>
                  <a:tailEnd/>
                </a:ln>
              </xdr:spPr>
            </xdr:sp>
            <xdr:sp macro="" textlink="">
              <xdr:nvSpPr>
                <xdr:cNvPr id="12548" name="Freeform 873"/>
                <xdr:cNvSpPr>
                  <a:spLocks/>
                </xdr:cNvSpPr>
              </xdr:nvSpPr>
              <xdr:spPr bwMode="auto">
                <a:xfrm>
                  <a:off x="2867025" y="5172077"/>
                  <a:ext cx="13" cy="16"/>
                </a:xfrm>
                <a:custGeom>
                  <a:avLst/>
                  <a:gdLst>
                    <a:gd name="T0" fmla="*/ 0 w 59"/>
                    <a:gd name="T1" fmla="*/ 0 h 76"/>
                    <a:gd name="T2" fmla="*/ 0 w 59"/>
                    <a:gd name="T3" fmla="*/ 0 h 76"/>
                    <a:gd name="T4" fmla="*/ 0 w 59"/>
                    <a:gd name="T5" fmla="*/ 0 h 76"/>
                    <a:gd name="T6" fmla="*/ 0 w 59"/>
                    <a:gd name="T7" fmla="*/ 0 h 76"/>
                    <a:gd name="T8" fmla="*/ 0 w 59"/>
                    <a:gd name="T9" fmla="*/ 0 h 76"/>
                    <a:gd name="T10" fmla="*/ 0 w 59"/>
                    <a:gd name="T11" fmla="*/ 0 h 76"/>
                    <a:gd name="T12" fmla="*/ 0 w 59"/>
                    <a:gd name="T13" fmla="*/ 0 h 76"/>
                    <a:gd name="T14" fmla="*/ 0 60000 65536"/>
                    <a:gd name="T15" fmla="*/ 0 60000 65536"/>
                    <a:gd name="T16" fmla="*/ 0 60000 65536"/>
                    <a:gd name="T17" fmla="*/ 0 60000 65536"/>
                    <a:gd name="T18" fmla="*/ 0 60000 65536"/>
                    <a:gd name="T19" fmla="*/ 0 60000 65536"/>
                    <a:gd name="T20" fmla="*/ 0 60000 65536"/>
                    <a:gd name="T21" fmla="*/ 0 w 59"/>
                    <a:gd name="T22" fmla="*/ 0 h 76"/>
                    <a:gd name="T23" fmla="*/ 59 w 59"/>
                    <a:gd name="T24" fmla="*/ 76 h 76"/>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9" h="76">
                      <a:moveTo>
                        <a:pt x="45" y="76"/>
                      </a:moveTo>
                      <a:lnTo>
                        <a:pt x="59" y="58"/>
                      </a:lnTo>
                      <a:lnTo>
                        <a:pt x="45" y="18"/>
                      </a:lnTo>
                      <a:lnTo>
                        <a:pt x="13" y="0"/>
                      </a:lnTo>
                      <a:lnTo>
                        <a:pt x="0" y="23"/>
                      </a:lnTo>
                      <a:lnTo>
                        <a:pt x="13" y="58"/>
                      </a:lnTo>
                      <a:lnTo>
                        <a:pt x="45" y="76"/>
                      </a:lnTo>
                      <a:close/>
                    </a:path>
                  </a:pathLst>
                </a:custGeom>
                <a:solidFill>
                  <a:srgbClr val="FFFFFF"/>
                </a:solidFill>
                <a:ln w="9525">
                  <a:solidFill>
                    <a:srgbClr val="000000"/>
                  </a:solidFill>
                  <a:round/>
                  <a:headEnd/>
                  <a:tailEnd/>
                </a:ln>
              </xdr:spPr>
            </xdr:sp>
            <xdr:sp macro="" textlink="">
              <xdr:nvSpPr>
                <xdr:cNvPr id="12549" name="Freeform 874"/>
                <xdr:cNvSpPr>
                  <a:spLocks/>
                </xdr:cNvSpPr>
              </xdr:nvSpPr>
              <xdr:spPr bwMode="auto">
                <a:xfrm>
                  <a:off x="2867028" y="5172075"/>
                  <a:ext cx="11" cy="6"/>
                </a:xfrm>
                <a:custGeom>
                  <a:avLst/>
                  <a:gdLst>
                    <a:gd name="T0" fmla="*/ 0 w 11"/>
                    <a:gd name="T1" fmla="*/ 2 h 6"/>
                    <a:gd name="T2" fmla="*/ 4 w 11"/>
                    <a:gd name="T3" fmla="*/ 0 h 6"/>
                    <a:gd name="T4" fmla="*/ 11 w 11"/>
                    <a:gd name="T5" fmla="*/ 4 h 6"/>
                    <a:gd name="T6" fmla="*/ 7 w 11"/>
                    <a:gd name="T7" fmla="*/ 6 h 6"/>
                    <a:gd name="T8" fmla="*/ 0 w 11"/>
                    <a:gd name="T9" fmla="*/ 2 h 6"/>
                    <a:gd name="T10" fmla="*/ 0 60000 65536"/>
                    <a:gd name="T11" fmla="*/ 0 60000 65536"/>
                    <a:gd name="T12" fmla="*/ 0 60000 65536"/>
                    <a:gd name="T13" fmla="*/ 0 60000 65536"/>
                    <a:gd name="T14" fmla="*/ 0 60000 65536"/>
                    <a:gd name="T15" fmla="*/ 0 w 11"/>
                    <a:gd name="T16" fmla="*/ 0 h 6"/>
                    <a:gd name="T17" fmla="*/ 11 w 11"/>
                    <a:gd name="T18" fmla="*/ 6 h 6"/>
                  </a:gdLst>
                  <a:ahLst/>
                  <a:cxnLst>
                    <a:cxn ang="T10">
                      <a:pos x="T0" y="T1"/>
                    </a:cxn>
                    <a:cxn ang="T11">
                      <a:pos x="T2" y="T3"/>
                    </a:cxn>
                    <a:cxn ang="T12">
                      <a:pos x="T4" y="T5"/>
                    </a:cxn>
                    <a:cxn ang="T13">
                      <a:pos x="T6" y="T7"/>
                    </a:cxn>
                    <a:cxn ang="T14">
                      <a:pos x="T8" y="T9"/>
                    </a:cxn>
                  </a:cxnLst>
                  <a:rect l="T15" t="T16" r="T17" b="T18"/>
                  <a:pathLst>
                    <a:path w="11" h="6">
                      <a:moveTo>
                        <a:pt x="0" y="2"/>
                      </a:moveTo>
                      <a:lnTo>
                        <a:pt x="4" y="0"/>
                      </a:lnTo>
                      <a:lnTo>
                        <a:pt x="11" y="4"/>
                      </a:lnTo>
                      <a:lnTo>
                        <a:pt x="7" y="6"/>
                      </a:lnTo>
                      <a:lnTo>
                        <a:pt x="0" y="2"/>
                      </a:lnTo>
                      <a:close/>
                    </a:path>
                  </a:pathLst>
                </a:custGeom>
                <a:solidFill>
                  <a:srgbClr val="FFFFFF"/>
                </a:solidFill>
                <a:ln w="9525">
                  <a:solidFill>
                    <a:srgbClr val="000000"/>
                  </a:solidFill>
                  <a:round/>
                  <a:headEnd/>
                  <a:tailEnd/>
                </a:ln>
              </xdr:spPr>
            </xdr:sp>
            <xdr:sp macro="" textlink="">
              <xdr:nvSpPr>
                <xdr:cNvPr id="12550" name="Freeform 875"/>
                <xdr:cNvSpPr>
                  <a:spLocks/>
                </xdr:cNvSpPr>
              </xdr:nvSpPr>
              <xdr:spPr bwMode="auto">
                <a:xfrm>
                  <a:off x="2867035" y="5172079"/>
                  <a:ext cx="7" cy="10"/>
                </a:xfrm>
                <a:custGeom>
                  <a:avLst/>
                  <a:gdLst>
                    <a:gd name="T0" fmla="*/ 3 w 7"/>
                    <a:gd name="T1" fmla="*/ 10 h 10"/>
                    <a:gd name="T2" fmla="*/ 7 w 7"/>
                    <a:gd name="T3" fmla="*/ 8 h 10"/>
                    <a:gd name="T4" fmla="*/ 4 w 7"/>
                    <a:gd name="T5" fmla="*/ 0 h 10"/>
                    <a:gd name="T6" fmla="*/ 0 w 7"/>
                    <a:gd name="T7" fmla="*/ 2 h 10"/>
                    <a:gd name="T8" fmla="*/ 3 w 7"/>
                    <a:gd name="T9" fmla="*/ 10 h 10"/>
                    <a:gd name="T10" fmla="*/ 0 60000 65536"/>
                    <a:gd name="T11" fmla="*/ 0 60000 65536"/>
                    <a:gd name="T12" fmla="*/ 0 60000 65536"/>
                    <a:gd name="T13" fmla="*/ 0 60000 65536"/>
                    <a:gd name="T14" fmla="*/ 0 60000 65536"/>
                    <a:gd name="T15" fmla="*/ 0 w 7"/>
                    <a:gd name="T16" fmla="*/ 0 h 10"/>
                    <a:gd name="T17" fmla="*/ 7 w 7"/>
                    <a:gd name="T18" fmla="*/ 10 h 10"/>
                  </a:gdLst>
                  <a:ahLst/>
                  <a:cxnLst>
                    <a:cxn ang="T10">
                      <a:pos x="T0" y="T1"/>
                    </a:cxn>
                    <a:cxn ang="T11">
                      <a:pos x="T2" y="T3"/>
                    </a:cxn>
                    <a:cxn ang="T12">
                      <a:pos x="T4" y="T5"/>
                    </a:cxn>
                    <a:cxn ang="T13">
                      <a:pos x="T6" y="T7"/>
                    </a:cxn>
                    <a:cxn ang="T14">
                      <a:pos x="T8" y="T9"/>
                    </a:cxn>
                  </a:cxnLst>
                  <a:rect l="T15" t="T16" r="T17" b="T18"/>
                  <a:pathLst>
                    <a:path w="7" h="10">
                      <a:moveTo>
                        <a:pt x="3" y="10"/>
                      </a:moveTo>
                      <a:lnTo>
                        <a:pt x="7" y="8"/>
                      </a:lnTo>
                      <a:lnTo>
                        <a:pt x="4" y="0"/>
                      </a:lnTo>
                      <a:lnTo>
                        <a:pt x="0" y="2"/>
                      </a:lnTo>
                      <a:lnTo>
                        <a:pt x="3" y="10"/>
                      </a:lnTo>
                      <a:close/>
                    </a:path>
                  </a:pathLst>
                </a:custGeom>
                <a:solidFill>
                  <a:srgbClr val="FFFFFF"/>
                </a:solidFill>
                <a:ln w="9525">
                  <a:solidFill>
                    <a:srgbClr val="000000"/>
                  </a:solidFill>
                  <a:round/>
                  <a:headEnd/>
                  <a:tailEnd/>
                </a:ln>
              </xdr:spPr>
            </xdr:sp>
            <xdr:sp macro="" textlink="">
              <xdr:nvSpPr>
                <xdr:cNvPr id="12551" name="Freeform 876"/>
                <xdr:cNvSpPr>
                  <a:spLocks/>
                </xdr:cNvSpPr>
              </xdr:nvSpPr>
              <xdr:spPr bwMode="auto">
                <a:xfrm>
                  <a:off x="2867035" y="5172087"/>
                  <a:ext cx="7" cy="6"/>
                </a:xfrm>
                <a:custGeom>
                  <a:avLst/>
                  <a:gdLst>
                    <a:gd name="T0" fmla="*/ 3 w 7"/>
                    <a:gd name="T1" fmla="*/ 2 h 6"/>
                    <a:gd name="T2" fmla="*/ 7 w 7"/>
                    <a:gd name="T3" fmla="*/ 0 h 6"/>
                    <a:gd name="T4" fmla="*/ 4 w 7"/>
                    <a:gd name="T5" fmla="*/ 4 h 6"/>
                    <a:gd name="T6" fmla="*/ 0 w 7"/>
                    <a:gd name="T7" fmla="*/ 6 h 6"/>
                    <a:gd name="T8" fmla="*/ 3 w 7"/>
                    <a:gd name="T9" fmla="*/ 2 h 6"/>
                    <a:gd name="T10" fmla="*/ 0 60000 65536"/>
                    <a:gd name="T11" fmla="*/ 0 60000 65536"/>
                    <a:gd name="T12" fmla="*/ 0 60000 65536"/>
                    <a:gd name="T13" fmla="*/ 0 60000 65536"/>
                    <a:gd name="T14" fmla="*/ 0 60000 65536"/>
                    <a:gd name="T15" fmla="*/ 0 w 7"/>
                    <a:gd name="T16" fmla="*/ 0 h 6"/>
                    <a:gd name="T17" fmla="*/ 7 w 7"/>
                    <a:gd name="T18" fmla="*/ 6 h 6"/>
                  </a:gdLst>
                  <a:ahLst/>
                  <a:cxnLst>
                    <a:cxn ang="T10">
                      <a:pos x="T0" y="T1"/>
                    </a:cxn>
                    <a:cxn ang="T11">
                      <a:pos x="T2" y="T3"/>
                    </a:cxn>
                    <a:cxn ang="T12">
                      <a:pos x="T4" y="T5"/>
                    </a:cxn>
                    <a:cxn ang="T13">
                      <a:pos x="T6" y="T7"/>
                    </a:cxn>
                    <a:cxn ang="T14">
                      <a:pos x="T8" y="T9"/>
                    </a:cxn>
                  </a:cxnLst>
                  <a:rect l="T15" t="T16" r="T17" b="T18"/>
                  <a:pathLst>
                    <a:path w="7" h="6">
                      <a:moveTo>
                        <a:pt x="3" y="2"/>
                      </a:moveTo>
                      <a:lnTo>
                        <a:pt x="7" y="0"/>
                      </a:lnTo>
                      <a:lnTo>
                        <a:pt x="4" y="4"/>
                      </a:lnTo>
                      <a:lnTo>
                        <a:pt x="0" y="6"/>
                      </a:lnTo>
                      <a:lnTo>
                        <a:pt x="3" y="2"/>
                      </a:lnTo>
                      <a:close/>
                    </a:path>
                  </a:pathLst>
                </a:custGeom>
                <a:solidFill>
                  <a:srgbClr val="FFFFFF"/>
                </a:solidFill>
                <a:ln w="9525">
                  <a:solidFill>
                    <a:srgbClr val="000000"/>
                  </a:solidFill>
                  <a:round/>
                  <a:headEnd/>
                  <a:tailEnd/>
                </a:ln>
              </xdr:spPr>
            </xdr:sp>
          </xdr:grpSp>
          <xdr:grpSp>
            <xdr:nvGrpSpPr>
              <xdr:cNvPr id="12447" name="Group 766"/>
              <xdr:cNvGrpSpPr>
                <a:grpSpLocks/>
              </xdr:cNvGrpSpPr>
            </xdr:nvGrpSpPr>
            <xdr:grpSpPr bwMode="auto">
              <a:xfrm>
                <a:off x="3771900" y="18183225"/>
                <a:ext cx="161925" cy="171450"/>
                <a:chOff x="2124075" y="4772025"/>
                <a:chExt cx="17" cy="18"/>
              </a:xfrm>
            </xdr:grpSpPr>
            <xdr:sp macro="" textlink="">
              <xdr:nvSpPr>
                <xdr:cNvPr id="12542" name="Freeform 867"/>
                <xdr:cNvSpPr>
                  <a:spLocks/>
                </xdr:cNvSpPr>
              </xdr:nvSpPr>
              <xdr:spPr bwMode="auto">
                <a:xfrm>
                  <a:off x="2124079" y="4772025"/>
                  <a:ext cx="13" cy="16"/>
                </a:xfrm>
                <a:custGeom>
                  <a:avLst/>
                  <a:gdLst>
                    <a:gd name="T0" fmla="*/ 0 w 59"/>
                    <a:gd name="T1" fmla="*/ 0 h 76"/>
                    <a:gd name="T2" fmla="*/ 0 w 59"/>
                    <a:gd name="T3" fmla="*/ 0 h 76"/>
                    <a:gd name="T4" fmla="*/ 0 w 59"/>
                    <a:gd name="T5" fmla="*/ 0 h 76"/>
                    <a:gd name="T6" fmla="*/ 0 w 59"/>
                    <a:gd name="T7" fmla="*/ 0 h 76"/>
                    <a:gd name="T8" fmla="*/ 0 w 59"/>
                    <a:gd name="T9" fmla="*/ 0 h 76"/>
                    <a:gd name="T10" fmla="*/ 0 w 59"/>
                    <a:gd name="T11" fmla="*/ 0 h 76"/>
                    <a:gd name="T12" fmla="*/ 0 w 59"/>
                    <a:gd name="T13" fmla="*/ 0 h 76"/>
                    <a:gd name="T14" fmla="*/ 0 60000 65536"/>
                    <a:gd name="T15" fmla="*/ 0 60000 65536"/>
                    <a:gd name="T16" fmla="*/ 0 60000 65536"/>
                    <a:gd name="T17" fmla="*/ 0 60000 65536"/>
                    <a:gd name="T18" fmla="*/ 0 60000 65536"/>
                    <a:gd name="T19" fmla="*/ 0 60000 65536"/>
                    <a:gd name="T20" fmla="*/ 0 60000 65536"/>
                    <a:gd name="T21" fmla="*/ 0 w 59"/>
                    <a:gd name="T22" fmla="*/ 0 h 76"/>
                    <a:gd name="T23" fmla="*/ 59 w 59"/>
                    <a:gd name="T24" fmla="*/ 76 h 76"/>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9" h="76">
                      <a:moveTo>
                        <a:pt x="45" y="76"/>
                      </a:moveTo>
                      <a:lnTo>
                        <a:pt x="59" y="58"/>
                      </a:lnTo>
                      <a:lnTo>
                        <a:pt x="45" y="18"/>
                      </a:lnTo>
                      <a:lnTo>
                        <a:pt x="13" y="0"/>
                      </a:lnTo>
                      <a:lnTo>
                        <a:pt x="0" y="23"/>
                      </a:lnTo>
                      <a:lnTo>
                        <a:pt x="13" y="58"/>
                      </a:lnTo>
                      <a:lnTo>
                        <a:pt x="45" y="76"/>
                      </a:lnTo>
                      <a:close/>
                    </a:path>
                  </a:pathLst>
                </a:custGeom>
                <a:solidFill>
                  <a:srgbClr val="FFFFFF"/>
                </a:solidFill>
                <a:ln w="9525">
                  <a:solidFill>
                    <a:srgbClr val="000000"/>
                  </a:solidFill>
                  <a:round/>
                  <a:headEnd/>
                  <a:tailEnd/>
                </a:ln>
              </xdr:spPr>
            </xdr:sp>
            <xdr:sp macro="" textlink="">
              <xdr:nvSpPr>
                <xdr:cNvPr id="12543" name="Freeform 868"/>
                <xdr:cNvSpPr>
                  <a:spLocks/>
                </xdr:cNvSpPr>
              </xdr:nvSpPr>
              <xdr:spPr bwMode="auto">
                <a:xfrm>
                  <a:off x="2124075" y="4772027"/>
                  <a:ext cx="13" cy="16"/>
                </a:xfrm>
                <a:custGeom>
                  <a:avLst/>
                  <a:gdLst>
                    <a:gd name="T0" fmla="*/ 0 w 59"/>
                    <a:gd name="T1" fmla="*/ 0 h 76"/>
                    <a:gd name="T2" fmla="*/ 0 w 59"/>
                    <a:gd name="T3" fmla="*/ 0 h 76"/>
                    <a:gd name="T4" fmla="*/ 0 w 59"/>
                    <a:gd name="T5" fmla="*/ 0 h 76"/>
                    <a:gd name="T6" fmla="*/ 0 w 59"/>
                    <a:gd name="T7" fmla="*/ 0 h 76"/>
                    <a:gd name="T8" fmla="*/ 0 w 59"/>
                    <a:gd name="T9" fmla="*/ 0 h 76"/>
                    <a:gd name="T10" fmla="*/ 0 w 59"/>
                    <a:gd name="T11" fmla="*/ 0 h 76"/>
                    <a:gd name="T12" fmla="*/ 0 w 59"/>
                    <a:gd name="T13" fmla="*/ 0 h 76"/>
                    <a:gd name="T14" fmla="*/ 0 60000 65536"/>
                    <a:gd name="T15" fmla="*/ 0 60000 65536"/>
                    <a:gd name="T16" fmla="*/ 0 60000 65536"/>
                    <a:gd name="T17" fmla="*/ 0 60000 65536"/>
                    <a:gd name="T18" fmla="*/ 0 60000 65536"/>
                    <a:gd name="T19" fmla="*/ 0 60000 65536"/>
                    <a:gd name="T20" fmla="*/ 0 60000 65536"/>
                    <a:gd name="T21" fmla="*/ 0 w 59"/>
                    <a:gd name="T22" fmla="*/ 0 h 76"/>
                    <a:gd name="T23" fmla="*/ 59 w 59"/>
                    <a:gd name="T24" fmla="*/ 76 h 76"/>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9" h="76">
                      <a:moveTo>
                        <a:pt x="45" y="76"/>
                      </a:moveTo>
                      <a:lnTo>
                        <a:pt x="59" y="58"/>
                      </a:lnTo>
                      <a:lnTo>
                        <a:pt x="45" y="18"/>
                      </a:lnTo>
                      <a:lnTo>
                        <a:pt x="13" y="0"/>
                      </a:lnTo>
                      <a:lnTo>
                        <a:pt x="0" y="23"/>
                      </a:lnTo>
                      <a:lnTo>
                        <a:pt x="13" y="58"/>
                      </a:lnTo>
                      <a:lnTo>
                        <a:pt x="45" y="76"/>
                      </a:lnTo>
                      <a:close/>
                    </a:path>
                  </a:pathLst>
                </a:custGeom>
                <a:solidFill>
                  <a:srgbClr val="FFFFFF"/>
                </a:solidFill>
                <a:ln w="9525">
                  <a:solidFill>
                    <a:srgbClr val="000000"/>
                  </a:solidFill>
                  <a:round/>
                  <a:headEnd/>
                  <a:tailEnd/>
                </a:ln>
              </xdr:spPr>
            </xdr:sp>
            <xdr:sp macro="" textlink="">
              <xdr:nvSpPr>
                <xdr:cNvPr id="12544" name="Freeform 869"/>
                <xdr:cNvSpPr>
                  <a:spLocks/>
                </xdr:cNvSpPr>
              </xdr:nvSpPr>
              <xdr:spPr bwMode="auto">
                <a:xfrm>
                  <a:off x="2124078" y="4772025"/>
                  <a:ext cx="11" cy="6"/>
                </a:xfrm>
                <a:custGeom>
                  <a:avLst/>
                  <a:gdLst>
                    <a:gd name="T0" fmla="*/ 0 w 11"/>
                    <a:gd name="T1" fmla="*/ 2 h 6"/>
                    <a:gd name="T2" fmla="*/ 4 w 11"/>
                    <a:gd name="T3" fmla="*/ 0 h 6"/>
                    <a:gd name="T4" fmla="*/ 11 w 11"/>
                    <a:gd name="T5" fmla="*/ 4 h 6"/>
                    <a:gd name="T6" fmla="*/ 7 w 11"/>
                    <a:gd name="T7" fmla="*/ 6 h 6"/>
                    <a:gd name="T8" fmla="*/ 0 w 11"/>
                    <a:gd name="T9" fmla="*/ 2 h 6"/>
                    <a:gd name="T10" fmla="*/ 0 60000 65536"/>
                    <a:gd name="T11" fmla="*/ 0 60000 65536"/>
                    <a:gd name="T12" fmla="*/ 0 60000 65536"/>
                    <a:gd name="T13" fmla="*/ 0 60000 65536"/>
                    <a:gd name="T14" fmla="*/ 0 60000 65536"/>
                    <a:gd name="T15" fmla="*/ 0 w 11"/>
                    <a:gd name="T16" fmla="*/ 0 h 6"/>
                    <a:gd name="T17" fmla="*/ 11 w 11"/>
                    <a:gd name="T18" fmla="*/ 6 h 6"/>
                  </a:gdLst>
                  <a:ahLst/>
                  <a:cxnLst>
                    <a:cxn ang="T10">
                      <a:pos x="T0" y="T1"/>
                    </a:cxn>
                    <a:cxn ang="T11">
                      <a:pos x="T2" y="T3"/>
                    </a:cxn>
                    <a:cxn ang="T12">
                      <a:pos x="T4" y="T5"/>
                    </a:cxn>
                    <a:cxn ang="T13">
                      <a:pos x="T6" y="T7"/>
                    </a:cxn>
                    <a:cxn ang="T14">
                      <a:pos x="T8" y="T9"/>
                    </a:cxn>
                  </a:cxnLst>
                  <a:rect l="T15" t="T16" r="T17" b="T18"/>
                  <a:pathLst>
                    <a:path w="11" h="6">
                      <a:moveTo>
                        <a:pt x="0" y="2"/>
                      </a:moveTo>
                      <a:lnTo>
                        <a:pt x="4" y="0"/>
                      </a:lnTo>
                      <a:lnTo>
                        <a:pt x="11" y="4"/>
                      </a:lnTo>
                      <a:lnTo>
                        <a:pt x="7" y="6"/>
                      </a:lnTo>
                      <a:lnTo>
                        <a:pt x="0" y="2"/>
                      </a:lnTo>
                      <a:close/>
                    </a:path>
                  </a:pathLst>
                </a:custGeom>
                <a:solidFill>
                  <a:srgbClr val="FFFFFF"/>
                </a:solidFill>
                <a:ln w="9525">
                  <a:solidFill>
                    <a:srgbClr val="000000"/>
                  </a:solidFill>
                  <a:round/>
                  <a:headEnd/>
                  <a:tailEnd/>
                </a:ln>
              </xdr:spPr>
            </xdr:sp>
            <xdr:sp macro="" textlink="">
              <xdr:nvSpPr>
                <xdr:cNvPr id="12545" name="Freeform 870"/>
                <xdr:cNvSpPr>
                  <a:spLocks/>
                </xdr:cNvSpPr>
              </xdr:nvSpPr>
              <xdr:spPr bwMode="auto">
                <a:xfrm>
                  <a:off x="2124085" y="4772029"/>
                  <a:ext cx="7" cy="10"/>
                </a:xfrm>
                <a:custGeom>
                  <a:avLst/>
                  <a:gdLst>
                    <a:gd name="T0" fmla="*/ 3 w 7"/>
                    <a:gd name="T1" fmla="*/ 10 h 10"/>
                    <a:gd name="T2" fmla="*/ 7 w 7"/>
                    <a:gd name="T3" fmla="*/ 8 h 10"/>
                    <a:gd name="T4" fmla="*/ 4 w 7"/>
                    <a:gd name="T5" fmla="*/ 0 h 10"/>
                    <a:gd name="T6" fmla="*/ 0 w 7"/>
                    <a:gd name="T7" fmla="*/ 2 h 10"/>
                    <a:gd name="T8" fmla="*/ 3 w 7"/>
                    <a:gd name="T9" fmla="*/ 10 h 10"/>
                    <a:gd name="T10" fmla="*/ 0 60000 65536"/>
                    <a:gd name="T11" fmla="*/ 0 60000 65536"/>
                    <a:gd name="T12" fmla="*/ 0 60000 65536"/>
                    <a:gd name="T13" fmla="*/ 0 60000 65536"/>
                    <a:gd name="T14" fmla="*/ 0 60000 65536"/>
                    <a:gd name="T15" fmla="*/ 0 w 7"/>
                    <a:gd name="T16" fmla="*/ 0 h 10"/>
                    <a:gd name="T17" fmla="*/ 7 w 7"/>
                    <a:gd name="T18" fmla="*/ 10 h 10"/>
                  </a:gdLst>
                  <a:ahLst/>
                  <a:cxnLst>
                    <a:cxn ang="T10">
                      <a:pos x="T0" y="T1"/>
                    </a:cxn>
                    <a:cxn ang="T11">
                      <a:pos x="T2" y="T3"/>
                    </a:cxn>
                    <a:cxn ang="T12">
                      <a:pos x="T4" y="T5"/>
                    </a:cxn>
                    <a:cxn ang="T13">
                      <a:pos x="T6" y="T7"/>
                    </a:cxn>
                    <a:cxn ang="T14">
                      <a:pos x="T8" y="T9"/>
                    </a:cxn>
                  </a:cxnLst>
                  <a:rect l="T15" t="T16" r="T17" b="T18"/>
                  <a:pathLst>
                    <a:path w="7" h="10">
                      <a:moveTo>
                        <a:pt x="3" y="10"/>
                      </a:moveTo>
                      <a:lnTo>
                        <a:pt x="7" y="8"/>
                      </a:lnTo>
                      <a:lnTo>
                        <a:pt x="4" y="0"/>
                      </a:lnTo>
                      <a:lnTo>
                        <a:pt x="0" y="2"/>
                      </a:lnTo>
                      <a:lnTo>
                        <a:pt x="3" y="10"/>
                      </a:lnTo>
                      <a:close/>
                    </a:path>
                  </a:pathLst>
                </a:custGeom>
                <a:solidFill>
                  <a:srgbClr val="FFFFFF"/>
                </a:solidFill>
                <a:ln w="9525">
                  <a:solidFill>
                    <a:srgbClr val="000000"/>
                  </a:solidFill>
                  <a:round/>
                  <a:headEnd/>
                  <a:tailEnd/>
                </a:ln>
              </xdr:spPr>
            </xdr:sp>
            <xdr:sp macro="" textlink="">
              <xdr:nvSpPr>
                <xdr:cNvPr id="12546" name="Freeform 871"/>
                <xdr:cNvSpPr>
                  <a:spLocks/>
                </xdr:cNvSpPr>
              </xdr:nvSpPr>
              <xdr:spPr bwMode="auto">
                <a:xfrm>
                  <a:off x="2124085" y="4772037"/>
                  <a:ext cx="7" cy="6"/>
                </a:xfrm>
                <a:custGeom>
                  <a:avLst/>
                  <a:gdLst>
                    <a:gd name="T0" fmla="*/ 3 w 7"/>
                    <a:gd name="T1" fmla="*/ 2 h 6"/>
                    <a:gd name="T2" fmla="*/ 7 w 7"/>
                    <a:gd name="T3" fmla="*/ 0 h 6"/>
                    <a:gd name="T4" fmla="*/ 4 w 7"/>
                    <a:gd name="T5" fmla="*/ 4 h 6"/>
                    <a:gd name="T6" fmla="*/ 0 w 7"/>
                    <a:gd name="T7" fmla="*/ 6 h 6"/>
                    <a:gd name="T8" fmla="*/ 3 w 7"/>
                    <a:gd name="T9" fmla="*/ 2 h 6"/>
                    <a:gd name="T10" fmla="*/ 0 60000 65536"/>
                    <a:gd name="T11" fmla="*/ 0 60000 65536"/>
                    <a:gd name="T12" fmla="*/ 0 60000 65536"/>
                    <a:gd name="T13" fmla="*/ 0 60000 65536"/>
                    <a:gd name="T14" fmla="*/ 0 60000 65536"/>
                    <a:gd name="T15" fmla="*/ 0 w 7"/>
                    <a:gd name="T16" fmla="*/ 0 h 6"/>
                    <a:gd name="T17" fmla="*/ 7 w 7"/>
                    <a:gd name="T18" fmla="*/ 6 h 6"/>
                  </a:gdLst>
                  <a:ahLst/>
                  <a:cxnLst>
                    <a:cxn ang="T10">
                      <a:pos x="T0" y="T1"/>
                    </a:cxn>
                    <a:cxn ang="T11">
                      <a:pos x="T2" y="T3"/>
                    </a:cxn>
                    <a:cxn ang="T12">
                      <a:pos x="T4" y="T5"/>
                    </a:cxn>
                    <a:cxn ang="T13">
                      <a:pos x="T6" y="T7"/>
                    </a:cxn>
                    <a:cxn ang="T14">
                      <a:pos x="T8" y="T9"/>
                    </a:cxn>
                  </a:cxnLst>
                  <a:rect l="T15" t="T16" r="T17" b="T18"/>
                  <a:pathLst>
                    <a:path w="7" h="6">
                      <a:moveTo>
                        <a:pt x="3" y="2"/>
                      </a:moveTo>
                      <a:lnTo>
                        <a:pt x="7" y="0"/>
                      </a:lnTo>
                      <a:lnTo>
                        <a:pt x="4" y="4"/>
                      </a:lnTo>
                      <a:lnTo>
                        <a:pt x="0" y="6"/>
                      </a:lnTo>
                      <a:lnTo>
                        <a:pt x="3" y="2"/>
                      </a:lnTo>
                      <a:close/>
                    </a:path>
                  </a:pathLst>
                </a:custGeom>
                <a:solidFill>
                  <a:srgbClr val="FFFFFF"/>
                </a:solidFill>
                <a:ln w="9525">
                  <a:solidFill>
                    <a:srgbClr val="000000"/>
                  </a:solidFill>
                  <a:round/>
                  <a:headEnd/>
                  <a:tailEnd/>
                </a:ln>
              </xdr:spPr>
            </xdr:sp>
          </xdr:grpSp>
          <xdr:sp macro="" textlink="">
            <xdr:nvSpPr>
              <xdr:cNvPr id="12448" name="Freeform 763"/>
              <xdr:cNvSpPr>
                <a:spLocks/>
              </xdr:cNvSpPr>
            </xdr:nvSpPr>
            <xdr:spPr bwMode="auto">
              <a:xfrm>
                <a:off x="2324100" y="15925800"/>
                <a:ext cx="2390775" cy="2828925"/>
              </a:xfrm>
              <a:custGeom>
                <a:avLst/>
                <a:gdLst>
                  <a:gd name="T0" fmla="*/ 2393246 w 10000"/>
                  <a:gd name="T1" fmla="*/ 1380764 h 10000"/>
                  <a:gd name="T2" fmla="*/ 2393246 w 10000"/>
                  <a:gd name="T3" fmla="*/ 2733523 h 10000"/>
                  <a:gd name="T4" fmla="*/ 2336287 w 10000"/>
                  <a:gd name="T5" fmla="*/ 2800284 h 10000"/>
                  <a:gd name="T6" fmla="*/ 2279567 w 10000"/>
                  <a:gd name="T7" fmla="*/ 2828855 h 10000"/>
                  <a:gd name="T8" fmla="*/ 2194128 w 10000"/>
                  <a:gd name="T9" fmla="*/ 2790948 h 10000"/>
                  <a:gd name="T10" fmla="*/ 56959 w 10000"/>
                  <a:gd name="T11" fmla="*/ 1583593 h 10000"/>
                  <a:gd name="T12" fmla="*/ 21061 w 10000"/>
                  <a:gd name="T13" fmla="*/ 1516832 h 10000"/>
                  <a:gd name="T14" fmla="*/ 3829 w 10000"/>
                  <a:gd name="T15" fmla="*/ 1452617 h 10000"/>
                  <a:gd name="T16" fmla="*/ 0 w 10000"/>
                  <a:gd name="T17" fmla="*/ 1361811 h 10000"/>
                  <a:gd name="T18" fmla="*/ 3351 w 10000"/>
                  <a:gd name="T19" fmla="*/ 85714 h 10000"/>
                  <a:gd name="T20" fmla="*/ 16992 w 10000"/>
                  <a:gd name="T21" fmla="*/ 43564 h 10000"/>
                  <a:gd name="T22" fmla="*/ 50976 w 10000"/>
                  <a:gd name="T23" fmla="*/ 9052 h 10000"/>
                  <a:gd name="T24" fmla="*/ 117269 w 10000"/>
                  <a:gd name="T25" fmla="*/ 0 h 10000"/>
                  <a:gd name="T26" fmla="*/ 183801 w 10000"/>
                  <a:gd name="T27" fmla="*/ 28571 h 10000"/>
                  <a:gd name="T28" fmla="*/ 2279567 w 10000"/>
                  <a:gd name="T29" fmla="*/ 1133522 h 10000"/>
                  <a:gd name="T30" fmla="*/ 2358783 w 10000"/>
                  <a:gd name="T31" fmla="*/ 1203678 h 10000"/>
                  <a:gd name="T32" fmla="*/ 2387742 w 10000"/>
                  <a:gd name="T33" fmla="*/ 1294201 h 10000"/>
                  <a:gd name="T34" fmla="*/ 2393246 w 10000"/>
                  <a:gd name="T35" fmla="*/ 1380764 h 10000"/>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Lst>
                <a:ahLst/>
                <a:cxnLst>
                  <a:cxn ang="T36">
                    <a:pos x="T0" y="T1"/>
                  </a:cxn>
                  <a:cxn ang="T37">
                    <a:pos x="T2" y="T3"/>
                  </a:cxn>
                  <a:cxn ang="T38">
                    <a:pos x="T4" y="T5"/>
                  </a:cxn>
                  <a:cxn ang="T39">
                    <a:pos x="T6" y="T7"/>
                  </a:cxn>
                  <a:cxn ang="T40">
                    <a:pos x="T8" y="T9"/>
                  </a:cxn>
                  <a:cxn ang="T41">
                    <a:pos x="T10" y="T11"/>
                  </a:cxn>
                  <a:cxn ang="T42">
                    <a:pos x="T12" y="T13"/>
                  </a:cxn>
                  <a:cxn ang="T43">
                    <a:pos x="T14" y="T15"/>
                  </a:cxn>
                  <a:cxn ang="T44">
                    <a:pos x="T16" y="T17"/>
                  </a:cxn>
                  <a:cxn ang="T45">
                    <a:pos x="T18" y="T19"/>
                  </a:cxn>
                  <a:cxn ang="T46">
                    <a:pos x="T20" y="T21"/>
                  </a:cxn>
                  <a:cxn ang="T47">
                    <a:pos x="T22" y="T23"/>
                  </a:cxn>
                  <a:cxn ang="T48">
                    <a:pos x="T24" y="T25"/>
                  </a:cxn>
                  <a:cxn ang="T49">
                    <a:pos x="T26" y="T27"/>
                  </a:cxn>
                  <a:cxn ang="T50">
                    <a:pos x="T28" y="T29"/>
                  </a:cxn>
                  <a:cxn ang="T51">
                    <a:pos x="T30" y="T31"/>
                  </a:cxn>
                  <a:cxn ang="T52">
                    <a:pos x="T32" y="T33"/>
                  </a:cxn>
                  <a:cxn ang="T53">
                    <a:pos x="T34" y="T35"/>
                  </a:cxn>
                </a:cxnLst>
                <a:rect l="0" t="0" r="r" b="b"/>
                <a:pathLst>
                  <a:path w="10000" h="10000">
                    <a:moveTo>
                      <a:pt x="10000" y="4881"/>
                    </a:moveTo>
                    <a:lnTo>
                      <a:pt x="10000" y="9663"/>
                    </a:lnTo>
                    <a:cubicBezTo>
                      <a:pt x="9921" y="9743"/>
                      <a:pt x="9842" y="9821"/>
                      <a:pt x="9762" y="9899"/>
                    </a:cubicBezTo>
                    <a:lnTo>
                      <a:pt x="9525" y="10000"/>
                    </a:lnTo>
                    <a:lnTo>
                      <a:pt x="9168" y="9866"/>
                    </a:lnTo>
                    <a:lnTo>
                      <a:pt x="238" y="5598"/>
                    </a:lnTo>
                    <a:cubicBezTo>
                      <a:pt x="210" y="5506"/>
                      <a:pt x="116" y="5454"/>
                      <a:pt x="88" y="5362"/>
                    </a:cubicBezTo>
                    <a:cubicBezTo>
                      <a:pt x="48" y="5283"/>
                      <a:pt x="56" y="5213"/>
                      <a:pt x="16" y="5135"/>
                    </a:cubicBezTo>
                    <a:cubicBezTo>
                      <a:pt x="3" y="5066"/>
                      <a:pt x="13" y="4881"/>
                      <a:pt x="0" y="4814"/>
                    </a:cubicBezTo>
                    <a:cubicBezTo>
                      <a:pt x="28" y="3310"/>
                      <a:pt x="-11" y="1807"/>
                      <a:pt x="14" y="303"/>
                    </a:cubicBezTo>
                    <a:cubicBezTo>
                      <a:pt x="28" y="257"/>
                      <a:pt x="57" y="199"/>
                      <a:pt x="71" y="154"/>
                    </a:cubicBezTo>
                    <a:cubicBezTo>
                      <a:pt x="111" y="97"/>
                      <a:pt x="173" y="89"/>
                      <a:pt x="213" y="32"/>
                    </a:cubicBezTo>
                    <a:lnTo>
                      <a:pt x="490" y="0"/>
                    </a:lnTo>
                    <a:lnTo>
                      <a:pt x="768" y="101"/>
                    </a:lnTo>
                    <a:lnTo>
                      <a:pt x="9525" y="4007"/>
                    </a:lnTo>
                    <a:cubicBezTo>
                      <a:pt x="9618" y="4097"/>
                      <a:pt x="9763" y="4165"/>
                      <a:pt x="9856" y="4255"/>
                    </a:cubicBezTo>
                    <a:cubicBezTo>
                      <a:pt x="9909" y="4344"/>
                      <a:pt x="9983" y="4468"/>
                      <a:pt x="9977" y="4575"/>
                    </a:cubicBezTo>
                    <a:cubicBezTo>
                      <a:pt x="9990" y="4687"/>
                      <a:pt x="9988" y="4770"/>
                      <a:pt x="10000" y="4881"/>
                    </a:cubicBezTo>
                    <a:close/>
                  </a:path>
                </a:pathLst>
              </a:custGeom>
              <a:gradFill rotWithShape="1">
                <a:gsLst>
                  <a:gs pos="0">
                    <a:srgbClr val="69FFFF"/>
                  </a:gs>
                  <a:gs pos="100000">
                    <a:srgbClr val="CCFFCC"/>
                  </a:gs>
                </a:gsLst>
                <a:lin ang="18900000" scaled="1"/>
              </a:gradFill>
              <a:ln w="19050" cmpd="sng">
                <a:solidFill>
                  <a:srgbClr val="000000"/>
                </a:solidFill>
                <a:round/>
                <a:headEnd/>
                <a:tailEnd/>
              </a:ln>
            </xdr:spPr>
          </xdr:sp>
          <xdr:grpSp>
            <xdr:nvGrpSpPr>
              <xdr:cNvPr id="12449" name="Group 767"/>
              <xdr:cNvGrpSpPr>
                <a:grpSpLocks/>
              </xdr:cNvGrpSpPr>
            </xdr:nvGrpSpPr>
            <xdr:grpSpPr bwMode="auto">
              <a:xfrm>
                <a:off x="3819525" y="16697325"/>
                <a:ext cx="161925" cy="171450"/>
                <a:chOff x="2171700" y="3286125"/>
                <a:chExt cx="17" cy="18"/>
              </a:xfrm>
            </xdr:grpSpPr>
            <xdr:sp macro="" textlink="">
              <xdr:nvSpPr>
                <xdr:cNvPr id="12537" name="Freeform 862"/>
                <xdr:cNvSpPr>
                  <a:spLocks/>
                </xdr:cNvSpPr>
              </xdr:nvSpPr>
              <xdr:spPr bwMode="auto">
                <a:xfrm>
                  <a:off x="2171704" y="3286125"/>
                  <a:ext cx="13" cy="16"/>
                </a:xfrm>
                <a:custGeom>
                  <a:avLst/>
                  <a:gdLst>
                    <a:gd name="T0" fmla="*/ 0 w 59"/>
                    <a:gd name="T1" fmla="*/ 0 h 76"/>
                    <a:gd name="T2" fmla="*/ 0 w 59"/>
                    <a:gd name="T3" fmla="*/ 0 h 76"/>
                    <a:gd name="T4" fmla="*/ 0 w 59"/>
                    <a:gd name="T5" fmla="*/ 0 h 76"/>
                    <a:gd name="T6" fmla="*/ 0 w 59"/>
                    <a:gd name="T7" fmla="*/ 0 h 76"/>
                    <a:gd name="T8" fmla="*/ 0 w 59"/>
                    <a:gd name="T9" fmla="*/ 0 h 76"/>
                    <a:gd name="T10" fmla="*/ 0 w 59"/>
                    <a:gd name="T11" fmla="*/ 0 h 76"/>
                    <a:gd name="T12" fmla="*/ 0 w 59"/>
                    <a:gd name="T13" fmla="*/ 0 h 76"/>
                    <a:gd name="T14" fmla="*/ 0 60000 65536"/>
                    <a:gd name="T15" fmla="*/ 0 60000 65536"/>
                    <a:gd name="T16" fmla="*/ 0 60000 65536"/>
                    <a:gd name="T17" fmla="*/ 0 60000 65536"/>
                    <a:gd name="T18" fmla="*/ 0 60000 65536"/>
                    <a:gd name="T19" fmla="*/ 0 60000 65536"/>
                    <a:gd name="T20" fmla="*/ 0 60000 65536"/>
                    <a:gd name="T21" fmla="*/ 0 w 59"/>
                    <a:gd name="T22" fmla="*/ 0 h 76"/>
                    <a:gd name="T23" fmla="*/ 59 w 59"/>
                    <a:gd name="T24" fmla="*/ 76 h 76"/>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9" h="76">
                      <a:moveTo>
                        <a:pt x="45" y="76"/>
                      </a:moveTo>
                      <a:lnTo>
                        <a:pt x="59" y="58"/>
                      </a:lnTo>
                      <a:lnTo>
                        <a:pt x="45" y="18"/>
                      </a:lnTo>
                      <a:lnTo>
                        <a:pt x="13" y="0"/>
                      </a:lnTo>
                      <a:lnTo>
                        <a:pt x="0" y="23"/>
                      </a:lnTo>
                      <a:lnTo>
                        <a:pt x="13" y="58"/>
                      </a:lnTo>
                      <a:lnTo>
                        <a:pt x="45" y="76"/>
                      </a:lnTo>
                      <a:close/>
                    </a:path>
                  </a:pathLst>
                </a:custGeom>
                <a:solidFill>
                  <a:srgbClr val="FFFFFF"/>
                </a:solidFill>
                <a:ln w="9525">
                  <a:solidFill>
                    <a:srgbClr val="000000"/>
                  </a:solidFill>
                  <a:round/>
                  <a:headEnd/>
                  <a:tailEnd/>
                </a:ln>
              </xdr:spPr>
            </xdr:sp>
            <xdr:sp macro="" textlink="">
              <xdr:nvSpPr>
                <xdr:cNvPr id="12538" name="Freeform 863"/>
                <xdr:cNvSpPr>
                  <a:spLocks/>
                </xdr:cNvSpPr>
              </xdr:nvSpPr>
              <xdr:spPr bwMode="auto">
                <a:xfrm>
                  <a:off x="2171700" y="3286127"/>
                  <a:ext cx="13" cy="16"/>
                </a:xfrm>
                <a:custGeom>
                  <a:avLst/>
                  <a:gdLst>
                    <a:gd name="T0" fmla="*/ 0 w 59"/>
                    <a:gd name="T1" fmla="*/ 0 h 76"/>
                    <a:gd name="T2" fmla="*/ 0 w 59"/>
                    <a:gd name="T3" fmla="*/ 0 h 76"/>
                    <a:gd name="T4" fmla="*/ 0 w 59"/>
                    <a:gd name="T5" fmla="*/ 0 h 76"/>
                    <a:gd name="T6" fmla="*/ 0 w 59"/>
                    <a:gd name="T7" fmla="*/ 0 h 76"/>
                    <a:gd name="T8" fmla="*/ 0 w 59"/>
                    <a:gd name="T9" fmla="*/ 0 h 76"/>
                    <a:gd name="T10" fmla="*/ 0 w 59"/>
                    <a:gd name="T11" fmla="*/ 0 h 76"/>
                    <a:gd name="T12" fmla="*/ 0 w 59"/>
                    <a:gd name="T13" fmla="*/ 0 h 76"/>
                    <a:gd name="T14" fmla="*/ 0 60000 65536"/>
                    <a:gd name="T15" fmla="*/ 0 60000 65536"/>
                    <a:gd name="T16" fmla="*/ 0 60000 65536"/>
                    <a:gd name="T17" fmla="*/ 0 60000 65536"/>
                    <a:gd name="T18" fmla="*/ 0 60000 65536"/>
                    <a:gd name="T19" fmla="*/ 0 60000 65536"/>
                    <a:gd name="T20" fmla="*/ 0 60000 65536"/>
                    <a:gd name="T21" fmla="*/ 0 w 59"/>
                    <a:gd name="T22" fmla="*/ 0 h 76"/>
                    <a:gd name="T23" fmla="*/ 59 w 59"/>
                    <a:gd name="T24" fmla="*/ 76 h 76"/>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9" h="76">
                      <a:moveTo>
                        <a:pt x="45" y="76"/>
                      </a:moveTo>
                      <a:lnTo>
                        <a:pt x="59" y="58"/>
                      </a:lnTo>
                      <a:lnTo>
                        <a:pt x="45" y="18"/>
                      </a:lnTo>
                      <a:lnTo>
                        <a:pt x="13" y="0"/>
                      </a:lnTo>
                      <a:lnTo>
                        <a:pt x="0" y="23"/>
                      </a:lnTo>
                      <a:lnTo>
                        <a:pt x="13" y="58"/>
                      </a:lnTo>
                      <a:lnTo>
                        <a:pt x="45" y="76"/>
                      </a:lnTo>
                      <a:close/>
                    </a:path>
                  </a:pathLst>
                </a:custGeom>
                <a:solidFill>
                  <a:srgbClr val="FFFFFF"/>
                </a:solidFill>
                <a:ln w="9525">
                  <a:solidFill>
                    <a:srgbClr val="000000"/>
                  </a:solidFill>
                  <a:round/>
                  <a:headEnd/>
                  <a:tailEnd/>
                </a:ln>
              </xdr:spPr>
            </xdr:sp>
            <xdr:sp macro="" textlink="">
              <xdr:nvSpPr>
                <xdr:cNvPr id="12539" name="Freeform 864"/>
                <xdr:cNvSpPr>
                  <a:spLocks/>
                </xdr:cNvSpPr>
              </xdr:nvSpPr>
              <xdr:spPr bwMode="auto">
                <a:xfrm>
                  <a:off x="2171703" y="3286125"/>
                  <a:ext cx="11" cy="6"/>
                </a:xfrm>
                <a:custGeom>
                  <a:avLst/>
                  <a:gdLst>
                    <a:gd name="T0" fmla="*/ 0 w 11"/>
                    <a:gd name="T1" fmla="*/ 2 h 6"/>
                    <a:gd name="T2" fmla="*/ 4 w 11"/>
                    <a:gd name="T3" fmla="*/ 0 h 6"/>
                    <a:gd name="T4" fmla="*/ 11 w 11"/>
                    <a:gd name="T5" fmla="*/ 4 h 6"/>
                    <a:gd name="T6" fmla="*/ 7 w 11"/>
                    <a:gd name="T7" fmla="*/ 6 h 6"/>
                    <a:gd name="T8" fmla="*/ 0 w 11"/>
                    <a:gd name="T9" fmla="*/ 2 h 6"/>
                    <a:gd name="T10" fmla="*/ 0 60000 65536"/>
                    <a:gd name="T11" fmla="*/ 0 60000 65536"/>
                    <a:gd name="T12" fmla="*/ 0 60000 65536"/>
                    <a:gd name="T13" fmla="*/ 0 60000 65536"/>
                    <a:gd name="T14" fmla="*/ 0 60000 65536"/>
                    <a:gd name="T15" fmla="*/ 0 w 11"/>
                    <a:gd name="T16" fmla="*/ 0 h 6"/>
                    <a:gd name="T17" fmla="*/ 11 w 11"/>
                    <a:gd name="T18" fmla="*/ 6 h 6"/>
                  </a:gdLst>
                  <a:ahLst/>
                  <a:cxnLst>
                    <a:cxn ang="T10">
                      <a:pos x="T0" y="T1"/>
                    </a:cxn>
                    <a:cxn ang="T11">
                      <a:pos x="T2" y="T3"/>
                    </a:cxn>
                    <a:cxn ang="T12">
                      <a:pos x="T4" y="T5"/>
                    </a:cxn>
                    <a:cxn ang="T13">
                      <a:pos x="T6" y="T7"/>
                    </a:cxn>
                    <a:cxn ang="T14">
                      <a:pos x="T8" y="T9"/>
                    </a:cxn>
                  </a:cxnLst>
                  <a:rect l="T15" t="T16" r="T17" b="T18"/>
                  <a:pathLst>
                    <a:path w="11" h="6">
                      <a:moveTo>
                        <a:pt x="0" y="2"/>
                      </a:moveTo>
                      <a:lnTo>
                        <a:pt x="4" y="0"/>
                      </a:lnTo>
                      <a:lnTo>
                        <a:pt x="11" y="4"/>
                      </a:lnTo>
                      <a:lnTo>
                        <a:pt x="7" y="6"/>
                      </a:lnTo>
                      <a:lnTo>
                        <a:pt x="0" y="2"/>
                      </a:lnTo>
                      <a:close/>
                    </a:path>
                  </a:pathLst>
                </a:custGeom>
                <a:solidFill>
                  <a:srgbClr val="FFFFFF"/>
                </a:solidFill>
                <a:ln w="9525">
                  <a:solidFill>
                    <a:srgbClr val="000000"/>
                  </a:solidFill>
                  <a:round/>
                  <a:headEnd/>
                  <a:tailEnd/>
                </a:ln>
              </xdr:spPr>
            </xdr:sp>
            <xdr:sp macro="" textlink="">
              <xdr:nvSpPr>
                <xdr:cNvPr id="12540" name="Freeform 865"/>
                <xdr:cNvSpPr>
                  <a:spLocks/>
                </xdr:cNvSpPr>
              </xdr:nvSpPr>
              <xdr:spPr bwMode="auto">
                <a:xfrm>
                  <a:off x="2171710" y="3286129"/>
                  <a:ext cx="7" cy="10"/>
                </a:xfrm>
                <a:custGeom>
                  <a:avLst/>
                  <a:gdLst>
                    <a:gd name="T0" fmla="*/ 3 w 7"/>
                    <a:gd name="T1" fmla="*/ 10 h 10"/>
                    <a:gd name="T2" fmla="*/ 7 w 7"/>
                    <a:gd name="T3" fmla="*/ 8 h 10"/>
                    <a:gd name="T4" fmla="*/ 4 w 7"/>
                    <a:gd name="T5" fmla="*/ 0 h 10"/>
                    <a:gd name="T6" fmla="*/ 0 w 7"/>
                    <a:gd name="T7" fmla="*/ 2 h 10"/>
                    <a:gd name="T8" fmla="*/ 3 w 7"/>
                    <a:gd name="T9" fmla="*/ 10 h 10"/>
                    <a:gd name="T10" fmla="*/ 0 60000 65536"/>
                    <a:gd name="T11" fmla="*/ 0 60000 65536"/>
                    <a:gd name="T12" fmla="*/ 0 60000 65536"/>
                    <a:gd name="T13" fmla="*/ 0 60000 65536"/>
                    <a:gd name="T14" fmla="*/ 0 60000 65536"/>
                    <a:gd name="T15" fmla="*/ 0 w 7"/>
                    <a:gd name="T16" fmla="*/ 0 h 10"/>
                    <a:gd name="T17" fmla="*/ 7 w 7"/>
                    <a:gd name="T18" fmla="*/ 10 h 10"/>
                  </a:gdLst>
                  <a:ahLst/>
                  <a:cxnLst>
                    <a:cxn ang="T10">
                      <a:pos x="T0" y="T1"/>
                    </a:cxn>
                    <a:cxn ang="T11">
                      <a:pos x="T2" y="T3"/>
                    </a:cxn>
                    <a:cxn ang="T12">
                      <a:pos x="T4" y="T5"/>
                    </a:cxn>
                    <a:cxn ang="T13">
                      <a:pos x="T6" y="T7"/>
                    </a:cxn>
                    <a:cxn ang="T14">
                      <a:pos x="T8" y="T9"/>
                    </a:cxn>
                  </a:cxnLst>
                  <a:rect l="T15" t="T16" r="T17" b="T18"/>
                  <a:pathLst>
                    <a:path w="7" h="10">
                      <a:moveTo>
                        <a:pt x="3" y="10"/>
                      </a:moveTo>
                      <a:lnTo>
                        <a:pt x="7" y="8"/>
                      </a:lnTo>
                      <a:lnTo>
                        <a:pt x="4" y="0"/>
                      </a:lnTo>
                      <a:lnTo>
                        <a:pt x="0" y="2"/>
                      </a:lnTo>
                      <a:lnTo>
                        <a:pt x="3" y="10"/>
                      </a:lnTo>
                      <a:close/>
                    </a:path>
                  </a:pathLst>
                </a:custGeom>
                <a:solidFill>
                  <a:srgbClr val="FFFFFF"/>
                </a:solidFill>
                <a:ln w="9525">
                  <a:solidFill>
                    <a:srgbClr val="000000"/>
                  </a:solidFill>
                  <a:round/>
                  <a:headEnd/>
                  <a:tailEnd/>
                </a:ln>
              </xdr:spPr>
            </xdr:sp>
            <xdr:sp macro="" textlink="">
              <xdr:nvSpPr>
                <xdr:cNvPr id="12541" name="Freeform 866"/>
                <xdr:cNvSpPr>
                  <a:spLocks/>
                </xdr:cNvSpPr>
              </xdr:nvSpPr>
              <xdr:spPr bwMode="auto">
                <a:xfrm>
                  <a:off x="2171710" y="3286137"/>
                  <a:ext cx="7" cy="6"/>
                </a:xfrm>
                <a:custGeom>
                  <a:avLst/>
                  <a:gdLst>
                    <a:gd name="T0" fmla="*/ 3 w 7"/>
                    <a:gd name="T1" fmla="*/ 2 h 6"/>
                    <a:gd name="T2" fmla="*/ 7 w 7"/>
                    <a:gd name="T3" fmla="*/ 0 h 6"/>
                    <a:gd name="T4" fmla="*/ 4 w 7"/>
                    <a:gd name="T5" fmla="*/ 4 h 6"/>
                    <a:gd name="T6" fmla="*/ 0 w 7"/>
                    <a:gd name="T7" fmla="*/ 6 h 6"/>
                    <a:gd name="T8" fmla="*/ 3 w 7"/>
                    <a:gd name="T9" fmla="*/ 2 h 6"/>
                    <a:gd name="T10" fmla="*/ 0 60000 65536"/>
                    <a:gd name="T11" fmla="*/ 0 60000 65536"/>
                    <a:gd name="T12" fmla="*/ 0 60000 65536"/>
                    <a:gd name="T13" fmla="*/ 0 60000 65536"/>
                    <a:gd name="T14" fmla="*/ 0 60000 65536"/>
                    <a:gd name="T15" fmla="*/ 0 w 7"/>
                    <a:gd name="T16" fmla="*/ 0 h 6"/>
                    <a:gd name="T17" fmla="*/ 7 w 7"/>
                    <a:gd name="T18" fmla="*/ 6 h 6"/>
                  </a:gdLst>
                  <a:ahLst/>
                  <a:cxnLst>
                    <a:cxn ang="T10">
                      <a:pos x="T0" y="T1"/>
                    </a:cxn>
                    <a:cxn ang="T11">
                      <a:pos x="T2" y="T3"/>
                    </a:cxn>
                    <a:cxn ang="T12">
                      <a:pos x="T4" y="T5"/>
                    </a:cxn>
                    <a:cxn ang="T13">
                      <a:pos x="T6" y="T7"/>
                    </a:cxn>
                    <a:cxn ang="T14">
                      <a:pos x="T8" y="T9"/>
                    </a:cxn>
                  </a:cxnLst>
                  <a:rect l="T15" t="T16" r="T17" b="T18"/>
                  <a:pathLst>
                    <a:path w="7" h="6">
                      <a:moveTo>
                        <a:pt x="3" y="2"/>
                      </a:moveTo>
                      <a:lnTo>
                        <a:pt x="7" y="0"/>
                      </a:lnTo>
                      <a:lnTo>
                        <a:pt x="4" y="4"/>
                      </a:lnTo>
                      <a:lnTo>
                        <a:pt x="0" y="6"/>
                      </a:lnTo>
                      <a:lnTo>
                        <a:pt x="3" y="2"/>
                      </a:lnTo>
                      <a:close/>
                    </a:path>
                  </a:pathLst>
                </a:custGeom>
                <a:solidFill>
                  <a:srgbClr val="FFFFFF"/>
                </a:solidFill>
                <a:ln w="9525">
                  <a:solidFill>
                    <a:srgbClr val="000000"/>
                  </a:solidFill>
                  <a:round/>
                  <a:headEnd/>
                  <a:tailEnd/>
                </a:ln>
              </xdr:spPr>
            </xdr:sp>
          </xdr:grpSp>
          <xdr:grpSp>
            <xdr:nvGrpSpPr>
              <xdr:cNvPr id="12450" name="Group 768"/>
              <xdr:cNvGrpSpPr>
                <a:grpSpLocks/>
              </xdr:cNvGrpSpPr>
            </xdr:nvGrpSpPr>
            <xdr:grpSpPr bwMode="auto">
              <a:xfrm>
                <a:off x="3067050" y="17783175"/>
                <a:ext cx="161925" cy="171450"/>
                <a:chOff x="1428750" y="4381500"/>
                <a:chExt cx="17" cy="18"/>
              </a:xfrm>
            </xdr:grpSpPr>
            <xdr:sp macro="" textlink="">
              <xdr:nvSpPr>
                <xdr:cNvPr id="12532" name="Freeform 857"/>
                <xdr:cNvSpPr>
                  <a:spLocks/>
                </xdr:cNvSpPr>
              </xdr:nvSpPr>
              <xdr:spPr bwMode="auto">
                <a:xfrm>
                  <a:off x="1428754" y="4381500"/>
                  <a:ext cx="13" cy="16"/>
                </a:xfrm>
                <a:custGeom>
                  <a:avLst/>
                  <a:gdLst>
                    <a:gd name="T0" fmla="*/ 0 w 59"/>
                    <a:gd name="T1" fmla="*/ 0 h 76"/>
                    <a:gd name="T2" fmla="*/ 0 w 59"/>
                    <a:gd name="T3" fmla="*/ 0 h 76"/>
                    <a:gd name="T4" fmla="*/ 0 w 59"/>
                    <a:gd name="T5" fmla="*/ 0 h 76"/>
                    <a:gd name="T6" fmla="*/ 0 w 59"/>
                    <a:gd name="T7" fmla="*/ 0 h 76"/>
                    <a:gd name="T8" fmla="*/ 0 w 59"/>
                    <a:gd name="T9" fmla="*/ 0 h 76"/>
                    <a:gd name="T10" fmla="*/ 0 w 59"/>
                    <a:gd name="T11" fmla="*/ 0 h 76"/>
                    <a:gd name="T12" fmla="*/ 0 w 59"/>
                    <a:gd name="T13" fmla="*/ 0 h 76"/>
                    <a:gd name="T14" fmla="*/ 0 60000 65536"/>
                    <a:gd name="T15" fmla="*/ 0 60000 65536"/>
                    <a:gd name="T16" fmla="*/ 0 60000 65536"/>
                    <a:gd name="T17" fmla="*/ 0 60000 65536"/>
                    <a:gd name="T18" fmla="*/ 0 60000 65536"/>
                    <a:gd name="T19" fmla="*/ 0 60000 65536"/>
                    <a:gd name="T20" fmla="*/ 0 60000 65536"/>
                    <a:gd name="T21" fmla="*/ 0 w 59"/>
                    <a:gd name="T22" fmla="*/ 0 h 76"/>
                    <a:gd name="T23" fmla="*/ 59 w 59"/>
                    <a:gd name="T24" fmla="*/ 76 h 76"/>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9" h="76">
                      <a:moveTo>
                        <a:pt x="45" y="76"/>
                      </a:moveTo>
                      <a:lnTo>
                        <a:pt x="59" y="58"/>
                      </a:lnTo>
                      <a:lnTo>
                        <a:pt x="45" y="18"/>
                      </a:lnTo>
                      <a:lnTo>
                        <a:pt x="13" y="0"/>
                      </a:lnTo>
                      <a:lnTo>
                        <a:pt x="0" y="23"/>
                      </a:lnTo>
                      <a:lnTo>
                        <a:pt x="13" y="58"/>
                      </a:lnTo>
                      <a:lnTo>
                        <a:pt x="45" y="76"/>
                      </a:lnTo>
                      <a:close/>
                    </a:path>
                  </a:pathLst>
                </a:custGeom>
                <a:solidFill>
                  <a:srgbClr val="FFFFFF"/>
                </a:solidFill>
                <a:ln w="9525">
                  <a:solidFill>
                    <a:srgbClr val="000000"/>
                  </a:solidFill>
                  <a:round/>
                  <a:headEnd/>
                  <a:tailEnd/>
                </a:ln>
              </xdr:spPr>
            </xdr:sp>
            <xdr:sp macro="" textlink="">
              <xdr:nvSpPr>
                <xdr:cNvPr id="12533" name="Freeform 858"/>
                <xdr:cNvSpPr>
                  <a:spLocks/>
                </xdr:cNvSpPr>
              </xdr:nvSpPr>
              <xdr:spPr bwMode="auto">
                <a:xfrm>
                  <a:off x="1428750" y="4381502"/>
                  <a:ext cx="13" cy="16"/>
                </a:xfrm>
                <a:custGeom>
                  <a:avLst/>
                  <a:gdLst>
                    <a:gd name="T0" fmla="*/ 0 w 59"/>
                    <a:gd name="T1" fmla="*/ 0 h 76"/>
                    <a:gd name="T2" fmla="*/ 0 w 59"/>
                    <a:gd name="T3" fmla="*/ 0 h 76"/>
                    <a:gd name="T4" fmla="*/ 0 w 59"/>
                    <a:gd name="T5" fmla="*/ 0 h 76"/>
                    <a:gd name="T6" fmla="*/ 0 w 59"/>
                    <a:gd name="T7" fmla="*/ 0 h 76"/>
                    <a:gd name="T8" fmla="*/ 0 w 59"/>
                    <a:gd name="T9" fmla="*/ 0 h 76"/>
                    <a:gd name="T10" fmla="*/ 0 w 59"/>
                    <a:gd name="T11" fmla="*/ 0 h 76"/>
                    <a:gd name="T12" fmla="*/ 0 w 59"/>
                    <a:gd name="T13" fmla="*/ 0 h 76"/>
                    <a:gd name="T14" fmla="*/ 0 60000 65536"/>
                    <a:gd name="T15" fmla="*/ 0 60000 65536"/>
                    <a:gd name="T16" fmla="*/ 0 60000 65536"/>
                    <a:gd name="T17" fmla="*/ 0 60000 65536"/>
                    <a:gd name="T18" fmla="*/ 0 60000 65536"/>
                    <a:gd name="T19" fmla="*/ 0 60000 65536"/>
                    <a:gd name="T20" fmla="*/ 0 60000 65536"/>
                    <a:gd name="T21" fmla="*/ 0 w 59"/>
                    <a:gd name="T22" fmla="*/ 0 h 76"/>
                    <a:gd name="T23" fmla="*/ 59 w 59"/>
                    <a:gd name="T24" fmla="*/ 76 h 76"/>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9" h="76">
                      <a:moveTo>
                        <a:pt x="45" y="76"/>
                      </a:moveTo>
                      <a:lnTo>
                        <a:pt x="59" y="58"/>
                      </a:lnTo>
                      <a:lnTo>
                        <a:pt x="45" y="18"/>
                      </a:lnTo>
                      <a:lnTo>
                        <a:pt x="13" y="0"/>
                      </a:lnTo>
                      <a:lnTo>
                        <a:pt x="0" y="23"/>
                      </a:lnTo>
                      <a:lnTo>
                        <a:pt x="13" y="58"/>
                      </a:lnTo>
                      <a:lnTo>
                        <a:pt x="45" y="76"/>
                      </a:lnTo>
                      <a:close/>
                    </a:path>
                  </a:pathLst>
                </a:custGeom>
                <a:solidFill>
                  <a:srgbClr val="FFFFFF"/>
                </a:solidFill>
                <a:ln w="9525">
                  <a:solidFill>
                    <a:srgbClr val="000000"/>
                  </a:solidFill>
                  <a:round/>
                  <a:headEnd/>
                  <a:tailEnd/>
                </a:ln>
              </xdr:spPr>
            </xdr:sp>
            <xdr:sp macro="" textlink="">
              <xdr:nvSpPr>
                <xdr:cNvPr id="12534" name="Freeform 859"/>
                <xdr:cNvSpPr>
                  <a:spLocks/>
                </xdr:cNvSpPr>
              </xdr:nvSpPr>
              <xdr:spPr bwMode="auto">
                <a:xfrm>
                  <a:off x="1428753" y="4381500"/>
                  <a:ext cx="11" cy="6"/>
                </a:xfrm>
                <a:custGeom>
                  <a:avLst/>
                  <a:gdLst>
                    <a:gd name="T0" fmla="*/ 0 w 11"/>
                    <a:gd name="T1" fmla="*/ 2 h 6"/>
                    <a:gd name="T2" fmla="*/ 4 w 11"/>
                    <a:gd name="T3" fmla="*/ 0 h 6"/>
                    <a:gd name="T4" fmla="*/ 11 w 11"/>
                    <a:gd name="T5" fmla="*/ 4 h 6"/>
                    <a:gd name="T6" fmla="*/ 7 w 11"/>
                    <a:gd name="T7" fmla="*/ 6 h 6"/>
                    <a:gd name="T8" fmla="*/ 0 w 11"/>
                    <a:gd name="T9" fmla="*/ 2 h 6"/>
                    <a:gd name="T10" fmla="*/ 0 60000 65536"/>
                    <a:gd name="T11" fmla="*/ 0 60000 65536"/>
                    <a:gd name="T12" fmla="*/ 0 60000 65536"/>
                    <a:gd name="T13" fmla="*/ 0 60000 65536"/>
                    <a:gd name="T14" fmla="*/ 0 60000 65536"/>
                    <a:gd name="T15" fmla="*/ 0 w 11"/>
                    <a:gd name="T16" fmla="*/ 0 h 6"/>
                    <a:gd name="T17" fmla="*/ 11 w 11"/>
                    <a:gd name="T18" fmla="*/ 6 h 6"/>
                  </a:gdLst>
                  <a:ahLst/>
                  <a:cxnLst>
                    <a:cxn ang="T10">
                      <a:pos x="T0" y="T1"/>
                    </a:cxn>
                    <a:cxn ang="T11">
                      <a:pos x="T2" y="T3"/>
                    </a:cxn>
                    <a:cxn ang="T12">
                      <a:pos x="T4" y="T5"/>
                    </a:cxn>
                    <a:cxn ang="T13">
                      <a:pos x="T6" y="T7"/>
                    </a:cxn>
                    <a:cxn ang="T14">
                      <a:pos x="T8" y="T9"/>
                    </a:cxn>
                  </a:cxnLst>
                  <a:rect l="T15" t="T16" r="T17" b="T18"/>
                  <a:pathLst>
                    <a:path w="11" h="6">
                      <a:moveTo>
                        <a:pt x="0" y="2"/>
                      </a:moveTo>
                      <a:lnTo>
                        <a:pt x="4" y="0"/>
                      </a:lnTo>
                      <a:lnTo>
                        <a:pt x="11" y="4"/>
                      </a:lnTo>
                      <a:lnTo>
                        <a:pt x="7" y="6"/>
                      </a:lnTo>
                      <a:lnTo>
                        <a:pt x="0" y="2"/>
                      </a:lnTo>
                      <a:close/>
                    </a:path>
                  </a:pathLst>
                </a:custGeom>
                <a:solidFill>
                  <a:srgbClr val="FFFFFF"/>
                </a:solidFill>
                <a:ln w="9525">
                  <a:solidFill>
                    <a:srgbClr val="000000"/>
                  </a:solidFill>
                  <a:round/>
                  <a:headEnd/>
                  <a:tailEnd/>
                </a:ln>
              </xdr:spPr>
            </xdr:sp>
            <xdr:sp macro="" textlink="">
              <xdr:nvSpPr>
                <xdr:cNvPr id="12535" name="Freeform 860"/>
                <xdr:cNvSpPr>
                  <a:spLocks/>
                </xdr:cNvSpPr>
              </xdr:nvSpPr>
              <xdr:spPr bwMode="auto">
                <a:xfrm>
                  <a:off x="1428760" y="4381504"/>
                  <a:ext cx="7" cy="10"/>
                </a:xfrm>
                <a:custGeom>
                  <a:avLst/>
                  <a:gdLst>
                    <a:gd name="T0" fmla="*/ 3 w 7"/>
                    <a:gd name="T1" fmla="*/ 10 h 10"/>
                    <a:gd name="T2" fmla="*/ 7 w 7"/>
                    <a:gd name="T3" fmla="*/ 8 h 10"/>
                    <a:gd name="T4" fmla="*/ 4 w 7"/>
                    <a:gd name="T5" fmla="*/ 0 h 10"/>
                    <a:gd name="T6" fmla="*/ 0 w 7"/>
                    <a:gd name="T7" fmla="*/ 2 h 10"/>
                    <a:gd name="T8" fmla="*/ 3 w 7"/>
                    <a:gd name="T9" fmla="*/ 10 h 10"/>
                    <a:gd name="T10" fmla="*/ 0 60000 65536"/>
                    <a:gd name="T11" fmla="*/ 0 60000 65536"/>
                    <a:gd name="T12" fmla="*/ 0 60000 65536"/>
                    <a:gd name="T13" fmla="*/ 0 60000 65536"/>
                    <a:gd name="T14" fmla="*/ 0 60000 65536"/>
                    <a:gd name="T15" fmla="*/ 0 w 7"/>
                    <a:gd name="T16" fmla="*/ 0 h 10"/>
                    <a:gd name="T17" fmla="*/ 7 w 7"/>
                    <a:gd name="T18" fmla="*/ 10 h 10"/>
                  </a:gdLst>
                  <a:ahLst/>
                  <a:cxnLst>
                    <a:cxn ang="T10">
                      <a:pos x="T0" y="T1"/>
                    </a:cxn>
                    <a:cxn ang="T11">
                      <a:pos x="T2" y="T3"/>
                    </a:cxn>
                    <a:cxn ang="T12">
                      <a:pos x="T4" y="T5"/>
                    </a:cxn>
                    <a:cxn ang="T13">
                      <a:pos x="T6" y="T7"/>
                    </a:cxn>
                    <a:cxn ang="T14">
                      <a:pos x="T8" y="T9"/>
                    </a:cxn>
                  </a:cxnLst>
                  <a:rect l="T15" t="T16" r="T17" b="T18"/>
                  <a:pathLst>
                    <a:path w="7" h="10">
                      <a:moveTo>
                        <a:pt x="3" y="10"/>
                      </a:moveTo>
                      <a:lnTo>
                        <a:pt x="7" y="8"/>
                      </a:lnTo>
                      <a:lnTo>
                        <a:pt x="4" y="0"/>
                      </a:lnTo>
                      <a:lnTo>
                        <a:pt x="0" y="2"/>
                      </a:lnTo>
                      <a:lnTo>
                        <a:pt x="3" y="10"/>
                      </a:lnTo>
                      <a:close/>
                    </a:path>
                  </a:pathLst>
                </a:custGeom>
                <a:solidFill>
                  <a:srgbClr val="FFFFFF"/>
                </a:solidFill>
                <a:ln w="9525">
                  <a:solidFill>
                    <a:srgbClr val="000000"/>
                  </a:solidFill>
                  <a:round/>
                  <a:headEnd/>
                  <a:tailEnd/>
                </a:ln>
              </xdr:spPr>
            </xdr:sp>
            <xdr:sp macro="" textlink="">
              <xdr:nvSpPr>
                <xdr:cNvPr id="12536" name="Freeform 861"/>
                <xdr:cNvSpPr>
                  <a:spLocks/>
                </xdr:cNvSpPr>
              </xdr:nvSpPr>
              <xdr:spPr bwMode="auto">
                <a:xfrm>
                  <a:off x="1428760" y="4381512"/>
                  <a:ext cx="7" cy="6"/>
                </a:xfrm>
                <a:custGeom>
                  <a:avLst/>
                  <a:gdLst>
                    <a:gd name="T0" fmla="*/ 3 w 7"/>
                    <a:gd name="T1" fmla="*/ 2 h 6"/>
                    <a:gd name="T2" fmla="*/ 7 w 7"/>
                    <a:gd name="T3" fmla="*/ 0 h 6"/>
                    <a:gd name="T4" fmla="*/ 4 w 7"/>
                    <a:gd name="T5" fmla="*/ 4 h 6"/>
                    <a:gd name="T6" fmla="*/ 0 w 7"/>
                    <a:gd name="T7" fmla="*/ 6 h 6"/>
                    <a:gd name="T8" fmla="*/ 3 w 7"/>
                    <a:gd name="T9" fmla="*/ 2 h 6"/>
                    <a:gd name="T10" fmla="*/ 0 60000 65536"/>
                    <a:gd name="T11" fmla="*/ 0 60000 65536"/>
                    <a:gd name="T12" fmla="*/ 0 60000 65536"/>
                    <a:gd name="T13" fmla="*/ 0 60000 65536"/>
                    <a:gd name="T14" fmla="*/ 0 60000 65536"/>
                    <a:gd name="T15" fmla="*/ 0 w 7"/>
                    <a:gd name="T16" fmla="*/ 0 h 6"/>
                    <a:gd name="T17" fmla="*/ 7 w 7"/>
                    <a:gd name="T18" fmla="*/ 6 h 6"/>
                  </a:gdLst>
                  <a:ahLst/>
                  <a:cxnLst>
                    <a:cxn ang="T10">
                      <a:pos x="T0" y="T1"/>
                    </a:cxn>
                    <a:cxn ang="T11">
                      <a:pos x="T2" y="T3"/>
                    </a:cxn>
                    <a:cxn ang="T12">
                      <a:pos x="T4" y="T5"/>
                    </a:cxn>
                    <a:cxn ang="T13">
                      <a:pos x="T6" y="T7"/>
                    </a:cxn>
                    <a:cxn ang="T14">
                      <a:pos x="T8" y="T9"/>
                    </a:cxn>
                  </a:cxnLst>
                  <a:rect l="T15" t="T16" r="T17" b="T18"/>
                  <a:pathLst>
                    <a:path w="7" h="6">
                      <a:moveTo>
                        <a:pt x="3" y="2"/>
                      </a:moveTo>
                      <a:lnTo>
                        <a:pt x="7" y="0"/>
                      </a:lnTo>
                      <a:lnTo>
                        <a:pt x="4" y="4"/>
                      </a:lnTo>
                      <a:lnTo>
                        <a:pt x="0" y="6"/>
                      </a:lnTo>
                      <a:lnTo>
                        <a:pt x="3" y="2"/>
                      </a:lnTo>
                      <a:close/>
                    </a:path>
                  </a:pathLst>
                </a:custGeom>
                <a:solidFill>
                  <a:srgbClr val="FFFFFF"/>
                </a:solidFill>
                <a:ln w="9525">
                  <a:solidFill>
                    <a:srgbClr val="000000"/>
                  </a:solidFill>
                  <a:round/>
                  <a:headEnd/>
                  <a:tailEnd/>
                </a:ln>
              </xdr:spPr>
            </xdr:sp>
          </xdr:grpSp>
          <xdr:grpSp>
            <xdr:nvGrpSpPr>
              <xdr:cNvPr id="12451" name="Group 770"/>
              <xdr:cNvGrpSpPr>
                <a:grpSpLocks/>
              </xdr:cNvGrpSpPr>
            </xdr:nvGrpSpPr>
            <xdr:grpSpPr bwMode="auto">
              <a:xfrm>
                <a:off x="3105150" y="16316325"/>
                <a:ext cx="161925" cy="171450"/>
                <a:chOff x="1457325" y="2905125"/>
                <a:chExt cx="17" cy="18"/>
              </a:xfrm>
            </xdr:grpSpPr>
            <xdr:sp macro="" textlink="">
              <xdr:nvSpPr>
                <xdr:cNvPr id="12527" name="Freeform 847"/>
                <xdr:cNvSpPr>
                  <a:spLocks/>
                </xdr:cNvSpPr>
              </xdr:nvSpPr>
              <xdr:spPr bwMode="auto">
                <a:xfrm>
                  <a:off x="1457329" y="2905125"/>
                  <a:ext cx="13" cy="16"/>
                </a:xfrm>
                <a:custGeom>
                  <a:avLst/>
                  <a:gdLst>
                    <a:gd name="T0" fmla="*/ 0 w 59"/>
                    <a:gd name="T1" fmla="*/ 0 h 76"/>
                    <a:gd name="T2" fmla="*/ 0 w 59"/>
                    <a:gd name="T3" fmla="*/ 0 h 76"/>
                    <a:gd name="T4" fmla="*/ 0 w 59"/>
                    <a:gd name="T5" fmla="*/ 0 h 76"/>
                    <a:gd name="T6" fmla="*/ 0 w 59"/>
                    <a:gd name="T7" fmla="*/ 0 h 76"/>
                    <a:gd name="T8" fmla="*/ 0 w 59"/>
                    <a:gd name="T9" fmla="*/ 0 h 76"/>
                    <a:gd name="T10" fmla="*/ 0 w 59"/>
                    <a:gd name="T11" fmla="*/ 0 h 76"/>
                    <a:gd name="T12" fmla="*/ 0 w 59"/>
                    <a:gd name="T13" fmla="*/ 0 h 76"/>
                    <a:gd name="T14" fmla="*/ 0 60000 65536"/>
                    <a:gd name="T15" fmla="*/ 0 60000 65536"/>
                    <a:gd name="T16" fmla="*/ 0 60000 65536"/>
                    <a:gd name="T17" fmla="*/ 0 60000 65536"/>
                    <a:gd name="T18" fmla="*/ 0 60000 65536"/>
                    <a:gd name="T19" fmla="*/ 0 60000 65536"/>
                    <a:gd name="T20" fmla="*/ 0 60000 65536"/>
                    <a:gd name="T21" fmla="*/ 0 w 59"/>
                    <a:gd name="T22" fmla="*/ 0 h 76"/>
                    <a:gd name="T23" fmla="*/ 59 w 59"/>
                    <a:gd name="T24" fmla="*/ 76 h 76"/>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9" h="76">
                      <a:moveTo>
                        <a:pt x="45" y="76"/>
                      </a:moveTo>
                      <a:lnTo>
                        <a:pt x="59" y="58"/>
                      </a:lnTo>
                      <a:lnTo>
                        <a:pt x="45" y="18"/>
                      </a:lnTo>
                      <a:lnTo>
                        <a:pt x="13" y="0"/>
                      </a:lnTo>
                      <a:lnTo>
                        <a:pt x="0" y="23"/>
                      </a:lnTo>
                      <a:lnTo>
                        <a:pt x="13" y="58"/>
                      </a:lnTo>
                      <a:lnTo>
                        <a:pt x="45" y="76"/>
                      </a:lnTo>
                      <a:close/>
                    </a:path>
                  </a:pathLst>
                </a:custGeom>
                <a:solidFill>
                  <a:srgbClr val="FFFFFF"/>
                </a:solidFill>
                <a:ln w="9525">
                  <a:solidFill>
                    <a:srgbClr val="000000"/>
                  </a:solidFill>
                  <a:round/>
                  <a:headEnd/>
                  <a:tailEnd/>
                </a:ln>
              </xdr:spPr>
            </xdr:sp>
            <xdr:sp macro="" textlink="">
              <xdr:nvSpPr>
                <xdr:cNvPr id="12528" name="Freeform 848"/>
                <xdr:cNvSpPr>
                  <a:spLocks/>
                </xdr:cNvSpPr>
              </xdr:nvSpPr>
              <xdr:spPr bwMode="auto">
                <a:xfrm>
                  <a:off x="1457325" y="2905127"/>
                  <a:ext cx="13" cy="16"/>
                </a:xfrm>
                <a:custGeom>
                  <a:avLst/>
                  <a:gdLst>
                    <a:gd name="T0" fmla="*/ 0 w 59"/>
                    <a:gd name="T1" fmla="*/ 0 h 76"/>
                    <a:gd name="T2" fmla="*/ 0 w 59"/>
                    <a:gd name="T3" fmla="*/ 0 h 76"/>
                    <a:gd name="T4" fmla="*/ 0 w 59"/>
                    <a:gd name="T5" fmla="*/ 0 h 76"/>
                    <a:gd name="T6" fmla="*/ 0 w 59"/>
                    <a:gd name="T7" fmla="*/ 0 h 76"/>
                    <a:gd name="T8" fmla="*/ 0 w 59"/>
                    <a:gd name="T9" fmla="*/ 0 h 76"/>
                    <a:gd name="T10" fmla="*/ 0 w 59"/>
                    <a:gd name="T11" fmla="*/ 0 h 76"/>
                    <a:gd name="T12" fmla="*/ 0 w 59"/>
                    <a:gd name="T13" fmla="*/ 0 h 76"/>
                    <a:gd name="T14" fmla="*/ 0 60000 65536"/>
                    <a:gd name="T15" fmla="*/ 0 60000 65536"/>
                    <a:gd name="T16" fmla="*/ 0 60000 65536"/>
                    <a:gd name="T17" fmla="*/ 0 60000 65536"/>
                    <a:gd name="T18" fmla="*/ 0 60000 65536"/>
                    <a:gd name="T19" fmla="*/ 0 60000 65536"/>
                    <a:gd name="T20" fmla="*/ 0 60000 65536"/>
                    <a:gd name="T21" fmla="*/ 0 w 59"/>
                    <a:gd name="T22" fmla="*/ 0 h 76"/>
                    <a:gd name="T23" fmla="*/ 59 w 59"/>
                    <a:gd name="T24" fmla="*/ 76 h 76"/>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9" h="76">
                      <a:moveTo>
                        <a:pt x="45" y="76"/>
                      </a:moveTo>
                      <a:lnTo>
                        <a:pt x="59" y="58"/>
                      </a:lnTo>
                      <a:lnTo>
                        <a:pt x="45" y="18"/>
                      </a:lnTo>
                      <a:lnTo>
                        <a:pt x="13" y="0"/>
                      </a:lnTo>
                      <a:lnTo>
                        <a:pt x="0" y="23"/>
                      </a:lnTo>
                      <a:lnTo>
                        <a:pt x="13" y="58"/>
                      </a:lnTo>
                      <a:lnTo>
                        <a:pt x="45" y="76"/>
                      </a:lnTo>
                      <a:close/>
                    </a:path>
                  </a:pathLst>
                </a:custGeom>
                <a:solidFill>
                  <a:srgbClr val="FFFFFF"/>
                </a:solidFill>
                <a:ln w="9525">
                  <a:solidFill>
                    <a:srgbClr val="000000"/>
                  </a:solidFill>
                  <a:round/>
                  <a:headEnd/>
                  <a:tailEnd/>
                </a:ln>
              </xdr:spPr>
            </xdr:sp>
            <xdr:sp macro="" textlink="">
              <xdr:nvSpPr>
                <xdr:cNvPr id="12529" name="Freeform 849"/>
                <xdr:cNvSpPr>
                  <a:spLocks/>
                </xdr:cNvSpPr>
              </xdr:nvSpPr>
              <xdr:spPr bwMode="auto">
                <a:xfrm>
                  <a:off x="1457328" y="2905125"/>
                  <a:ext cx="11" cy="6"/>
                </a:xfrm>
                <a:custGeom>
                  <a:avLst/>
                  <a:gdLst>
                    <a:gd name="T0" fmla="*/ 0 w 11"/>
                    <a:gd name="T1" fmla="*/ 2 h 6"/>
                    <a:gd name="T2" fmla="*/ 4 w 11"/>
                    <a:gd name="T3" fmla="*/ 0 h 6"/>
                    <a:gd name="T4" fmla="*/ 11 w 11"/>
                    <a:gd name="T5" fmla="*/ 4 h 6"/>
                    <a:gd name="T6" fmla="*/ 7 w 11"/>
                    <a:gd name="T7" fmla="*/ 6 h 6"/>
                    <a:gd name="T8" fmla="*/ 0 w 11"/>
                    <a:gd name="T9" fmla="*/ 2 h 6"/>
                    <a:gd name="T10" fmla="*/ 0 60000 65536"/>
                    <a:gd name="T11" fmla="*/ 0 60000 65536"/>
                    <a:gd name="T12" fmla="*/ 0 60000 65536"/>
                    <a:gd name="T13" fmla="*/ 0 60000 65536"/>
                    <a:gd name="T14" fmla="*/ 0 60000 65536"/>
                    <a:gd name="T15" fmla="*/ 0 w 11"/>
                    <a:gd name="T16" fmla="*/ 0 h 6"/>
                    <a:gd name="T17" fmla="*/ 11 w 11"/>
                    <a:gd name="T18" fmla="*/ 6 h 6"/>
                  </a:gdLst>
                  <a:ahLst/>
                  <a:cxnLst>
                    <a:cxn ang="T10">
                      <a:pos x="T0" y="T1"/>
                    </a:cxn>
                    <a:cxn ang="T11">
                      <a:pos x="T2" y="T3"/>
                    </a:cxn>
                    <a:cxn ang="T12">
                      <a:pos x="T4" y="T5"/>
                    </a:cxn>
                    <a:cxn ang="T13">
                      <a:pos x="T6" y="T7"/>
                    </a:cxn>
                    <a:cxn ang="T14">
                      <a:pos x="T8" y="T9"/>
                    </a:cxn>
                  </a:cxnLst>
                  <a:rect l="T15" t="T16" r="T17" b="T18"/>
                  <a:pathLst>
                    <a:path w="11" h="6">
                      <a:moveTo>
                        <a:pt x="0" y="2"/>
                      </a:moveTo>
                      <a:lnTo>
                        <a:pt x="4" y="0"/>
                      </a:lnTo>
                      <a:lnTo>
                        <a:pt x="11" y="4"/>
                      </a:lnTo>
                      <a:lnTo>
                        <a:pt x="7" y="6"/>
                      </a:lnTo>
                      <a:lnTo>
                        <a:pt x="0" y="2"/>
                      </a:lnTo>
                      <a:close/>
                    </a:path>
                  </a:pathLst>
                </a:custGeom>
                <a:solidFill>
                  <a:srgbClr val="FFFFFF"/>
                </a:solidFill>
                <a:ln w="9525">
                  <a:solidFill>
                    <a:srgbClr val="000000"/>
                  </a:solidFill>
                  <a:round/>
                  <a:headEnd/>
                  <a:tailEnd/>
                </a:ln>
              </xdr:spPr>
            </xdr:sp>
            <xdr:sp macro="" textlink="">
              <xdr:nvSpPr>
                <xdr:cNvPr id="12530" name="Freeform 850"/>
                <xdr:cNvSpPr>
                  <a:spLocks/>
                </xdr:cNvSpPr>
              </xdr:nvSpPr>
              <xdr:spPr bwMode="auto">
                <a:xfrm>
                  <a:off x="1457335" y="2905129"/>
                  <a:ext cx="7" cy="10"/>
                </a:xfrm>
                <a:custGeom>
                  <a:avLst/>
                  <a:gdLst>
                    <a:gd name="T0" fmla="*/ 3 w 7"/>
                    <a:gd name="T1" fmla="*/ 10 h 10"/>
                    <a:gd name="T2" fmla="*/ 7 w 7"/>
                    <a:gd name="T3" fmla="*/ 8 h 10"/>
                    <a:gd name="T4" fmla="*/ 4 w 7"/>
                    <a:gd name="T5" fmla="*/ 0 h 10"/>
                    <a:gd name="T6" fmla="*/ 0 w 7"/>
                    <a:gd name="T7" fmla="*/ 2 h 10"/>
                    <a:gd name="T8" fmla="*/ 3 w 7"/>
                    <a:gd name="T9" fmla="*/ 10 h 10"/>
                    <a:gd name="T10" fmla="*/ 0 60000 65536"/>
                    <a:gd name="T11" fmla="*/ 0 60000 65536"/>
                    <a:gd name="T12" fmla="*/ 0 60000 65536"/>
                    <a:gd name="T13" fmla="*/ 0 60000 65536"/>
                    <a:gd name="T14" fmla="*/ 0 60000 65536"/>
                    <a:gd name="T15" fmla="*/ 0 w 7"/>
                    <a:gd name="T16" fmla="*/ 0 h 10"/>
                    <a:gd name="T17" fmla="*/ 7 w 7"/>
                    <a:gd name="T18" fmla="*/ 10 h 10"/>
                  </a:gdLst>
                  <a:ahLst/>
                  <a:cxnLst>
                    <a:cxn ang="T10">
                      <a:pos x="T0" y="T1"/>
                    </a:cxn>
                    <a:cxn ang="T11">
                      <a:pos x="T2" y="T3"/>
                    </a:cxn>
                    <a:cxn ang="T12">
                      <a:pos x="T4" y="T5"/>
                    </a:cxn>
                    <a:cxn ang="T13">
                      <a:pos x="T6" y="T7"/>
                    </a:cxn>
                    <a:cxn ang="T14">
                      <a:pos x="T8" y="T9"/>
                    </a:cxn>
                  </a:cxnLst>
                  <a:rect l="T15" t="T16" r="T17" b="T18"/>
                  <a:pathLst>
                    <a:path w="7" h="10">
                      <a:moveTo>
                        <a:pt x="3" y="10"/>
                      </a:moveTo>
                      <a:lnTo>
                        <a:pt x="7" y="8"/>
                      </a:lnTo>
                      <a:lnTo>
                        <a:pt x="4" y="0"/>
                      </a:lnTo>
                      <a:lnTo>
                        <a:pt x="0" y="2"/>
                      </a:lnTo>
                      <a:lnTo>
                        <a:pt x="3" y="10"/>
                      </a:lnTo>
                      <a:close/>
                    </a:path>
                  </a:pathLst>
                </a:custGeom>
                <a:solidFill>
                  <a:srgbClr val="FFFFFF"/>
                </a:solidFill>
                <a:ln w="9525">
                  <a:solidFill>
                    <a:srgbClr val="000000"/>
                  </a:solidFill>
                  <a:round/>
                  <a:headEnd/>
                  <a:tailEnd/>
                </a:ln>
              </xdr:spPr>
            </xdr:sp>
            <xdr:sp macro="" textlink="">
              <xdr:nvSpPr>
                <xdr:cNvPr id="12531" name="Freeform 851"/>
                <xdr:cNvSpPr>
                  <a:spLocks/>
                </xdr:cNvSpPr>
              </xdr:nvSpPr>
              <xdr:spPr bwMode="auto">
                <a:xfrm>
                  <a:off x="1457335" y="2905137"/>
                  <a:ext cx="7" cy="6"/>
                </a:xfrm>
                <a:custGeom>
                  <a:avLst/>
                  <a:gdLst>
                    <a:gd name="T0" fmla="*/ 3 w 7"/>
                    <a:gd name="T1" fmla="*/ 2 h 6"/>
                    <a:gd name="T2" fmla="*/ 7 w 7"/>
                    <a:gd name="T3" fmla="*/ 0 h 6"/>
                    <a:gd name="T4" fmla="*/ 4 w 7"/>
                    <a:gd name="T5" fmla="*/ 4 h 6"/>
                    <a:gd name="T6" fmla="*/ 0 w 7"/>
                    <a:gd name="T7" fmla="*/ 6 h 6"/>
                    <a:gd name="T8" fmla="*/ 3 w 7"/>
                    <a:gd name="T9" fmla="*/ 2 h 6"/>
                    <a:gd name="T10" fmla="*/ 0 60000 65536"/>
                    <a:gd name="T11" fmla="*/ 0 60000 65536"/>
                    <a:gd name="T12" fmla="*/ 0 60000 65536"/>
                    <a:gd name="T13" fmla="*/ 0 60000 65536"/>
                    <a:gd name="T14" fmla="*/ 0 60000 65536"/>
                    <a:gd name="T15" fmla="*/ 0 w 7"/>
                    <a:gd name="T16" fmla="*/ 0 h 6"/>
                    <a:gd name="T17" fmla="*/ 7 w 7"/>
                    <a:gd name="T18" fmla="*/ 6 h 6"/>
                  </a:gdLst>
                  <a:ahLst/>
                  <a:cxnLst>
                    <a:cxn ang="T10">
                      <a:pos x="T0" y="T1"/>
                    </a:cxn>
                    <a:cxn ang="T11">
                      <a:pos x="T2" y="T3"/>
                    </a:cxn>
                    <a:cxn ang="T12">
                      <a:pos x="T4" y="T5"/>
                    </a:cxn>
                    <a:cxn ang="T13">
                      <a:pos x="T6" y="T7"/>
                    </a:cxn>
                    <a:cxn ang="T14">
                      <a:pos x="T8" y="T9"/>
                    </a:cxn>
                  </a:cxnLst>
                  <a:rect l="T15" t="T16" r="T17" b="T18"/>
                  <a:pathLst>
                    <a:path w="7" h="6">
                      <a:moveTo>
                        <a:pt x="3" y="2"/>
                      </a:moveTo>
                      <a:lnTo>
                        <a:pt x="7" y="0"/>
                      </a:lnTo>
                      <a:lnTo>
                        <a:pt x="4" y="4"/>
                      </a:lnTo>
                      <a:lnTo>
                        <a:pt x="0" y="6"/>
                      </a:lnTo>
                      <a:lnTo>
                        <a:pt x="3" y="2"/>
                      </a:lnTo>
                      <a:close/>
                    </a:path>
                  </a:pathLst>
                </a:custGeom>
                <a:solidFill>
                  <a:srgbClr val="FFFFFF"/>
                </a:solidFill>
                <a:ln w="9525">
                  <a:solidFill>
                    <a:srgbClr val="000000"/>
                  </a:solidFill>
                  <a:round/>
                  <a:headEnd/>
                  <a:tailEnd/>
                </a:ln>
              </xdr:spPr>
            </xdr:sp>
          </xdr:grpSp>
          <xdr:grpSp>
            <xdr:nvGrpSpPr>
              <xdr:cNvPr id="12452" name="Group 771"/>
              <xdr:cNvGrpSpPr>
                <a:grpSpLocks/>
              </xdr:cNvGrpSpPr>
            </xdr:nvGrpSpPr>
            <xdr:grpSpPr bwMode="auto">
              <a:xfrm>
                <a:off x="2352675" y="15916275"/>
                <a:ext cx="161925" cy="171450"/>
                <a:chOff x="752475" y="2524125"/>
                <a:chExt cx="17" cy="18"/>
              </a:xfrm>
            </xdr:grpSpPr>
            <xdr:sp macro="" textlink="">
              <xdr:nvSpPr>
                <xdr:cNvPr id="12522" name="Freeform 842"/>
                <xdr:cNvSpPr>
                  <a:spLocks/>
                </xdr:cNvSpPr>
              </xdr:nvSpPr>
              <xdr:spPr bwMode="auto">
                <a:xfrm>
                  <a:off x="752479" y="2524125"/>
                  <a:ext cx="13" cy="16"/>
                </a:xfrm>
                <a:custGeom>
                  <a:avLst/>
                  <a:gdLst>
                    <a:gd name="T0" fmla="*/ 0 w 59"/>
                    <a:gd name="T1" fmla="*/ 0 h 76"/>
                    <a:gd name="T2" fmla="*/ 0 w 59"/>
                    <a:gd name="T3" fmla="*/ 0 h 76"/>
                    <a:gd name="T4" fmla="*/ 0 w 59"/>
                    <a:gd name="T5" fmla="*/ 0 h 76"/>
                    <a:gd name="T6" fmla="*/ 0 w 59"/>
                    <a:gd name="T7" fmla="*/ 0 h 76"/>
                    <a:gd name="T8" fmla="*/ 0 w 59"/>
                    <a:gd name="T9" fmla="*/ 0 h 76"/>
                    <a:gd name="T10" fmla="*/ 0 w 59"/>
                    <a:gd name="T11" fmla="*/ 0 h 76"/>
                    <a:gd name="T12" fmla="*/ 0 w 59"/>
                    <a:gd name="T13" fmla="*/ 0 h 76"/>
                    <a:gd name="T14" fmla="*/ 0 60000 65536"/>
                    <a:gd name="T15" fmla="*/ 0 60000 65536"/>
                    <a:gd name="T16" fmla="*/ 0 60000 65536"/>
                    <a:gd name="T17" fmla="*/ 0 60000 65536"/>
                    <a:gd name="T18" fmla="*/ 0 60000 65536"/>
                    <a:gd name="T19" fmla="*/ 0 60000 65536"/>
                    <a:gd name="T20" fmla="*/ 0 60000 65536"/>
                    <a:gd name="T21" fmla="*/ 0 w 59"/>
                    <a:gd name="T22" fmla="*/ 0 h 76"/>
                    <a:gd name="T23" fmla="*/ 59 w 59"/>
                    <a:gd name="T24" fmla="*/ 76 h 76"/>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9" h="76">
                      <a:moveTo>
                        <a:pt x="45" y="76"/>
                      </a:moveTo>
                      <a:lnTo>
                        <a:pt x="59" y="58"/>
                      </a:lnTo>
                      <a:lnTo>
                        <a:pt x="45" y="18"/>
                      </a:lnTo>
                      <a:lnTo>
                        <a:pt x="13" y="0"/>
                      </a:lnTo>
                      <a:lnTo>
                        <a:pt x="0" y="23"/>
                      </a:lnTo>
                      <a:lnTo>
                        <a:pt x="13" y="58"/>
                      </a:lnTo>
                      <a:lnTo>
                        <a:pt x="45" y="76"/>
                      </a:lnTo>
                      <a:close/>
                    </a:path>
                  </a:pathLst>
                </a:custGeom>
                <a:solidFill>
                  <a:srgbClr val="FFFFFF"/>
                </a:solidFill>
                <a:ln w="9525">
                  <a:solidFill>
                    <a:srgbClr val="000000"/>
                  </a:solidFill>
                  <a:round/>
                  <a:headEnd/>
                  <a:tailEnd/>
                </a:ln>
              </xdr:spPr>
            </xdr:sp>
            <xdr:sp macro="" textlink="">
              <xdr:nvSpPr>
                <xdr:cNvPr id="12523" name="Freeform 843"/>
                <xdr:cNvSpPr>
                  <a:spLocks/>
                </xdr:cNvSpPr>
              </xdr:nvSpPr>
              <xdr:spPr bwMode="auto">
                <a:xfrm>
                  <a:off x="752475" y="2524127"/>
                  <a:ext cx="13" cy="16"/>
                </a:xfrm>
                <a:custGeom>
                  <a:avLst/>
                  <a:gdLst>
                    <a:gd name="T0" fmla="*/ 0 w 59"/>
                    <a:gd name="T1" fmla="*/ 0 h 76"/>
                    <a:gd name="T2" fmla="*/ 0 w 59"/>
                    <a:gd name="T3" fmla="*/ 0 h 76"/>
                    <a:gd name="T4" fmla="*/ 0 w 59"/>
                    <a:gd name="T5" fmla="*/ 0 h 76"/>
                    <a:gd name="T6" fmla="*/ 0 w 59"/>
                    <a:gd name="T7" fmla="*/ 0 h 76"/>
                    <a:gd name="T8" fmla="*/ 0 w 59"/>
                    <a:gd name="T9" fmla="*/ 0 h 76"/>
                    <a:gd name="T10" fmla="*/ 0 w 59"/>
                    <a:gd name="T11" fmla="*/ 0 h 76"/>
                    <a:gd name="T12" fmla="*/ 0 w 59"/>
                    <a:gd name="T13" fmla="*/ 0 h 76"/>
                    <a:gd name="T14" fmla="*/ 0 60000 65536"/>
                    <a:gd name="T15" fmla="*/ 0 60000 65536"/>
                    <a:gd name="T16" fmla="*/ 0 60000 65536"/>
                    <a:gd name="T17" fmla="*/ 0 60000 65536"/>
                    <a:gd name="T18" fmla="*/ 0 60000 65536"/>
                    <a:gd name="T19" fmla="*/ 0 60000 65536"/>
                    <a:gd name="T20" fmla="*/ 0 60000 65536"/>
                    <a:gd name="T21" fmla="*/ 0 w 59"/>
                    <a:gd name="T22" fmla="*/ 0 h 76"/>
                    <a:gd name="T23" fmla="*/ 59 w 59"/>
                    <a:gd name="T24" fmla="*/ 76 h 76"/>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9" h="76">
                      <a:moveTo>
                        <a:pt x="45" y="76"/>
                      </a:moveTo>
                      <a:lnTo>
                        <a:pt x="59" y="58"/>
                      </a:lnTo>
                      <a:lnTo>
                        <a:pt x="45" y="18"/>
                      </a:lnTo>
                      <a:lnTo>
                        <a:pt x="13" y="0"/>
                      </a:lnTo>
                      <a:lnTo>
                        <a:pt x="0" y="23"/>
                      </a:lnTo>
                      <a:lnTo>
                        <a:pt x="13" y="58"/>
                      </a:lnTo>
                      <a:lnTo>
                        <a:pt x="45" y="76"/>
                      </a:lnTo>
                      <a:close/>
                    </a:path>
                  </a:pathLst>
                </a:custGeom>
                <a:solidFill>
                  <a:srgbClr val="FFFFFF"/>
                </a:solidFill>
                <a:ln w="9525">
                  <a:solidFill>
                    <a:srgbClr val="000000"/>
                  </a:solidFill>
                  <a:round/>
                  <a:headEnd/>
                  <a:tailEnd/>
                </a:ln>
              </xdr:spPr>
            </xdr:sp>
            <xdr:sp macro="" textlink="">
              <xdr:nvSpPr>
                <xdr:cNvPr id="12524" name="Freeform 844"/>
                <xdr:cNvSpPr>
                  <a:spLocks/>
                </xdr:cNvSpPr>
              </xdr:nvSpPr>
              <xdr:spPr bwMode="auto">
                <a:xfrm>
                  <a:off x="752478" y="2524125"/>
                  <a:ext cx="11" cy="6"/>
                </a:xfrm>
                <a:custGeom>
                  <a:avLst/>
                  <a:gdLst>
                    <a:gd name="T0" fmla="*/ 0 w 11"/>
                    <a:gd name="T1" fmla="*/ 2 h 6"/>
                    <a:gd name="T2" fmla="*/ 4 w 11"/>
                    <a:gd name="T3" fmla="*/ 0 h 6"/>
                    <a:gd name="T4" fmla="*/ 11 w 11"/>
                    <a:gd name="T5" fmla="*/ 4 h 6"/>
                    <a:gd name="T6" fmla="*/ 7 w 11"/>
                    <a:gd name="T7" fmla="*/ 6 h 6"/>
                    <a:gd name="T8" fmla="*/ 0 w 11"/>
                    <a:gd name="T9" fmla="*/ 2 h 6"/>
                    <a:gd name="T10" fmla="*/ 0 60000 65536"/>
                    <a:gd name="T11" fmla="*/ 0 60000 65536"/>
                    <a:gd name="T12" fmla="*/ 0 60000 65536"/>
                    <a:gd name="T13" fmla="*/ 0 60000 65536"/>
                    <a:gd name="T14" fmla="*/ 0 60000 65536"/>
                    <a:gd name="T15" fmla="*/ 0 w 11"/>
                    <a:gd name="T16" fmla="*/ 0 h 6"/>
                    <a:gd name="T17" fmla="*/ 11 w 11"/>
                    <a:gd name="T18" fmla="*/ 6 h 6"/>
                  </a:gdLst>
                  <a:ahLst/>
                  <a:cxnLst>
                    <a:cxn ang="T10">
                      <a:pos x="T0" y="T1"/>
                    </a:cxn>
                    <a:cxn ang="T11">
                      <a:pos x="T2" y="T3"/>
                    </a:cxn>
                    <a:cxn ang="T12">
                      <a:pos x="T4" y="T5"/>
                    </a:cxn>
                    <a:cxn ang="T13">
                      <a:pos x="T6" y="T7"/>
                    </a:cxn>
                    <a:cxn ang="T14">
                      <a:pos x="T8" y="T9"/>
                    </a:cxn>
                  </a:cxnLst>
                  <a:rect l="T15" t="T16" r="T17" b="T18"/>
                  <a:pathLst>
                    <a:path w="11" h="6">
                      <a:moveTo>
                        <a:pt x="0" y="2"/>
                      </a:moveTo>
                      <a:lnTo>
                        <a:pt x="4" y="0"/>
                      </a:lnTo>
                      <a:lnTo>
                        <a:pt x="11" y="4"/>
                      </a:lnTo>
                      <a:lnTo>
                        <a:pt x="7" y="6"/>
                      </a:lnTo>
                      <a:lnTo>
                        <a:pt x="0" y="2"/>
                      </a:lnTo>
                      <a:close/>
                    </a:path>
                  </a:pathLst>
                </a:custGeom>
                <a:solidFill>
                  <a:srgbClr val="FFFFFF"/>
                </a:solidFill>
                <a:ln w="9525">
                  <a:solidFill>
                    <a:srgbClr val="000000"/>
                  </a:solidFill>
                  <a:round/>
                  <a:headEnd/>
                  <a:tailEnd/>
                </a:ln>
              </xdr:spPr>
            </xdr:sp>
            <xdr:sp macro="" textlink="">
              <xdr:nvSpPr>
                <xdr:cNvPr id="12525" name="Freeform 845"/>
                <xdr:cNvSpPr>
                  <a:spLocks/>
                </xdr:cNvSpPr>
              </xdr:nvSpPr>
              <xdr:spPr bwMode="auto">
                <a:xfrm>
                  <a:off x="752485" y="2524129"/>
                  <a:ext cx="7" cy="10"/>
                </a:xfrm>
                <a:custGeom>
                  <a:avLst/>
                  <a:gdLst>
                    <a:gd name="T0" fmla="*/ 3 w 7"/>
                    <a:gd name="T1" fmla="*/ 10 h 10"/>
                    <a:gd name="T2" fmla="*/ 7 w 7"/>
                    <a:gd name="T3" fmla="*/ 8 h 10"/>
                    <a:gd name="T4" fmla="*/ 4 w 7"/>
                    <a:gd name="T5" fmla="*/ 0 h 10"/>
                    <a:gd name="T6" fmla="*/ 0 w 7"/>
                    <a:gd name="T7" fmla="*/ 2 h 10"/>
                    <a:gd name="T8" fmla="*/ 3 w 7"/>
                    <a:gd name="T9" fmla="*/ 10 h 10"/>
                    <a:gd name="T10" fmla="*/ 0 60000 65536"/>
                    <a:gd name="T11" fmla="*/ 0 60000 65536"/>
                    <a:gd name="T12" fmla="*/ 0 60000 65536"/>
                    <a:gd name="T13" fmla="*/ 0 60000 65536"/>
                    <a:gd name="T14" fmla="*/ 0 60000 65536"/>
                    <a:gd name="T15" fmla="*/ 0 w 7"/>
                    <a:gd name="T16" fmla="*/ 0 h 10"/>
                    <a:gd name="T17" fmla="*/ 7 w 7"/>
                    <a:gd name="T18" fmla="*/ 10 h 10"/>
                  </a:gdLst>
                  <a:ahLst/>
                  <a:cxnLst>
                    <a:cxn ang="T10">
                      <a:pos x="T0" y="T1"/>
                    </a:cxn>
                    <a:cxn ang="T11">
                      <a:pos x="T2" y="T3"/>
                    </a:cxn>
                    <a:cxn ang="T12">
                      <a:pos x="T4" y="T5"/>
                    </a:cxn>
                    <a:cxn ang="T13">
                      <a:pos x="T6" y="T7"/>
                    </a:cxn>
                    <a:cxn ang="T14">
                      <a:pos x="T8" y="T9"/>
                    </a:cxn>
                  </a:cxnLst>
                  <a:rect l="T15" t="T16" r="T17" b="T18"/>
                  <a:pathLst>
                    <a:path w="7" h="10">
                      <a:moveTo>
                        <a:pt x="3" y="10"/>
                      </a:moveTo>
                      <a:lnTo>
                        <a:pt x="7" y="8"/>
                      </a:lnTo>
                      <a:lnTo>
                        <a:pt x="4" y="0"/>
                      </a:lnTo>
                      <a:lnTo>
                        <a:pt x="0" y="2"/>
                      </a:lnTo>
                      <a:lnTo>
                        <a:pt x="3" y="10"/>
                      </a:lnTo>
                      <a:close/>
                    </a:path>
                  </a:pathLst>
                </a:custGeom>
                <a:solidFill>
                  <a:srgbClr val="FFFFFF"/>
                </a:solidFill>
                <a:ln w="9525">
                  <a:solidFill>
                    <a:srgbClr val="000000"/>
                  </a:solidFill>
                  <a:round/>
                  <a:headEnd/>
                  <a:tailEnd/>
                </a:ln>
              </xdr:spPr>
            </xdr:sp>
            <xdr:sp macro="" textlink="">
              <xdr:nvSpPr>
                <xdr:cNvPr id="12526" name="Freeform 846"/>
                <xdr:cNvSpPr>
                  <a:spLocks/>
                </xdr:cNvSpPr>
              </xdr:nvSpPr>
              <xdr:spPr bwMode="auto">
                <a:xfrm>
                  <a:off x="752485" y="2524137"/>
                  <a:ext cx="7" cy="6"/>
                </a:xfrm>
                <a:custGeom>
                  <a:avLst/>
                  <a:gdLst>
                    <a:gd name="T0" fmla="*/ 3 w 7"/>
                    <a:gd name="T1" fmla="*/ 2 h 6"/>
                    <a:gd name="T2" fmla="*/ 7 w 7"/>
                    <a:gd name="T3" fmla="*/ 0 h 6"/>
                    <a:gd name="T4" fmla="*/ 4 w 7"/>
                    <a:gd name="T5" fmla="*/ 4 h 6"/>
                    <a:gd name="T6" fmla="*/ 0 w 7"/>
                    <a:gd name="T7" fmla="*/ 6 h 6"/>
                    <a:gd name="T8" fmla="*/ 3 w 7"/>
                    <a:gd name="T9" fmla="*/ 2 h 6"/>
                    <a:gd name="T10" fmla="*/ 0 60000 65536"/>
                    <a:gd name="T11" fmla="*/ 0 60000 65536"/>
                    <a:gd name="T12" fmla="*/ 0 60000 65536"/>
                    <a:gd name="T13" fmla="*/ 0 60000 65536"/>
                    <a:gd name="T14" fmla="*/ 0 60000 65536"/>
                    <a:gd name="T15" fmla="*/ 0 w 7"/>
                    <a:gd name="T16" fmla="*/ 0 h 6"/>
                    <a:gd name="T17" fmla="*/ 7 w 7"/>
                    <a:gd name="T18" fmla="*/ 6 h 6"/>
                  </a:gdLst>
                  <a:ahLst/>
                  <a:cxnLst>
                    <a:cxn ang="T10">
                      <a:pos x="T0" y="T1"/>
                    </a:cxn>
                    <a:cxn ang="T11">
                      <a:pos x="T2" y="T3"/>
                    </a:cxn>
                    <a:cxn ang="T12">
                      <a:pos x="T4" y="T5"/>
                    </a:cxn>
                    <a:cxn ang="T13">
                      <a:pos x="T6" y="T7"/>
                    </a:cxn>
                    <a:cxn ang="T14">
                      <a:pos x="T8" y="T9"/>
                    </a:cxn>
                  </a:cxnLst>
                  <a:rect l="T15" t="T16" r="T17" b="T18"/>
                  <a:pathLst>
                    <a:path w="7" h="6">
                      <a:moveTo>
                        <a:pt x="3" y="2"/>
                      </a:moveTo>
                      <a:lnTo>
                        <a:pt x="7" y="0"/>
                      </a:lnTo>
                      <a:lnTo>
                        <a:pt x="4" y="4"/>
                      </a:lnTo>
                      <a:lnTo>
                        <a:pt x="0" y="6"/>
                      </a:lnTo>
                      <a:lnTo>
                        <a:pt x="3" y="2"/>
                      </a:lnTo>
                      <a:close/>
                    </a:path>
                  </a:pathLst>
                </a:custGeom>
                <a:solidFill>
                  <a:srgbClr val="FFFFFF"/>
                </a:solidFill>
                <a:ln w="9525">
                  <a:solidFill>
                    <a:srgbClr val="000000"/>
                  </a:solidFill>
                  <a:round/>
                  <a:headEnd/>
                  <a:tailEnd/>
                </a:ln>
              </xdr:spPr>
            </xdr:sp>
          </xdr:grpSp>
          <xdr:grpSp>
            <xdr:nvGrpSpPr>
              <xdr:cNvPr id="12453" name="Group 769"/>
              <xdr:cNvGrpSpPr>
                <a:grpSpLocks/>
              </xdr:cNvGrpSpPr>
            </xdr:nvGrpSpPr>
            <xdr:grpSpPr bwMode="auto">
              <a:xfrm>
                <a:off x="2352675" y="17373600"/>
                <a:ext cx="161925" cy="171450"/>
                <a:chOff x="704850" y="3962400"/>
                <a:chExt cx="17" cy="18"/>
              </a:xfrm>
            </xdr:grpSpPr>
            <xdr:sp macro="" textlink="">
              <xdr:nvSpPr>
                <xdr:cNvPr id="12517" name="Freeform 852"/>
                <xdr:cNvSpPr>
                  <a:spLocks/>
                </xdr:cNvSpPr>
              </xdr:nvSpPr>
              <xdr:spPr bwMode="auto">
                <a:xfrm>
                  <a:off x="704854" y="3962400"/>
                  <a:ext cx="13" cy="16"/>
                </a:xfrm>
                <a:custGeom>
                  <a:avLst/>
                  <a:gdLst>
                    <a:gd name="T0" fmla="*/ 0 w 59"/>
                    <a:gd name="T1" fmla="*/ 0 h 76"/>
                    <a:gd name="T2" fmla="*/ 0 w 59"/>
                    <a:gd name="T3" fmla="*/ 0 h 76"/>
                    <a:gd name="T4" fmla="*/ 0 w 59"/>
                    <a:gd name="T5" fmla="*/ 0 h 76"/>
                    <a:gd name="T6" fmla="*/ 0 w 59"/>
                    <a:gd name="T7" fmla="*/ 0 h 76"/>
                    <a:gd name="T8" fmla="*/ 0 w 59"/>
                    <a:gd name="T9" fmla="*/ 0 h 76"/>
                    <a:gd name="T10" fmla="*/ 0 w 59"/>
                    <a:gd name="T11" fmla="*/ 0 h 76"/>
                    <a:gd name="T12" fmla="*/ 0 w 59"/>
                    <a:gd name="T13" fmla="*/ 0 h 76"/>
                    <a:gd name="T14" fmla="*/ 0 60000 65536"/>
                    <a:gd name="T15" fmla="*/ 0 60000 65536"/>
                    <a:gd name="T16" fmla="*/ 0 60000 65536"/>
                    <a:gd name="T17" fmla="*/ 0 60000 65536"/>
                    <a:gd name="T18" fmla="*/ 0 60000 65536"/>
                    <a:gd name="T19" fmla="*/ 0 60000 65536"/>
                    <a:gd name="T20" fmla="*/ 0 60000 65536"/>
                    <a:gd name="T21" fmla="*/ 0 w 59"/>
                    <a:gd name="T22" fmla="*/ 0 h 76"/>
                    <a:gd name="T23" fmla="*/ 59 w 59"/>
                    <a:gd name="T24" fmla="*/ 76 h 76"/>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9" h="76">
                      <a:moveTo>
                        <a:pt x="45" y="76"/>
                      </a:moveTo>
                      <a:lnTo>
                        <a:pt x="59" y="58"/>
                      </a:lnTo>
                      <a:lnTo>
                        <a:pt x="45" y="18"/>
                      </a:lnTo>
                      <a:lnTo>
                        <a:pt x="13" y="0"/>
                      </a:lnTo>
                      <a:lnTo>
                        <a:pt x="0" y="23"/>
                      </a:lnTo>
                      <a:lnTo>
                        <a:pt x="13" y="58"/>
                      </a:lnTo>
                      <a:lnTo>
                        <a:pt x="45" y="76"/>
                      </a:lnTo>
                      <a:close/>
                    </a:path>
                  </a:pathLst>
                </a:custGeom>
                <a:solidFill>
                  <a:srgbClr val="FFFFFF"/>
                </a:solidFill>
                <a:ln w="9525">
                  <a:solidFill>
                    <a:srgbClr val="000000"/>
                  </a:solidFill>
                  <a:round/>
                  <a:headEnd/>
                  <a:tailEnd/>
                </a:ln>
              </xdr:spPr>
            </xdr:sp>
            <xdr:sp macro="" textlink="">
              <xdr:nvSpPr>
                <xdr:cNvPr id="12518" name="Freeform 853"/>
                <xdr:cNvSpPr>
                  <a:spLocks/>
                </xdr:cNvSpPr>
              </xdr:nvSpPr>
              <xdr:spPr bwMode="auto">
                <a:xfrm>
                  <a:off x="704850" y="3962402"/>
                  <a:ext cx="13" cy="16"/>
                </a:xfrm>
                <a:custGeom>
                  <a:avLst/>
                  <a:gdLst>
                    <a:gd name="T0" fmla="*/ 0 w 59"/>
                    <a:gd name="T1" fmla="*/ 0 h 76"/>
                    <a:gd name="T2" fmla="*/ 0 w 59"/>
                    <a:gd name="T3" fmla="*/ 0 h 76"/>
                    <a:gd name="T4" fmla="*/ 0 w 59"/>
                    <a:gd name="T5" fmla="*/ 0 h 76"/>
                    <a:gd name="T6" fmla="*/ 0 w 59"/>
                    <a:gd name="T7" fmla="*/ 0 h 76"/>
                    <a:gd name="T8" fmla="*/ 0 w 59"/>
                    <a:gd name="T9" fmla="*/ 0 h 76"/>
                    <a:gd name="T10" fmla="*/ 0 w 59"/>
                    <a:gd name="T11" fmla="*/ 0 h 76"/>
                    <a:gd name="T12" fmla="*/ 0 w 59"/>
                    <a:gd name="T13" fmla="*/ 0 h 76"/>
                    <a:gd name="T14" fmla="*/ 0 60000 65536"/>
                    <a:gd name="T15" fmla="*/ 0 60000 65536"/>
                    <a:gd name="T16" fmla="*/ 0 60000 65536"/>
                    <a:gd name="T17" fmla="*/ 0 60000 65536"/>
                    <a:gd name="T18" fmla="*/ 0 60000 65536"/>
                    <a:gd name="T19" fmla="*/ 0 60000 65536"/>
                    <a:gd name="T20" fmla="*/ 0 60000 65536"/>
                    <a:gd name="T21" fmla="*/ 0 w 59"/>
                    <a:gd name="T22" fmla="*/ 0 h 76"/>
                    <a:gd name="T23" fmla="*/ 59 w 59"/>
                    <a:gd name="T24" fmla="*/ 76 h 76"/>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9" h="76">
                      <a:moveTo>
                        <a:pt x="45" y="76"/>
                      </a:moveTo>
                      <a:lnTo>
                        <a:pt x="59" y="58"/>
                      </a:lnTo>
                      <a:lnTo>
                        <a:pt x="45" y="18"/>
                      </a:lnTo>
                      <a:lnTo>
                        <a:pt x="13" y="0"/>
                      </a:lnTo>
                      <a:lnTo>
                        <a:pt x="0" y="23"/>
                      </a:lnTo>
                      <a:lnTo>
                        <a:pt x="13" y="58"/>
                      </a:lnTo>
                      <a:lnTo>
                        <a:pt x="45" y="76"/>
                      </a:lnTo>
                      <a:close/>
                    </a:path>
                  </a:pathLst>
                </a:custGeom>
                <a:solidFill>
                  <a:srgbClr val="FFFFFF"/>
                </a:solidFill>
                <a:ln w="9525">
                  <a:solidFill>
                    <a:srgbClr val="000000"/>
                  </a:solidFill>
                  <a:round/>
                  <a:headEnd/>
                  <a:tailEnd/>
                </a:ln>
              </xdr:spPr>
            </xdr:sp>
            <xdr:sp macro="" textlink="">
              <xdr:nvSpPr>
                <xdr:cNvPr id="12519" name="Freeform 854"/>
                <xdr:cNvSpPr>
                  <a:spLocks/>
                </xdr:cNvSpPr>
              </xdr:nvSpPr>
              <xdr:spPr bwMode="auto">
                <a:xfrm>
                  <a:off x="704853" y="3962400"/>
                  <a:ext cx="11" cy="6"/>
                </a:xfrm>
                <a:custGeom>
                  <a:avLst/>
                  <a:gdLst>
                    <a:gd name="T0" fmla="*/ 0 w 11"/>
                    <a:gd name="T1" fmla="*/ 2 h 6"/>
                    <a:gd name="T2" fmla="*/ 4 w 11"/>
                    <a:gd name="T3" fmla="*/ 0 h 6"/>
                    <a:gd name="T4" fmla="*/ 11 w 11"/>
                    <a:gd name="T5" fmla="*/ 4 h 6"/>
                    <a:gd name="T6" fmla="*/ 7 w 11"/>
                    <a:gd name="T7" fmla="*/ 6 h 6"/>
                    <a:gd name="T8" fmla="*/ 0 w 11"/>
                    <a:gd name="T9" fmla="*/ 2 h 6"/>
                    <a:gd name="T10" fmla="*/ 0 60000 65536"/>
                    <a:gd name="T11" fmla="*/ 0 60000 65536"/>
                    <a:gd name="T12" fmla="*/ 0 60000 65536"/>
                    <a:gd name="T13" fmla="*/ 0 60000 65536"/>
                    <a:gd name="T14" fmla="*/ 0 60000 65536"/>
                    <a:gd name="T15" fmla="*/ 0 w 11"/>
                    <a:gd name="T16" fmla="*/ 0 h 6"/>
                    <a:gd name="T17" fmla="*/ 11 w 11"/>
                    <a:gd name="T18" fmla="*/ 6 h 6"/>
                  </a:gdLst>
                  <a:ahLst/>
                  <a:cxnLst>
                    <a:cxn ang="T10">
                      <a:pos x="T0" y="T1"/>
                    </a:cxn>
                    <a:cxn ang="T11">
                      <a:pos x="T2" y="T3"/>
                    </a:cxn>
                    <a:cxn ang="T12">
                      <a:pos x="T4" y="T5"/>
                    </a:cxn>
                    <a:cxn ang="T13">
                      <a:pos x="T6" y="T7"/>
                    </a:cxn>
                    <a:cxn ang="T14">
                      <a:pos x="T8" y="T9"/>
                    </a:cxn>
                  </a:cxnLst>
                  <a:rect l="T15" t="T16" r="T17" b="T18"/>
                  <a:pathLst>
                    <a:path w="11" h="6">
                      <a:moveTo>
                        <a:pt x="0" y="2"/>
                      </a:moveTo>
                      <a:lnTo>
                        <a:pt x="4" y="0"/>
                      </a:lnTo>
                      <a:lnTo>
                        <a:pt x="11" y="4"/>
                      </a:lnTo>
                      <a:lnTo>
                        <a:pt x="7" y="6"/>
                      </a:lnTo>
                      <a:lnTo>
                        <a:pt x="0" y="2"/>
                      </a:lnTo>
                      <a:close/>
                    </a:path>
                  </a:pathLst>
                </a:custGeom>
                <a:solidFill>
                  <a:srgbClr val="FFFFFF"/>
                </a:solidFill>
                <a:ln w="9525">
                  <a:solidFill>
                    <a:srgbClr val="000000"/>
                  </a:solidFill>
                  <a:round/>
                  <a:headEnd/>
                  <a:tailEnd/>
                </a:ln>
              </xdr:spPr>
            </xdr:sp>
            <xdr:sp macro="" textlink="">
              <xdr:nvSpPr>
                <xdr:cNvPr id="12520" name="Freeform 855"/>
                <xdr:cNvSpPr>
                  <a:spLocks/>
                </xdr:cNvSpPr>
              </xdr:nvSpPr>
              <xdr:spPr bwMode="auto">
                <a:xfrm>
                  <a:off x="704860" y="3962404"/>
                  <a:ext cx="7" cy="10"/>
                </a:xfrm>
                <a:custGeom>
                  <a:avLst/>
                  <a:gdLst>
                    <a:gd name="T0" fmla="*/ 3 w 7"/>
                    <a:gd name="T1" fmla="*/ 10 h 10"/>
                    <a:gd name="T2" fmla="*/ 7 w 7"/>
                    <a:gd name="T3" fmla="*/ 8 h 10"/>
                    <a:gd name="T4" fmla="*/ 4 w 7"/>
                    <a:gd name="T5" fmla="*/ 0 h 10"/>
                    <a:gd name="T6" fmla="*/ 0 w 7"/>
                    <a:gd name="T7" fmla="*/ 2 h 10"/>
                    <a:gd name="T8" fmla="*/ 3 w 7"/>
                    <a:gd name="T9" fmla="*/ 10 h 10"/>
                    <a:gd name="T10" fmla="*/ 0 60000 65536"/>
                    <a:gd name="T11" fmla="*/ 0 60000 65536"/>
                    <a:gd name="T12" fmla="*/ 0 60000 65536"/>
                    <a:gd name="T13" fmla="*/ 0 60000 65536"/>
                    <a:gd name="T14" fmla="*/ 0 60000 65536"/>
                    <a:gd name="T15" fmla="*/ 0 w 7"/>
                    <a:gd name="T16" fmla="*/ 0 h 10"/>
                    <a:gd name="T17" fmla="*/ 7 w 7"/>
                    <a:gd name="T18" fmla="*/ 10 h 10"/>
                  </a:gdLst>
                  <a:ahLst/>
                  <a:cxnLst>
                    <a:cxn ang="T10">
                      <a:pos x="T0" y="T1"/>
                    </a:cxn>
                    <a:cxn ang="T11">
                      <a:pos x="T2" y="T3"/>
                    </a:cxn>
                    <a:cxn ang="T12">
                      <a:pos x="T4" y="T5"/>
                    </a:cxn>
                    <a:cxn ang="T13">
                      <a:pos x="T6" y="T7"/>
                    </a:cxn>
                    <a:cxn ang="T14">
                      <a:pos x="T8" y="T9"/>
                    </a:cxn>
                  </a:cxnLst>
                  <a:rect l="T15" t="T16" r="T17" b="T18"/>
                  <a:pathLst>
                    <a:path w="7" h="10">
                      <a:moveTo>
                        <a:pt x="3" y="10"/>
                      </a:moveTo>
                      <a:lnTo>
                        <a:pt x="7" y="8"/>
                      </a:lnTo>
                      <a:lnTo>
                        <a:pt x="4" y="0"/>
                      </a:lnTo>
                      <a:lnTo>
                        <a:pt x="0" y="2"/>
                      </a:lnTo>
                      <a:lnTo>
                        <a:pt x="3" y="10"/>
                      </a:lnTo>
                      <a:close/>
                    </a:path>
                  </a:pathLst>
                </a:custGeom>
                <a:solidFill>
                  <a:srgbClr val="FFFFFF"/>
                </a:solidFill>
                <a:ln w="9525">
                  <a:solidFill>
                    <a:srgbClr val="000000"/>
                  </a:solidFill>
                  <a:round/>
                  <a:headEnd/>
                  <a:tailEnd/>
                </a:ln>
              </xdr:spPr>
            </xdr:sp>
            <xdr:sp macro="" textlink="">
              <xdr:nvSpPr>
                <xdr:cNvPr id="12521" name="Freeform 856"/>
                <xdr:cNvSpPr>
                  <a:spLocks/>
                </xdr:cNvSpPr>
              </xdr:nvSpPr>
              <xdr:spPr bwMode="auto">
                <a:xfrm>
                  <a:off x="704860" y="3962412"/>
                  <a:ext cx="7" cy="6"/>
                </a:xfrm>
                <a:custGeom>
                  <a:avLst/>
                  <a:gdLst>
                    <a:gd name="T0" fmla="*/ 3 w 7"/>
                    <a:gd name="T1" fmla="*/ 2 h 6"/>
                    <a:gd name="T2" fmla="*/ 7 w 7"/>
                    <a:gd name="T3" fmla="*/ 0 h 6"/>
                    <a:gd name="T4" fmla="*/ 4 w 7"/>
                    <a:gd name="T5" fmla="*/ 4 h 6"/>
                    <a:gd name="T6" fmla="*/ 0 w 7"/>
                    <a:gd name="T7" fmla="*/ 6 h 6"/>
                    <a:gd name="T8" fmla="*/ 3 w 7"/>
                    <a:gd name="T9" fmla="*/ 2 h 6"/>
                    <a:gd name="T10" fmla="*/ 0 60000 65536"/>
                    <a:gd name="T11" fmla="*/ 0 60000 65536"/>
                    <a:gd name="T12" fmla="*/ 0 60000 65536"/>
                    <a:gd name="T13" fmla="*/ 0 60000 65536"/>
                    <a:gd name="T14" fmla="*/ 0 60000 65536"/>
                    <a:gd name="T15" fmla="*/ 0 w 7"/>
                    <a:gd name="T16" fmla="*/ 0 h 6"/>
                    <a:gd name="T17" fmla="*/ 7 w 7"/>
                    <a:gd name="T18" fmla="*/ 6 h 6"/>
                  </a:gdLst>
                  <a:ahLst/>
                  <a:cxnLst>
                    <a:cxn ang="T10">
                      <a:pos x="T0" y="T1"/>
                    </a:cxn>
                    <a:cxn ang="T11">
                      <a:pos x="T2" y="T3"/>
                    </a:cxn>
                    <a:cxn ang="T12">
                      <a:pos x="T4" y="T5"/>
                    </a:cxn>
                    <a:cxn ang="T13">
                      <a:pos x="T6" y="T7"/>
                    </a:cxn>
                    <a:cxn ang="T14">
                      <a:pos x="T8" y="T9"/>
                    </a:cxn>
                  </a:cxnLst>
                  <a:rect l="T15" t="T16" r="T17" b="T18"/>
                  <a:pathLst>
                    <a:path w="7" h="6">
                      <a:moveTo>
                        <a:pt x="3" y="2"/>
                      </a:moveTo>
                      <a:lnTo>
                        <a:pt x="7" y="0"/>
                      </a:lnTo>
                      <a:lnTo>
                        <a:pt x="4" y="4"/>
                      </a:lnTo>
                      <a:lnTo>
                        <a:pt x="0" y="6"/>
                      </a:lnTo>
                      <a:lnTo>
                        <a:pt x="3" y="2"/>
                      </a:lnTo>
                      <a:close/>
                    </a:path>
                  </a:pathLst>
                </a:custGeom>
                <a:solidFill>
                  <a:srgbClr val="FFFFFF"/>
                </a:solidFill>
                <a:ln w="9525">
                  <a:solidFill>
                    <a:srgbClr val="000000"/>
                  </a:solidFill>
                  <a:round/>
                  <a:headEnd/>
                  <a:tailEnd/>
                </a:ln>
              </xdr:spPr>
            </xdr:sp>
          </xdr:grpSp>
          <xdr:grpSp>
            <xdr:nvGrpSpPr>
              <xdr:cNvPr id="12454" name="Group 772"/>
              <xdr:cNvGrpSpPr>
                <a:grpSpLocks/>
              </xdr:cNvGrpSpPr>
            </xdr:nvGrpSpPr>
            <xdr:grpSpPr bwMode="auto">
              <a:xfrm>
                <a:off x="2343150" y="16678275"/>
                <a:ext cx="161925" cy="171450"/>
                <a:chOff x="0" y="2838450"/>
                <a:chExt cx="17" cy="18"/>
              </a:xfrm>
            </xdr:grpSpPr>
            <xdr:sp macro="" textlink="">
              <xdr:nvSpPr>
                <xdr:cNvPr id="12512" name="Freeform 837"/>
                <xdr:cNvSpPr>
                  <a:spLocks/>
                </xdr:cNvSpPr>
              </xdr:nvSpPr>
              <xdr:spPr bwMode="auto">
                <a:xfrm>
                  <a:off x="4" y="2838450"/>
                  <a:ext cx="13" cy="16"/>
                </a:xfrm>
                <a:custGeom>
                  <a:avLst/>
                  <a:gdLst>
                    <a:gd name="T0" fmla="*/ 0 w 59"/>
                    <a:gd name="T1" fmla="*/ 0 h 76"/>
                    <a:gd name="T2" fmla="*/ 0 w 59"/>
                    <a:gd name="T3" fmla="*/ 0 h 76"/>
                    <a:gd name="T4" fmla="*/ 0 w 59"/>
                    <a:gd name="T5" fmla="*/ 0 h 76"/>
                    <a:gd name="T6" fmla="*/ 0 w 59"/>
                    <a:gd name="T7" fmla="*/ 0 h 76"/>
                    <a:gd name="T8" fmla="*/ 0 w 59"/>
                    <a:gd name="T9" fmla="*/ 0 h 76"/>
                    <a:gd name="T10" fmla="*/ 0 w 59"/>
                    <a:gd name="T11" fmla="*/ 0 h 76"/>
                    <a:gd name="T12" fmla="*/ 0 w 59"/>
                    <a:gd name="T13" fmla="*/ 0 h 76"/>
                    <a:gd name="T14" fmla="*/ 0 60000 65536"/>
                    <a:gd name="T15" fmla="*/ 0 60000 65536"/>
                    <a:gd name="T16" fmla="*/ 0 60000 65536"/>
                    <a:gd name="T17" fmla="*/ 0 60000 65536"/>
                    <a:gd name="T18" fmla="*/ 0 60000 65536"/>
                    <a:gd name="T19" fmla="*/ 0 60000 65536"/>
                    <a:gd name="T20" fmla="*/ 0 60000 65536"/>
                    <a:gd name="T21" fmla="*/ 0 w 59"/>
                    <a:gd name="T22" fmla="*/ 0 h 76"/>
                    <a:gd name="T23" fmla="*/ 59 w 59"/>
                    <a:gd name="T24" fmla="*/ 76 h 76"/>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9" h="76">
                      <a:moveTo>
                        <a:pt x="45" y="76"/>
                      </a:moveTo>
                      <a:lnTo>
                        <a:pt x="59" y="58"/>
                      </a:lnTo>
                      <a:lnTo>
                        <a:pt x="45" y="18"/>
                      </a:lnTo>
                      <a:lnTo>
                        <a:pt x="13" y="0"/>
                      </a:lnTo>
                      <a:lnTo>
                        <a:pt x="0" y="23"/>
                      </a:lnTo>
                      <a:lnTo>
                        <a:pt x="13" y="58"/>
                      </a:lnTo>
                      <a:lnTo>
                        <a:pt x="45" y="76"/>
                      </a:lnTo>
                      <a:close/>
                    </a:path>
                  </a:pathLst>
                </a:custGeom>
                <a:solidFill>
                  <a:srgbClr val="FFFFFF"/>
                </a:solidFill>
                <a:ln w="9525">
                  <a:solidFill>
                    <a:srgbClr val="000000"/>
                  </a:solidFill>
                  <a:round/>
                  <a:headEnd/>
                  <a:tailEnd/>
                </a:ln>
              </xdr:spPr>
            </xdr:sp>
            <xdr:sp macro="" textlink="">
              <xdr:nvSpPr>
                <xdr:cNvPr id="12513" name="Freeform 838"/>
                <xdr:cNvSpPr>
                  <a:spLocks/>
                </xdr:cNvSpPr>
              </xdr:nvSpPr>
              <xdr:spPr bwMode="auto">
                <a:xfrm>
                  <a:off x="0" y="2838452"/>
                  <a:ext cx="13" cy="16"/>
                </a:xfrm>
                <a:custGeom>
                  <a:avLst/>
                  <a:gdLst>
                    <a:gd name="T0" fmla="*/ 0 w 59"/>
                    <a:gd name="T1" fmla="*/ 0 h 76"/>
                    <a:gd name="T2" fmla="*/ 0 w 59"/>
                    <a:gd name="T3" fmla="*/ 0 h 76"/>
                    <a:gd name="T4" fmla="*/ 0 w 59"/>
                    <a:gd name="T5" fmla="*/ 0 h 76"/>
                    <a:gd name="T6" fmla="*/ 0 w 59"/>
                    <a:gd name="T7" fmla="*/ 0 h 76"/>
                    <a:gd name="T8" fmla="*/ 0 w 59"/>
                    <a:gd name="T9" fmla="*/ 0 h 76"/>
                    <a:gd name="T10" fmla="*/ 0 w 59"/>
                    <a:gd name="T11" fmla="*/ 0 h 76"/>
                    <a:gd name="T12" fmla="*/ 0 w 59"/>
                    <a:gd name="T13" fmla="*/ 0 h 76"/>
                    <a:gd name="T14" fmla="*/ 0 60000 65536"/>
                    <a:gd name="T15" fmla="*/ 0 60000 65536"/>
                    <a:gd name="T16" fmla="*/ 0 60000 65536"/>
                    <a:gd name="T17" fmla="*/ 0 60000 65536"/>
                    <a:gd name="T18" fmla="*/ 0 60000 65536"/>
                    <a:gd name="T19" fmla="*/ 0 60000 65536"/>
                    <a:gd name="T20" fmla="*/ 0 60000 65536"/>
                    <a:gd name="T21" fmla="*/ 0 w 59"/>
                    <a:gd name="T22" fmla="*/ 0 h 76"/>
                    <a:gd name="T23" fmla="*/ 59 w 59"/>
                    <a:gd name="T24" fmla="*/ 76 h 76"/>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9" h="76">
                      <a:moveTo>
                        <a:pt x="45" y="76"/>
                      </a:moveTo>
                      <a:lnTo>
                        <a:pt x="59" y="58"/>
                      </a:lnTo>
                      <a:lnTo>
                        <a:pt x="45" y="18"/>
                      </a:lnTo>
                      <a:lnTo>
                        <a:pt x="13" y="0"/>
                      </a:lnTo>
                      <a:lnTo>
                        <a:pt x="0" y="23"/>
                      </a:lnTo>
                      <a:lnTo>
                        <a:pt x="13" y="58"/>
                      </a:lnTo>
                      <a:lnTo>
                        <a:pt x="45" y="76"/>
                      </a:lnTo>
                      <a:close/>
                    </a:path>
                  </a:pathLst>
                </a:custGeom>
                <a:solidFill>
                  <a:srgbClr val="FFFFFF"/>
                </a:solidFill>
                <a:ln w="9525">
                  <a:solidFill>
                    <a:srgbClr val="000000"/>
                  </a:solidFill>
                  <a:round/>
                  <a:headEnd/>
                  <a:tailEnd/>
                </a:ln>
              </xdr:spPr>
            </xdr:sp>
            <xdr:sp macro="" textlink="">
              <xdr:nvSpPr>
                <xdr:cNvPr id="12514" name="Freeform 839"/>
                <xdr:cNvSpPr>
                  <a:spLocks/>
                </xdr:cNvSpPr>
              </xdr:nvSpPr>
              <xdr:spPr bwMode="auto">
                <a:xfrm>
                  <a:off x="3" y="2838450"/>
                  <a:ext cx="11" cy="6"/>
                </a:xfrm>
                <a:custGeom>
                  <a:avLst/>
                  <a:gdLst>
                    <a:gd name="T0" fmla="*/ 0 w 11"/>
                    <a:gd name="T1" fmla="*/ 2 h 6"/>
                    <a:gd name="T2" fmla="*/ 4 w 11"/>
                    <a:gd name="T3" fmla="*/ 0 h 6"/>
                    <a:gd name="T4" fmla="*/ 11 w 11"/>
                    <a:gd name="T5" fmla="*/ 4 h 6"/>
                    <a:gd name="T6" fmla="*/ 7 w 11"/>
                    <a:gd name="T7" fmla="*/ 6 h 6"/>
                    <a:gd name="T8" fmla="*/ 0 w 11"/>
                    <a:gd name="T9" fmla="*/ 2 h 6"/>
                    <a:gd name="T10" fmla="*/ 0 60000 65536"/>
                    <a:gd name="T11" fmla="*/ 0 60000 65536"/>
                    <a:gd name="T12" fmla="*/ 0 60000 65536"/>
                    <a:gd name="T13" fmla="*/ 0 60000 65536"/>
                    <a:gd name="T14" fmla="*/ 0 60000 65536"/>
                    <a:gd name="T15" fmla="*/ 0 w 11"/>
                    <a:gd name="T16" fmla="*/ 0 h 6"/>
                    <a:gd name="T17" fmla="*/ 11 w 11"/>
                    <a:gd name="T18" fmla="*/ 6 h 6"/>
                  </a:gdLst>
                  <a:ahLst/>
                  <a:cxnLst>
                    <a:cxn ang="T10">
                      <a:pos x="T0" y="T1"/>
                    </a:cxn>
                    <a:cxn ang="T11">
                      <a:pos x="T2" y="T3"/>
                    </a:cxn>
                    <a:cxn ang="T12">
                      <a:pos x="T4" y="T5"/>
                    </a:cxn>
                    <a:cxn ang="T13">
                      <a:pos x="T6" y="T7"/>
                    </a:cxn>
                    <a:cxn ang="T14">
                      <a:pos x="T8" y="T9"/>
                    </a:cxn>
                  </a:cxnLst>
                  <a:rect l="T15" t="T16" r="T17" b="T18"/>
                  <a:pathLst>
                    <a:path w="11" h="6">
                      <a:moveTo>
                        <a:pt x="0" y="2"/>
                      </a:moveTo>
                      <a:lnTo>
                        <a:pt x="4" y="0"/>
                      </a:lnTo>
                      <a:lnTo>
                        <a:pt x="11" y="4"/>
                      </a:lnTo>
                      <a:lnTo>
                        <a:pt x="7" y="6"/>
                      </a:lnTo>
                      <a:lnTo>
                        <a:pt x="0" y="2"/>
                      </a:lnTo>
                      <a:close/>
                    </a:path>
                  </a:pathLst>
                </a:custGeom>
                <a:solidFill>
                  <a:srgbClr val="FFFFFF"/>
                </a:solidFill>
                <a:ln w="9525">
                  <a:solidFill>
                    <a:srgbClr val="000000"/>
                  </a:solidFill>
                  <a:round/>
                  <a:headEnd/>
                  <a:tailEnd/>
                </a:ln>
              </xdr:spPr>
            </xdr:sp>
            <xdr:sp macro="" textlink="">
              <xdr:nvSpPr>
                <xdr:cNvPr id="12515" name="Freeform 840"/>
                <xdr:cNvSpPr>
                  <a:spLocks/>
                </xdr:cNvSpPr>
              </xdr:nvSpPr>
              <xdr:spPr bwMode="auto">
                <a:xfrm>
                  <a:off x="10" y="2838454"/>
                  <a:ext cx="7" cy="10"/>
                </a:xfrm>
                <a:custGeom>
                  <a:avLst/>
                  <a:gdLst>
                    <a:gd name="T0" fmla="*/ 3 w 7"/>
                    <a:gd name="T1" fmla="*/ 10 h 10"/>
                    <a:gd name="T2" fmla="*/ 7 w 7"/>
                    <a:gd name="T3" fmla="*/ 8 h 10"/>
                    <a:gd name="T4" fmla="*/ 4 w 7"/>
                    <a:gd name="T5" fmla="*/ 0 h 10"/>
                    <a:gd name="T6" fmla="*/ 0 w 7"/>
                    <a:gd name="T7" fmla="*/ 2 h 10"/>
                    <a:gd name="T8" fmla="*/ 3 w 7"/>
                    <a:gd name="T9" fmla="*/ 10 h 10"/>
                    <a:gd name="T10" fmla="*/ 0 60000 65536"/>
                    <a:gd name="T11" fmla="*/ 0 60000 65536"/>
                    <a:gd name="T12" fmla="*/ 0 60000 65536"/>
                    <a:gd name="T13" fmla="*/ 0 60000 65536"/>
                    <a:gd name="T14" fmla="*/ 0 60000 65536"/>
                    <a:gd name="T15" fmla="*/ 0 w 7"/>
                    <a:gd name="T16" fmla="*/ 0 h 10"/>
                    <a:gd name="T17" fmla="*/ 7 w 7"/>
                    <a:gd name="T18" fmla="*/ 10 h 10"/>
                  </a:gdLst>
                  <a:ahLst/>
                  <a:cxnLst>
                    <a:cxn ang="T10">
                      <a:pos x="T0" y="T1"/>
                    </a:cxn>
                    <a:cxn ang="T11">
                      <a:pos x="T2" y="T3"/>
                    </a:cxn>
                    <a:cxn ang="T12">
                      <a:pos x="T4" y="T5"/>
                    </a:cxn>
                    <a:cxn ang="T13">
                      <a:pos x="T6" y="T7"/>
                    </a:cxn>
                    <a:cxn ang="T14">
                      <a:pos x="T8" y="T9"/>
                    </a:cxn>
                  </a:cxnLst>
                  <a:rect l="T15" t="T16" r="T17" b="T18"/>
                  <a:pathLst>
                    <a:path w="7" h="10">
                      <a:moveTo>
                        <a:pt x="3" y="10"/>
                      </a:moveTo>
                      <a:lnTo>
                        <a:pt x="7" y="8"/>
                      </a:lnTo>
                      <a:lnTo>
                        <a:pt x="4" y="0"/>
                      </a:lnTo>
                      <a:lnTo>
                        <a:pt x="0" y="2"/>
                      </a:lnTo>
                      <a:lnTo>
                        <a:pt x="3" y="10"/>
                      </a:lnTo>
                      <a:close/>
                    </a:path>
                  </a:pathLst>
                </a:custGeom>
                <a:solidFill>
                  <a:srgbClr val="FFFFFF"/>
                </a:solidFill>
                <a:ln w="9525">
                  <a:solidFill>
                    <a:srgbClr val="000000"/>
                  </a:solidFill>
                  <a:round/>
                  <a:headEnd/>
                  <a:tailEnd/>
                </a:ln>
              </xdr:spPr>
            </xdr:sp>
            <xdr:sp macro="" textlink="">
              <xdr:nvSpPr>
                <xdr:cNvPr id="12516" name="Freeform 841"/>
                <xdr:cNvSpPr>
                  <a:spLocks/>
                </xdr:cNvSpPr>
              </xdr:nvSpPr>
              <xdr:spPr bwMode="auto">
                <a:xfrm>
                  <a:off x="10" y="2838462"/>
                  <a:ext cx="7" cy="6"/>
                </a:xfrm>
                <a:custGeom>
                  <a:avLst/>
                  <a:gdLst>
                    <a:gd name="T0" fmla="*/ 3 w 7"/>
                    <a:gd name="T1" fmla="*/ 2 h 6"/>
                    <a:gd name="T2" fmla="*/ 7 w 7"/>
                    <a:gd name="T3" fmla="*/ 0 h 6"/>
                    <a:gd name="T4" fmla="*/ 4 w 7"/>
                    <a:gd name="T5" fmla="*/ 4 h 6"/>
                    <a:gd name="T6" fmla="*/ 0 w 7"/>
                    <a:gd name="T7" fmla="*/ 6 h 6"/>
                    <a:gd name="T8" fmla="*/ 3 w 7"/>
                    <a:gd name="T9" fmla="*/ 2 h 6"/>
                    <a:gd name="T10" fmla="*/ 0 60000 65536"/>
                    <a:gd name="T11" fmla="*/ 0 60000 65536"/>
                    <a:gd name="T12" fmla="*/ 0 60000 65536"/>
                    <a:gd name="T13" fmla="*/ 0 60000 65536"/>
                    <a:gd name="T14" fmla="*/ 0 60000 65536"/>
                    <a:gd name="T15" fmla="*/ 0 w 7"/>
                    <a:gd name="T16" fmla="*/ 0 h 6"/>
                    <a:gd name="T17" fmla="*/ 7 w 7"/>
                    <a:gd name="T18" fmla="*/ 6 h 6"/>
                  </a:gdLst>
                  <a:ahLst/>
                  <a:cxnLst>
                    <a:cxn ang="T10">
                      <a:pos x="T0" y="T1"/>
                    </a:cxn>
                    <a:cxn ang="T11">
                      <a:pos x="T2" y="T3"/>
                    </a:cxn>
                    <a:cxn ang="T12">
                      <a:pos x="T4" y="T5"/>
                    </a:cxn>
                    <a:cxn ang="T13">
                      <a:pos x="T6" y="T7"/>
                    </a:cxn>
                    <a:cxn ang="T14">
                      <a:pos x="T8" y="T9"/>
                    </a:cxn>
                  </a:cxnLst>
                  <a:rect l="T15" t="T16" r="T17" b="T18"/>
                  <a:pathLst>
                    <a:path w="7" h="6">
                      <a:moveTo>
                        <a:pt x="3" y="2"/>
                      </a:moveTo>
                      <a:lnTo>
                        <a:pt x="7" y="0"/>
                      </a:lnTo>
                      <a:lnTo>
                        <a:pt x="4" y="4"/>
                      </a:lnTo>
                      <a:lnTo>
                        <a:pt x="0" y="6"/>
                      </a:lnTo>
                      <a:lnTo>
                        <a:pt x="3" y="2"/>
                      </a:lnTo>
                      <a:close/>
                    </a:path>
                  </a:pathLst>
                </a:custGeom>
                <a:solidFill>
                  <a:srgbClr val="FFFFFF"/>
                </a:solidFill>
                <a:ln w="9525">
                  <a:solidFill>
                    <a:srgbClr val="000000"/>
                  </a:solidFill>
                  <a:round/>
                  <a:headEnd/>
                  <a:tailEnd/>
                </a:ln>
              </xdr:spPr>
            </xdr:sp>
          </xdr:grpSp>
          <xdr:grpSp>
            <xdr:nvGrpSpPr>
              <xdr:cNvPr id="12455" name="Group 775"/>
              <xdr:cNvGrpSpPr>
                <a:grpSpLocks/>
              </xdr:cNvGrpSpPr>
            </xdr:nvGrpSpPr>
            <xdr:grpSpPr bwMode="auto">
              <a:xfrm>
                <a:off x="4543425" y="17821275"/>
                <a:ext cx="161925" cy="171450"/>
                <a:chOff x="2895600" y="4410075"/>
                <a:chExt cx="17" cy="18"/>
              </a:xfrm>
            </xdr:grpSpPr>
            <xdr:sp macro="" textlink="">
              <xdr:nvSpPr>
                <xdr:cNvPr id="12507" name="Freeform 822"/>
                <xdr:cNvSpPr>
                  <a:spLocks/>
                </xdr:cNvSpPr>
              </xdr:nvSpPr>
              <xdr:spPr bwMode="auto">
                <a:xfrm>
                  <a:off x="2895604" y="4410075"/>
                  <a:ext cx="13" cy="16"/>
                </a:xfrm>
                <a:custGeom>
                  <a:avLst/>
                  <a:gdLst>
                    <a:gd name="T0" fmla="*/ 0 w 59"/>
                    <a:gd name="T1" fmla="*/ 0 h 76"/>
                    <a:gd name="T2" fmla="*/ 0 w 59"/>
                    <a:gd name="T3" fmla="*/ 0 h 76"/>
                    <a:gd name="T4" fmla="*/ 0 w 59"/>
                    <a:gd name="T5" fmla="*/ 0 h 76"/>
                    <a:gd name="T6" fmla="*/ 0 w 59"/>
                    <a:gd name="T7" fmla="*/ 0 h 76"/>
                    <a:gd name="T8" fmla="*/ 0 w 59"/>
                    <a:gd name="T9" fmla="*/ 0 h 76"/>
                    <a:gd name="T10" fmla="*/ 0 w 59"/>
                    <a:gd name="T11" fmla="*/ 0 h 76"/>
                    <a:gd name="T12" fmla="*/ 0 w 59"/>
                    <a:gd name="T13" fmla="*/ 0 h 76"/>
                    <a:gd name="T14" fmla="*/ 0 60000 65536"/>
                    <a:gd name="T15" fmla="*/ 0 60000 65536"/>
                    <a:gd name="T16" fmla="*/ 0 60000 65536"/>
                    <a:gd name="T17" fmla="*/ 0 60000 65536"/>
                    <a:gd name="T18" fmla="*/ 0 60000 65536"/>
                    <a:gd name="T19" fmla="*/ 0 60000 65536"/>
                    <a:gd name="T20" fmla="*/ 0 60000 65536"/>
                    <a:gd name="T21" fmla="*/ 0 w 59"/>
                    <a:gd name="T22" fmla="*/ 0 h 76"/>
                    <a:gd name="T23" fmla="*/ 59 w 59"/>
                    <a:gd name="T24" fmla="*/ 76 h 76"/>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9" h="76">
                      <a:moveTo>
                        <a:pt x="45" y="76"/>
                      </a:moveTo>
                      <a:lnTo>
                        <a:pt x="59" y="58"/>
                      </a:lnTo>
                      <a:lnTo>
                        <a:pt x="45" y="18"/>
                      </a:lnTo>
                      <a:lnTo>
                        <a:pt x="13" y="0"/>
                      </a:lnTo>
                      <a:lnTo>
                        <a:pt x="0" y="23"/>
                      </a:lnTo>
                      <a:lnTo>
                        <a:pt x="13" y="58"/>
                      </a:lnTo>
                      <a:lnTo>
                        <a:pt x="45" y="76"/>
                      </a:lnTo>
                      <a:close/>
                    </a:path>
                  </a:pathLst>
                </a:custGeom>
                <a:solidFill>
                  <a:srgbClr val="FFFFFF"/>
                </a:solidFill>
                <a:ln w="9525">
                  <a:solidFill>
                    <a:srgbClr val="000000"/>
                  </a:solidFill>
                  <a:round/>
                  <a:headEnd/>
                  <a:tailEnd/>
                </a:ln>
              </xdr:spPr>
            </xdr:sp>
            <xdr:sp macro="" textlink="">
              <xdr:nvSpPr>
                <xdr:cNvPr id="12508" name="Freeform 823"/>
                <xdr:cNvSpPr>
                  <a:spLocks/>
                </xdr:cNvSpPr>
              </xdr:nvSpPr>
              <xdr:spPr bwMode="auto">
                <a:xfrm>
                  <a:off x="2895600" y="4410077"/>
                  <a:ext cx="13" cy="16"/>
                </a:xfrm>
                <a:custGeom>
                  <a:avLst/>
                  <a:gdLst>
                    <a:gd name="T0" fmla="*/ 0 w 59"/>
                    <a:gd name="T1" fmla="*/ 0 h 76"/>
                    <a:gd name="T2" fmla="*/ 0 w 59"/>
                    <a:gd name="T3" fmla="*/ 0 h 76"/>
                    <a:gd name="T4" fmla="*/ 0 w 59"/>
                    <a:gd name="T5" fmla="*/ 0 h 76"/>
                    <a:gd name="T6" fmla="*/ 0 w 59"/>
                    <a:gd name="T7" fmla="*/ 0 h 76"/>
                    <a:gd name="T8" fmla="*/ 0 w 59"/>
                    <a:gd name="T9" fmla="*/ 0 h 76"/>
                    <a:gd name="T10" fmla="*/ 0 w 59"/>
                    <a:gd name="T11" fmla="*/ 0 h 76"/>
                    <a:gd name="T12" fmla="*/ 0 w 59"/>
                    <a:gd name="T13" fmla="*/ 0 h 76"/>
                    <a:gd name="T14" fmla="*/ 0 60000 65536"/>
                    <a:gd name="T15" fmla="*/ 0 60000 65536"/>
                    <a:gd name="T16" fmla="*/ 0 60000 65536"/>
                    <a:gd name="T17" fmla="*/ 0 60000 65536"/>
                    <a:gd name="T18" fmla="*/ 0 60000 65536"/>
                    <a:gd name="T19" fmla="*/ 0 60000 65536"/>
                    <a:gd name="T20" fmla="*/ 0 60000 65536"/>
                    <a:gd name="T21" fmla="*/ 0 w 59"/>
                    <a:gd name="T22" fmla="*/ 0 h 76"/>
                    <a:gd name="T23" fmla="*/ 59 w 59"/>
                    <a:gd name="T24" fmla="*/ 76 h 76"/>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9" h="76">
                      <a:moveTo>
                        <a:pt x="45" y="76"/>
                      </a:moveTo>
                      <a:lnTo>
                        <a:pt x="59" y="58"/>
                      </a:lnTo>
                      <a:lnTo>
                        <a:pt x="45" y="18"/>
                      </a:lnTo>
                      <a:lnTo>
                        <a:pt x="13" y="0"/>
                      </a:lnTo>
                      <a:lnTo>
                        <a:pt x="0" y="23"/>
                      </a:lnTo>
                      <a:lnTo>
                        <a:pt x="13" y="58"/>
                      </a:lnTo>
                      <a:lnTo>
                        <a:pt x="45" y="76"/>
                      </a:lnTo>
                      <a:close/>
                    </a:path>
                  </a:pathLst>
                </a:custGeom>
                <a:solidFill>
                  <a:srgbClr val="FFFFFF"/>
                </a:solidFill>
                <a:ln w="9525">
                  <a:solidFill>
                    <a:srgbClr val="000000"/>
                  </a:solidFill>
                  <a:round/>
                  <a:headEnd/>
                  <a:tailEnd/>
                </a:ln>
              </xdr:spPr>
            </xdr:sp>
            <xdr:sp macro="" textlink="">
              <xdr:nvSpPr>
                <xdr:cNvPr id="12509" name="Freeform 824"/>
                <xdr:cNvSpPr>
                  <a:spLocks/>
                </xdr:cNvSpPr>
              </xdr:nvSpPr>
              <xdr:spPr bwMode="auto">
                <a:xfrm>
                  <a:off x="2895603" y="4410075"/>
                  <a:ext cx="11" cy="6"/>
                </a:xfrm>
                <a:custGeom>
                  <a:avLst/>
                  <a:gdLst>
                    <a:gd name="T0" fmla="*/ 0 w 11"/>
                    <a:gd name="T1" fmla="*/ 2 h 6"/>
                    <a:gd name="T2" fmla="*/ 4 w 11"/>
                    <a:gd name="T3" fmla="*/ 0 h 6"/>
                    <a:gd name="T4" fmla="*/ 11 w 11"/>
                    <a:gd name="T5" fmla="*/ 4 h 6"/>
                    <a:gd name="T6" fmla="*/ 7 w 11"/>
                    <a:gd name="T7" fmla="*/ 6 h 6"/>
                    <a:gd name="T8" fmla="*/ 0 w 11"/>
                    <a:gd name="T9" fmla="*/ 2 h 6"/>
                    <a:gd name="T10" fmla="*/ 0 60000 65536"/>
                    <a:gd name="T11" fmla="*/ 0 60000 65536"/>
                    <a:gd name="T12" fmla="*/ 0 60000 65536"/>
                    <a:gd name="T13" fmla="*/ 0 60000 65536"/>
                    <a:gd name="T14" fmla="*/ 0 60000 65536"/>
                    <a:gd name="T15" fmla="*/ 0 w 11"/>
                    <a:gd name="T16" fmla="*/ 0 h 6"/>
                    <a:gd name="T17" fmla="*/ 11 w 11"/>
                    <a:gd name="T18" fmla="*/ 6 h 6"/>
                  </a:gdLst>
                  <a:ahLst/>
                  <a:cxnLst>
                    <a:cxn ang="T10">
                      <a:pos x="T0" y="T1"/>
                    </a:cxn>
                    <a:cxn ang="T11">
                      <a:pos x="T2" y="T3"/>
                    </a:cxn>
                    <a:cxn ang="T12">
                      <a:pos x="T4" y="T5"/>
                    </a:cxn>
                    <a:cxn ang="T13">
                      <a:pos x="T6" y="T7"/>
                    </a:cxn>
                    <a:cxn ang="T14">
                      <a:pos x="T8" y="T9"/>
                    </a:cxn>
                  </a:cxnLst>
                  <a:rect l="T15" t="T16" r="T17" b="T18"/>
                  <a:pathLst>
                    <a:path w="11" h="6">
                      <a:moveTo>
                        <a:pt x="0" y="2"/>
                      </a:moveTo>
                      <a:lnTo>
                        <a:pt x="4" y="0"/>
                      </a:lnTo>
                      <a:lnTo>
                        <a:pt x="11" y="4"/>
                      </a:lnTo>
                      <a:lnTo>
                        <a:pt x="7" y="6"/>
                      </a:lnTo>
                      <a:lnTo>
                        <a:pt x="0" y="2"/>
                      </a:lnTo>
                      <a:close/>
                    </a:path>
                  </a:pathLst>
                </a:custGeom>
                <a:solidFill>
                  <a:srgbClr val="FFFFFF"/>
                </a:solidFill>
                <a:ln w="9525">
                  <a:solidFill>
                    <a:srgbClr val="000000"/>
                  </a:solidFill>
                  <a:round/>
                  <a:headEnd/>
                  <a:tailEnd/>
                </a:ln>
              </xdr:spPr>
            </xdr:sp>
            <xdr:sp macro="" textlink="">
              <xdr:nvSpPr>
                <xdr:cNvPr id="12510" name="Freeform 825"/>
                <xdr:cNvSpPr>
                  <a:spLocks/>
                </xdr:cNvSpPr>
              </xdr:nvSpPr>
              <xdr:spPr bwMode="auto">
                <a:xfrm>
                  <a:off x="2895610" y="4410079"/>
                  <a:ext cx="7" cy="10"/>
                </a:xfrm>
                <a:custGeom>
                  <a:avLst/>
                  <a:gdLst>
                    <a:gd name="T0" fmla="*/ 3 w 7"/>
                    <a:gd name="T1" fmla="*/ 10 h 10"/>
                    <a:gd name="T2" fmla="*/ 7 w 7"/>
                    <a:gd name="T3" fmla="*/ 8 h 10"/>
                    <a:gd name="T4" fmla="*/ 4 w 7"/>
                    <a:gd name="T5" fmla="*/ 0 h 10"/>
                    <a:gd name="T6" fmla="*/ 0 w 7"/>
                    <a:gd name="T7" fmla="*/ 2 h 10"/>
                    <a:gd name="T8" fmla="*/ 3 w 7"/>
                    <a:gd name="T9" fmla="*/ 10 h 10"/>
                    <a:gd name="T10" fmla="*/ 0 60000 65536"/>
                    <a:gd name="T11" fmla="*/ 0 60000 65536"/>
                    <a:gd name="T12" fmla="*/ 0 60000 65536"/>
                    <a:gd name="T13" fmla="*/ 0 60000 65536"/>
                    <a:gd name="T14" fmla="*/ 0 60000 65536"/>
                    <a:gd name="T15" fmla="*/ 0 w 7"/>
                    <a:gd name="T16" fmla="*/ 0 h 10"/>
                    <a:gd name="T17" fmla="*/ 7 w 7"/>
                    <a:gd name="T18" fmla="*/ 10 h 10"/>
                  </a:gdLst>
                  <a:ahLst/>
                  <a:cxnLst>
                    <a:cxn ang="T10">
                      <a:pos x="T0" y="T1"/>
                    </a:cxn>
                    <a:cxn ang="T11">
                      <a:pos x="T2" y="T3"/>
                    </a:cxn>
                    <a:cxn ang="T12">
                      <a:pos x="T4" y="T5"/>
                    </a:cxn>
                    <a:cxn ang="T13">
                      <a:pos x="T6" y="T7"/>
                    </a:cxn>
                    <a:cxn ang="T14">
                      <a:pos x="T8" y="T9"/>
                    </a:cxn>
                  </a:cxnLst>
                  <a:rect l="T15" t="T16" r="T17" b="T18"/>
                  <a:pathLst>
                    <a:path w="7" h="10">
                      <a:moveTo>
                        <a:pt x="3" y="10"/>
                      </a:moveTo>
                      <a:lnTo>
                        <a:pt x="7" y="8"/>
                      </a:lnTo>
                      <a:lnTo>
                        <a:pt x="4" y="0"/>
                      </a:lnTo>
                      <a:lnTo>
                        <a:pt x="0" y="2"/>
                      </a:lnTo>
                      <a:lnTo>
                        <a:pt x="3" y="10"/>
                      </a:lnTo>
                      <a:close/>
                    </a:path>
                  </a:pathLst>
                </a:custGeom>
                <a:solidFill>
                  <a:srgbClr val="FFFFFF"/>
                </a:solidFill>
                <a:ln w="9525">
                  <a:solidFill>
                    <a:srgbClr val="000000"/>
                  </a:solidFill>
                  <a:round/>
                  <a:headEnd/>
                  <a:tailEnd/>
                </a:ln>
              </xdr:spPr>
            </xdr:sp>
            <xdr:sp macro="" textlink="">
              <xdr:nvSpPr>
                <xdr:cNvPr id="12511" name="Freeform 826"/>
                <xdr:cNvSpPr>
                  <a:spLocks/>
                </xdr:cNvSpPr>
              </xdr:nvSpPr>
              <xdr:spPr bwMode="auto">
                <a:xfrm>
                  <a:off x="2895610" y="4410087"/>
                  <a:ext cx="7" cy="6"/>
                </a:xfrm>
                <a:custGeom>
                  <a:avLst/>
                  <a:gdLst>
                    <a:gd name="T0" fmla="*/ 3 w 7"/>
                    <a:gd name="T1" fmla="*/ 2 h 6"/>
                    <a:gd name="T2" fmla="*/ 7 w 7"/>
                    <a:gd name="T3" fmla="*/ 0 h 6"/>
                    <a:gd name="T4" fmla="*/ 4 w 7"/>
                    <a:gd name="T5" fmla="*/ 4 h 6"/>
                    <a:gd name="T6" fmla="*/ 0 w 7"/>
                    <a:gd name="T7" fmla="*/ 6 h 6"/>
                    <a:gd name="T8" fmla="*/ 3 w 7"/>
                    <a:gd name="T9" fmla="*/ 2 h 6"/>
                    <a:gd name="T10" fmla="*/ 0 60000 65536"/>
                    <a:gd name="T11" fmla="*/ 0 60000 65536"/>
                    <a:gd name="T12" fmla="*/ 0 60000 65536"/>
                    <a:gd name="T13" fmla="*/ 0 60000 65536"/>
                    <a:gd name="T14" fmla="*/ 0 60000 65536"/>
                    <a:gd name="T15" fmla="*/ 0 w 7"/>
                    <a:gd name="T16" fmla="*/ 0 h 6"/>
                    <a:gd name="T17" fmla="*/ 7 w 7"/>
                    <a:gd name="T18" fmla="*/ 6 h 6"/>
                  </a:gdLst>
                  <a:ahLst/>
                  <a:cxnLst>
                    <a:cxn ang="T10">
                      <a:pos x="T0" y="T1"/>
                    </a:cxn>
                    <a:cxn ang="T11">
                      <a:pos x="T2" y="T3"/>
                    </a:cxn>
                    <a:cxn ang="T12">
                      <a:pos x="T4" y="T5"/>
                    </a:cxn>
                    <a:cxn ang="T13">
                      <a:pos x="T6" y="T7"/>
                    </a:cxn>
                    <a:cxn ang="T14">
                      <a:pos x="T8" y="T9"/>
                    </a:cxn>
                  </a:cxnLst>
                  <a:rect l="T15" t="T16" r="T17" b="T18"/>
                  <a:pathLst>
                    <a:path w="7" h="6">
                      <a:moveTo>
                        <a:pt x="3" y="2"/>
                      </a:moveTo>
                      <a:lnTo>
                        <a:pt x="7" y="0"/>
                      </a:lnTo>
                      <a:lnTo>
                        <a:pt x="4" y="4"/>
                      </a:lnTo>
                      <a:lnTo>
                        <a:pt x="0" y="6"/>
                      </a:lnTo>
                      <a:lnTo>
                        <a:pt x="3" y="2"/>
                      </a:lnTo>
                      <a:close/>
                    </a:path>
                  </a:pathLst>
                </a:custGeom>
                <a:solidFill>
                  <a:srgbClr val="FFFFFF"/>
                </a:solidFill>
                <a:ln w="9525">
                  <a:solidFill>
                    <a:srgbClr val="000000"/>
                  </a:solidFill>
                  <a:round/>
                  <a:headEnd/>
                  <a:tailEnd/>
                </a:ln>
              </xdr:spPr>
            </xdr:sp>
          </xdr:grpSp>
          <xdr:grpSp>
            <xdr:nvGrpSpPr>
              <xdr:cNvPr id="12456" name="Group 776"/>
              <xdr:cNvGrpSpPr>
                <a:grpSpLocks/>
              </xdr:cNvGrpSpPr>
            </xdr:nvGrpSpPr>
            <xdr:grpSpPr bwMode="auto">
              <a:xfrm>
                <a:off x="4543425" y="17087850"/>
                <a:ext cx="161925" cy="171450"/>
                <a:chOff x="2895600" y="3676650"/>
                <a:chExt cx="17" cy="18"/>
              </a:xfrm>
            </xdr:grpSpPr>
            <xdr:sp macro="" textlink="">
              <xdr:nvSpPr>
                <xdr:cNvPr id="12502" name="Freeform 817"/>
                <xdr:cNvSpPr>
                  <a:spLocks/>
                </xdr:cNvSpPr>
              </xdr:nvSpPr>
              <xdr:spPr bwMode="auto">
                <a:xfrm>
                  <a:off x="2895604" y="3676650"/>
                  <a:ext cx="13" cy="16"/>
                </a:xfrm>
                <a:custGeom>
                  <a:avLst/>
                  <a:gdLst>
                    <a:gd name="T0" fmla="*/ 0 w 59"/>
                    <a:gd name="T1" fmla="*/ 0 h 76"/>
                    <a:gd name="T2" fmla="*/ 0 w 59"/>
                    <a:gd name="T3" fmla="*/ 0 h 76"/>
                    <a:gd name="T4" fmla="*/ 0 w 59"/>
                    <a:gd name="T5" fmla="*/ 0 h 76"/>
                    <a:gd name="T6" fmla="*/ 0 w 59"/>
                    <a:gd name="T7" fmla="*/ 0 h 76"/>
                    <a:gd name="T8" fmla="*/ 0 w 59"/>
                    <a:gd name="T9" fmla="*/ 0 h 76"/>
                    <a:gd name="T10" fmla="*/ 0 w 59"/>
                    <a:gd name="T11" fmla="*/ 0 h 76"/>
                    <a:gd name="T12" fmla="*/ 0 w 59"/>
                    <a:gd name="T13" fmla="*/ 0 h 76"/>
                    <a:gd name="T14" fmla="*/ 0 60000 65536"/>
                    <a:gd name="T15" fmla="*/ 0 60000 65536"/>
                    <a:gd name="T16" fmla="*/ 0 60000 65536"/>
                    <a:gd name="T17" fmla="*/ 0 60000 65536"/>
                    <a:gd name="T18" fmla="*/ 0 60000 65536"/>
                    <a:gd name="T19" fmla="*/ 0 60000 65536"/>
                    <a:gd name="T20" fmla="*/ 0 60000 65536"/>
                    <a:gd name="T21" fmla="*/ 0 w 59"/>
                    <a:gd name="T22" fmla="*/ 0 h 76"/>
                    <a:gd name="T23" fmla="*/ 59 w 59"/>
                    <a:gd name="T24" fmla="*/ 76 h 76"/>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9" h="76">
                      <a:moveTo>
                        <a:pt x="45" y="76"/>
                      </a:moveTo>
                      <a:lnTo>
                        <a:pt x="59" y="58"/>
                      </a:lnTo>
                      <a:lnTo>
                        <a:pt x="45" y="18"/>
                      </a:lnTo>
                      <a:lnTo>
                        <a:pt x="13" y="0"/>
                      </a:lnTo>
                      <a:lnTo>
                        <a:pt x="0" y="23"/>
                      </a:lnTo>
                      <a:lnTo>
                        <a:pt x="13" y="58"/>
                      </a:lnTo>
                      <a:lnTo>
                        <a:pt x="45" y="76"/>
                      </a:lnTo>
                      <a:close/>
                    </a:path>
                  </a:pathLst>
                </a:custGeom>
                <a:solidFill>
                  <a:srgbClr val="FFFFFF"/>
                </a:solidFill>
                <a:ln w="9525">
                  <a:solidFill>
                    <a:srgbClr val="000000"/>
                  </a:solidFill>
                  <a:round/>
                  <a:headEnd/>
                  <a:tailEnd/>
                </a:ln>
              </xdr:spPr>
            </xdr:sp>
            <xdr:sp macro="" textlink="">
              <xdr:nvSpPr>
                <xdr:cNvPr id="12503" name="Freeform 818"/>
                <xdr:cNvSpPr>
                  <a:spLocks/>
                </xdr:cNvSpPr>
              </xdr:nvSpPr>
              <xdr:spPr bwMode="auto">
                <a:xfrm>
                  <a:off x="2895600" y="3676652"/>
                  <a:ext cx="13" cy="16"/>
                </a:xfrm>
                <a:custGeom>
                  <a:avLst/>
                  <a:gdLst>
                    <a:gd name="T0" fmla="*/ 0 w 59"/>
                    <a:gd name="T1" fmla="*/ 0 h 76"/>
                    <a:gd name="T2" fmla="*/ 0 w 59"/>
                    <a:gd name="T3" fmla="*/ 0 h 76"/>
                    <a:gd name="T4" fmla="*/ 0 w 59"/>
                    <a:gd name="T5" fmla="*/ 0 h 76"/>
                    <a:gd name="T6" fmla="*/ 0 w 59"/>
                    <a:gd name="T7" fmla="*/ 0 h 76"/>
                    <a:gd name="T8" fmla="*/ 0 w 59"/>
                    <a:gd name="T9" fmla="*/ 0 h 76"/>
                    <a:gd name="T10" fmla="*/ 0 w 59"/>
                    <a:gd name="T11" fmla="*/ 0 h 76"/>
                    <a:gd name="T12" fmla="*/ 0 w 59"/>
                    <a:gd name="T13" fmla="*/ 0 h 76"/>
                    <a:gd name="T14" fmla="*/ 0 60000 65536"/>
                    <a:gd name="T15" fmla="*/ 0 60000 65536"/>
                    <a:gd name="T16" fmla="*/ 0 60000 65536"/>
                    <a:gd name="T17" fmla="*/ 0 60000 65536"/>
                    <a:gd name="T18" fmla="*/ 0 60000 65536"/>
                    <a:gd name="T19" fmla="*/ 0 60000 65536"/>
                    <a:gd name="T20" fmla="*/ 0 60000 65536"/>
                    <a:gd name="T21" fmla="*/ 0 w 59"/>
                    <a:gd name="T22" fmla="*/ 0 h 76"/>
                    <a:gd name="T23" fmla="*/ 59 w 59"/>
                    <a:gd name="T24" fmla="*/ 76 h 76"/>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9" h="76">
                      <a:moveTo>
                        <a:pt x="45" y="76"/>
                      </a:moveTo>
                      <a:lnTo>
                        <a:pt x="59" y="58"/>
                      </a:lnTo>
                      <a:lnTo>
                        <a:pt x="45" y="18"/>
                      </a:lnTo>
                      <a:lnTo>
                        <a:pt x="13" y="0"/>
                      </a:lnTo>
                      <a:lnTo>
                        <a:pt x="0" y="23"/>
                      </a:lnTo>
                      <a:lnTo>
                        <a:pt x="13" y="58"/>
                      </a:lnTo>
                      <a:lnTo>
                        <a:pt x="45" y="76"/>
                      </a:lnTo>
                      <a:close/>
                    </a:path>
                  </a:pathLst>
                </a:custGeom>
                <a:solidFill>
                  <a:srgbClr val="FFFFFF"/>
                </a:solidFill>
                <a:ln w="9525">
                  <a:solidFill>
                    <a:srgbClr val="000000"/>
                  </a:solidFill>
                  <a:round/>
                  <a:headEnd/>
                  <a:tailEnd/>
                </a:ln>
              </xdr:spPr>
            </xdr:sp>
            <xdr:sp macro="" textlink="">
              <xdr:nvSpPr>
                <xdr:cNvPr id="12504" name="Freeform 819"/>
                <xdr:cNvSpPr>
                  <a:spLocks/>
                </xdr:cNvSpPr>
              </xdr:nvSpPr>
              <xdr:spPr bwMode="auto">
                <a:xfrm>
                  <a:off x="2895603" y="3676650"/>
                  <a:ext cx="11" cy="6"/>
                </a:xfrm>
                <a:custGeom>
                  <a:avLst/>
                  <a:gdLst>
                    <a:gd name="T0" fmla="*/ 0 w 11"/>
                    <a:gd name="T1" fmla="*/ 2 h 6"/>
                    <a:gd name="T2" fmla="*/ 4 w 11"/>
                    <a:gd name="T3" fmla="*/ 0 h 6"/>
                    <a:gd name="T4" fmla="*/ 11 w 11"/>
                    <a:gd name="T5" fmla="*/ 4 h 6"/>
                    <a:gd name="T6" fmla="*/ 7 w 11"/>
                    <a:gd name="T7" fmla="*/ 6 h 6"/>
                    <a:gd name="T8" fmla="*/ 0 w 11"/>
                    <a:gd name="T9" fmla="*/ 2 h 6"/>
                    <a:gd name="T10" fmla="*/ 0 60000 65536"/>
                    <a:gd name="T11" fmla="*/ 0 60000 65536"/>
                    <a:gd name="T12" fmla="*/ 0 60000 65536"/>
                    <a:gd name="T13" fmla="*/ 0 60000 65536"/>
                    <a:gd name="T14" fmla="*/ 0 60000 65536"/>
                    <a:gd name="T15" fmla="*/ 0 w 11"/>
                    <a:gd name="T16" fmla="*/ 0 h 6"/>
                    <a:gd name="T17" fmla="*/ 11 w 11"/>
                    <a:gd name="T18" fmla="*/ 6 h 6"/>
                  </a:gdLst>
                  <a:ahLst/>
                  <a:cxnLst>
                    <a:cxn ang="T10">
                      <a:pos x="T0" y="T1"/>
                    </a:cxn>
                    <a:cxn ang="T11">
                      <a:pos x="T2" y="T3"/>
                    </a:cxn>
                    <a:cxn ang="T12">
                      <a:pos x="T4" y="T5"/>
                    </a:cxn>
                    <a:cxn ang="T13">
                      <a:pos x="T6" y="T7"/>
                    </a:cxn>
                    <a:cxn ang="T14">
                      <a:pos x="T8" y="T9"/>
                    </a:cxn>
                  </a:cxnLst>
                  <a:rect l="T15" t="T16" r="T17" b="T18"/>
                  <a:pathLst>
                    <a:path w="11" h="6">
                      <a:moveTo>
                        <a:pt x="0" y="2"/>
                      </a:moveTo>
                      <a:lnTo>
                        <a:pt x="4" y="0"/>
                      </a:lnTo>
                      <a:lnTo>
                        <a:pt x="11" y="4"/>
                      </a:lnTo>
                      <a:lnTo>
                        <a:pt x="7" y="6"/>
                      </a:lnTo>
                      <a:lnTo>
                        <a:pt x="0" y="2"/>
                      </a:lnTo>
                      <a:close/>
                    </a:path>
                  </a:pathLst>
                </a:custGeom>
                <a:solidFill>
                  <a:srgbClr val="FFFFFF"/>
                </a:solidFill>
                <a:ln w="9525">
                  <a:solidFill>
                    <a:srgbClr val="000000"/>
                  </a:solidFill>
                  <a:round/>
                  <a:headEnd/>
                  <a:tailEnd/>
                </a:ln>
              </xdr:spPr>
            </xdr:sp>
            <xdr:sp macro="" textlink="">
              <xdr:nvSpPr>
                <xdr:cNvPr id="12505" name="Freeform 820"/>
                <xdr:cNvSpPr>
                  <a:spLocks/>
                </xdr:cNvSpPr>
              </xdr:nvSpPr>
              <xdr:spPr bwMode="auto">
                <a:xfrm>
                  <a:off x="2895610" y="3676654"/>
                  <a:ext cx="7" cy="10"/>
                </a:xfrm>
                <a:custGeom>
                  <a:avLst/>
                  <a:gdLst>
                    <a:gd name="T0" fmla="*/ 3 w 7"/>
                    <a:gd name="T1" fmla="*/ 10 h 10"/>
                    <a:gd name="T2" fmla="*/ 7 w 7"/>
                    <a:gd name="T3" fmla="*/ 8 h 10"/>
                    <a:gd name="T4" fmla="*/ 4 w 7"/>
                    <a:gd name="T5" fmla="*/ 0 h 10"/>
                    <a:gd name="T6" fmla="*/ 0 w 7"/>
                    <a:gd name="T7" fmla="*/ 2 h 10"/>
                    <a:gd name="T8" fmla="*/ 3 w 7"/>
                    <a:gd name="T9" fmla="*/ 10 h 10"/>
                    <a:gd name="T10" fmla="*/ 0 60000 65536"/>
                    <a:gd name="T11" fmla="*/ 0 60000 65536"/>
                    <a:gd name="T12" fmla="*/ 0 60000 65536"/>
                    <a:gd name="T13" fmla="*/ 0 60000 65536"/>
                    <a:gd name="T14" fmla="*/ 0 60000 65536"/>
                    <a:gd name="T15" fmla="*/ 0 w 7"/>
                    <a:gd name="T16" fmla="*/ 0 h 10"/>
                    <a:gd name="T17" fmla="*/ 7 w 7"/>
                    <a:gd name="T18" fmla="*/ 10 h 10"/>
                  </a:gdLst>
                  <a:ahLst/>
                  <a:cxnLst>
                    <a:cxn ang="T10">
                      <a:pos x="T0" y="T1"/>
                    </a:cxn>
                    <a:cxn ang="T11">
                      <a:pos x="T2" y="T3"/>
                    </a:cxn>
                    <a:cxn ang="T12">
                      <a:pos x="T4" y="T5"/>
                    </a:cxn>
                    <a:cxn ang="T13">
                      <a:pos x="T6" y="T7"/>
                    </a:cxn>
                    <a:cxn ang="T14">
                      <a:pos x="T8" y="T9"/>
                    </a:cxn>
                  </a:cxnLst>
                  <a:rect l="T15" t="T16" r="T17" b="T18"/>
                  <a:pathLst>
                    <a:path w="7" h="10">
                      <a:moveTo>
                        <a:pt x="3" y="10"/>
                      </a:moveTo>
                      <a:lnTo>
                        <a:pt x="7" y="8"/>
                      </a:lnTo>
                      <a:lnTo>
                        <a:pt x="4" y="0"/>
                      </a:lnTo>
                      <a:lnTo>
                        <a:pt x="0" y="2"/>
                      </a:lnTo>
                      <a:lnTo>
                        <a:pt x="3" y="10"/>
                      </a:lnTo>
                      <a:close/>
                    </a:path>
                  </a:pathLst>
                </a:custGeom>
                <a:solidFill>
                  <a:srgbClr val="FFFFFF"/>
                </a:solidFill>
                <a:ln w="9525">
                  <a:solidFill>
                    <a:srgbClr val="000000"/>
                  </a:solidFill>
                  <a:round/>
                  <a:headEnd/>
                  <a:tailEnd/>
                </a:ln>
              </xdr:spPr>
            </xdr:sp>
            <xdr:sp macro="" textlink="">
              <xdr:nvSpPr>
                <xdr:cNvPr id="12506" name="Freeform 821"/>
                <xdr:cNvSpPr>
                  <a:spLocks/>
                </xdr:cNvSpPr>
              </xdr:nvSpPr>
              <xdr:spPr bwMode="auto">
                <a:xfrm>
                  <a:off x="2895610" y="3676662"/>
                  <a:ext cx="7" cy="6"/>
                </a:xfrm>
                <a:custGeom>
                  <a:avLst/>
                  <a:gdLst>
                    <a:gd name="T0" fmla="*/ 3 w 7"/>
                    <a:gd name="T1" fmla="*/ 2 h 6"/>
                    <a:gd name="T2" fmla="*/ 7 w 7"/>
                    <a:gd name="T3" fmla="*/ 0 h 6"/>
                    <a:gd name="T4" fmla="*/ 4 w 7"/>
                    <a:gd name="T5" fmla="*/ 4 h 6"/>
                    <a:gd name="T6" fmla="*/ 0 w 7"/>
                    <a:gd name="T7" fmla="*/ 6 h 6"/>
                    <a:gd name="T8" fmla="*/ 3 w 7"/>
                    <a:gd name="T9" fmla="*/ 2 h 6"/>
                    <a:gd name="T10" fmla="*/ 0 60000 65536"/>
                    <a:gd name="T11" fmla="*/ 0 60000 65536"/>
                    <a:gd name="T12" fmla="*/ 0 60000 65536"/>
                    <a:gd name="T13" fmla="*/ 0 60000 65536"/>
                    <a:gd name="T14" fmla="*/ 0 60000 65536"/>
                    <a:gd name="T15" fmla="*/ 0 w 7"/>
                    <a:gd name="T16" fmla="*/ 0 h 6"/>
                    <a:gd name="T17" fmla="*/ 7 w 7"/>
                    <a:gd name="T18" fmla="*/ 6 h 6"/>
                  </a:gdLst>
                  <a:ahLst/>
                  <a:cxnLst>
                    <a:cxn ang="T10">
                      <a:pos x="T0" y="T1"/>
                    </a:cxn>
                    <a:cxn ang="T11">
                      <a:pos x="T2" y="T3"/>
                    </a:cxn>
                    <a:cxn ang="T12">
                      <a:pos x="T4" y="T5"/>
                    </a:cxn>
                    <a:cxn ang="T13">
                      <a:pos x="T6" y="T7"/>
                    </a:cxn>
                    <a:cxn ang="T14">
                      <a:pos x="T8" y="T9"/>
                    </a:cxn>
                  </a:cxnLst>
                  <a:rect l="T15" t="T16" r="T17" b="T18"/>
                  <a:pathLst>
                    <a:path w="7" h="6">
                      <a:moveTo>
                        <a:pt x="3" y="2"/>
                      </a:moveTo>
                      <a:lnTo>
                        <a:pt x="7" y="0"/>
                      </a:lnTo>
                      <a:lnTo>
                        <a:pt x="4" y="4"/>
                      </a:lnTo>
                      <a:lnTo>
                        <a:pt x="0" y="6"/>
                      </a:lnTo>
                      <a:lnTo>
                        <a:pt x="3" y="2"/>
                      </a:lnTo>
                      <a:close/>
                    </a:path>
                  </a:pathLst>
                </a:custGeom>
                <a:solidFill>
                  <a:srgbClr val="FFFFFF"/>
                </a:solidFill>
                <a:ln w="9525">
                  <a:solidFill>
                    <a:srgbClr val="000000"/>
                  </a:solidFill>
                  <a:round/>
                  <a:headEnd/>
                  <a:tailEnd/>
                </a:ln>
              </xdr:spPr>
            </xdr:sp>
          </xdr:grpSp>
          <xdr:grpSp>
            <xdr:nvGrpSpPr>
              <xdr:cNvPr id="12457" name="Group 777"/>
              <xdr:cNvGrpSpPr>
                <a:grpSpLocks/>
              </xdr:cNvGrpSpPr>
            </xdr:nvGrpSpPr>
            <xdr:grpSpPr bwMode="auto">
              <a:xfrm>
                <a:off x="4229100" y="17287875"/>
                <a:ext cx="323850" cy="323850"/>
                <a:chOff x="1133475" y="3333750"/>
                <a:chExt cx="34" cy="34"/>
              </a:xfrm>
            </xdr:grpSpPr>
            <xdr:sp macro="" textlink="">
              <xdr:nvSpPr>
                <xdr:cNvPr id="12496" name="Oval 811"/>
                <xdr:cNvSpPr>
                  <a:spLocks noChangeArrowheads="1"/>
                </xdr:cNvSpPr>
              </xdr:nvSpPr>
              <xdr:spPr bwMode="auto">
                <a:xfrm rot="-1760819">
                  <a:off x="1133494" y="3333750"/>
                  <a:ext cx="12" cy="27"/>
                </a:xfrm>
                <a:prstGeom prst="ellipse">
                  <a:avLst/>
                </a:prstGeom>
                <a:solidFill>
                  <a:srgbClr val="FFFFFF"/>
                </a:solidFill>
                <a:ln w="9525">
                  <a:solidFill>
                    <a:srgbClr val="000000"/>
                  </a:solidFill>
                  <a:round/>
                  <a:headEnd/>
                  <a:tailEnd/>
                </a:ln>
              </xdr:spPr>
            </xdr:sp>
            <xdr:sp macro="" textlink="">
              <xdr:nvSpPr>
                <xdr:cNvPr id="12497" name="Oval 812"/>
                <xdr:cNvSpPr>
                  <a:spLocks noChangeArrowheads="1"/>
                </xdr:cNvSpPr>
              </xdr:nvSpPr>
              <xdr:spPr bwMode="auto">
                <a:xfrm rot="-1760819">
                  <a:off x="1133490" y="3333759"/>
                  <a:ext cx="7" cy="17"/>
                </a:xfrm>
                <a:prstGeom prst="ellipse">
                  <a:avLst/>
                </a:prstGeom>
                <a:solidFill>
                  <a:srgbClr val="FFFFFF"/>
                </a:solidFill>
                <a:ln w="9525">
                  <a:solidFill>
                    <a:srgbClr val="000000"/>
                  </a:solidFill>
                  <a:round/>
                  <a:headEnd/>
                  <a:tailEnd/>
                </a:ln>
              </xdr:spPr>
            </xdr:sp>
            <xdr:sp macro="" textlink="">
              <xdr:nvSpPr>
                <xdr:cNvPr id="12498" name="Freeform 813"/>
                <xdr:cNvSpPr>
                  <a:spLocks/>
                </xdr:cNvSpPr>
              </xdr:nvSpPr>
              <xdr:spPr bwMode="auto">
                <a:xfrm>
                  <a:off x="1133487" y="3333751"/>
                  <a:ext cx="22" cy="28"/>
                </a:xfrm>
                <a:custGeom>
                  <a:avLst/>
                  <a:gdLst>
                    <a:gd name="T0" fmla="*/ 0 w 22"/>
                    <a:gd name="T1" fmla="*/ 5 h 28"/>
                    <a:gd name="T2" fmla="*/ 8 w 22"/>
                    <a:gd name="T3" fmla="*/ 0 h 28"/>
                    <a:gd name="T4" fmla="*/ 10 w 22"/>
                    <a:gd name="T5" fmla="*/ 1 h 28"/>
                    <a:gd name="T6" fmla="*/ 12 w 22"/>
                    <a:gd name="T7" fmla="*/ 2 h 28"/>
                    <a:gd name="T8" fmla="*/ 15 w 22"/>
                    <a:gd name="T9" fmla="*/ 5 h 28"/>
                    <a:gd name="T10" fmla="*/ 18 w 22"/>
                    <a:gd name="T11" fmla="*/ 8 h 28"/>
                    <a:gd name="T12" fmla="*/ 20 w 22"/>
                    <a:gd name="T13" fmla="*/ 12 h 28"/>
                    <a:gd name="T14" fmla="*/ 21 w 22"/>
                    <a:gd name="T15" fmla="*/ 15 h 28"/>
                    <a:gd name="T16" fmla="*/ 22 w 22"/>
                    <a:gd name="T17" fmla="*/ 18 h 28"/>
                    <a:gd name="T18" fmla="*/ 22 w 22"/>
                    <a:gd name="T19" fmla="*/ 21 h 28"/>
                    <a:gd name="T20" fmla="*/ 21 w 22"/>
                    <a:gd name="T21" fmla="*/ 23 h 28"/>
                    <a:gd name="T22" fmla="*/ 19 w 22"/>
                    <a:gd name="T23" fmla="*/ 26 h 28"/>
                    <a:gd name="T24" fmla="*/ 14 w 22"/>
                    <a:gd name="T25" fmla="*/ 28 h 28"/>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
                    <a:gd name="T40" fmla="*/ 0 h 28"/>
                    <a:gd name="T41" fmla="*/ 22 w 22"/>
                    <a:gd name="T42" fmla="*/ 28 h 28"/>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 h="28">
                      <a:moveTo>
                        <a:pt x="0" y="5"/>
                      </a:moveTo>
                      <a:lnTo>
                        <a:pt x="8" y="0"/>
                      </a:lnTo>
                      <a:lnTo>
                        <a:pt x="10" y="1"/>
                      </a:lnTo>
                      <a:lnTo>
                        <a:pt x="12" y="2"/>
                      </a:lnTo>
                      <a:lnTo>
                        <a:pt x="15" y="5"/>
                      </a:lnTo>
                      <a:lnTo>
                        <a:pt x="18" y="8"/>
                      </a:lnTo>
                      <a:lnTo>
                        <a:pt x="20" y="12"/>
                      </a:lnTo>
                      <a:lnTo>
                        <a:pt x="21" y="15"/>
                      </a:lnTo>
                      <a:lnTo>
                        <a:pt x="22" y="18"/>
                      </a:lnTo>
                      <a:lnTo>
                        <a:pt x="22" y="21"/>
                      </a:lnTo>
                      <a:lnTo>
                        <a:pt x="21" y="23"/>
                      </a:lnTo>
                      <a:lnTo>
                        <a:pt x="19" y="26"/>
                      </a:lnTo>
                      <a:lnTo>
                        <a:pt x="14" y="28"/>
                      </a:lnTo>
                    </a:path>
                  </a:pathLst>
                </a:custGeom>
                <a:solidFill>
                  <a:srgbClr val="FFFF99"/>
                </a:solidFill>
                <a:ln w="9525">
                  <a:solidFill>
                    <a:srgbClr val="000000"/>
                  </a:solidFill>
                  <a:round/>
                  <a:headEnd/>
                  <a:tailEnd/>
                </a:ln>
              </xdr:spPr>
            </xdr:sp>
            <xdr:sp macro="" textlink="">
              <xdr:nvSpPr>
                <xdr:cNvPr id="12499" name="Oval 814"/>
                <xdr:cNvSpPr>
                  <a:spLocks noChangeArrowheads="1"/>
                </xdr:cNvSpPr>
              </xdr:nvSpPr>
              <xdr:spPr bwMode="auto">
                <a:xfrm rot="-1760819">
                  <a:off x="1133488" y="3333754"/>
                  <a:ext cx="12" cy="27"/>
                </a:xfrm>
                <a:prstGeom prst="ellipse">
                  <a:avLst/>
                </a:prstGeom>
                <a:solidFill>
                  <a:srgbClr val="FFFF99"/>
                </a:solidFill>
                <a:ln w="9525">
                  <a:solidFill>
                    <a:srgbClr val="000000"/>
                  </a:solidFill>
                  <a:round/>
                  <a:headEnd/>
                  <a:tailEnd/>
                </a:ln>
              </xdr:spPr>
            </xdr:sp>
            <xdr:sp macro="" textlink="">
              <xdr:nvSpPr>
                <xdr:cNvPr id="12500" name="Freeform 815"/>
                <xdr:cNvSpPr>
                  <a:spLocks/>
                </xdr:cNvSpPr>
              </xdr:nvSpPr>
              <xdr:spPr bwMode="auto">
                <a:xfrm>
                  <a:off x="1133475" y="3333760"/>
                  <a:ext cx="24" cy="23"/>
                </a:xfrm>
                <a:custGeom>
                  <a:avLst/>
                  <a:gdLst>
                    <a:gd name="T0" fmla="*/ 0 w 24"/>
                    <a:gd name="T1" fmla="*/ 8 h 23"/>
                    <a:gd name="T2" fmla="*/ 8 w 24"/>
                    <a:gd name="T3" fmla="*/ 4 h 23"/>
                    <a:gd name="T4" fmla="*/ 15 w 24"/>
                    <a:gd name="T5" fmla="*/ 0 h 23"/>
                    <a:gd name="T6" fmla="*/ 18 w 24"/>
                    <a:gd name="T7" fmla="*/ 1 h 23"/>
                    <a:gd name="T8" fmla="*/ 20 w 24"/>
                    <a:gd name="T9" fmla="*/ 3 h 23"/>
                    <a:gd name="T10" fmla="*/ 22 w 24"/>
                    <a:gd name="T11" fmla="*/ 5 h 23"/>
                    <a:gd name="T12" fmla="*/ 23 w 24"/>
                    <a:gd name="T13" fmla="*/ 8 h 23"/>
                    <a:gd name="T14" fmla="*/ 24 w 24"/>
                    <a:gd name="T15" fmla="*/ 10 h 23"/>
                    <a:gd name="T16" fmla="*/ 24 w 24"/>
                    <a:gd name="T17" fmla="*/ 13 h 23"/>
                    <a:gd name="T18" fmla="*/ 23 w 24"/>
                    <a:gd name="T19" fmla="*/ 15 h 23"/>
                    <a:gd name="T20" fmla="*/ 20 w 24"/>
                    <a:gd name="T21" fmla="*/ 17 h 23"/>
                    <a:gd name="T22" fmla="*/ 16 w 24"/>
                    <a:gd name="T23" fmla="*/ 19 h 23"/>
                    <a:gd name="T24" fmla="*/ 9 w 24"/>
                    <a:gd name="T25" fmla="*/ 23 h 23"/>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4"/>
                    <a:gd name="T40" fmla="*/ 0 h 23"/>
                    <a:gd name="T41" fmla="*/ 24 w 24"/>
                    <a:gd name="T42" fmla="*/ 23 h 23"/>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4" h="23">
                      <a:moveTo>
                        <a:pt x="0" y="8"/>
                      </a:moveTo>
                      <a:lnTo>
                        <a:pt x="8" y="4"/>
                      </a:lnTo>
                      <a:lnTo>
                        <a:pt x="15" y="0"/>
                      </a:lnTo>
                      <a:lnTo>
                        <a:pt x="18" y="1"/>
                      </a:lnTo>
                      <a:lnTo>
                        <a:pt x="20" y="3"/>
                      </a:lnTo>
                      <a:lnTo>
                        <a:pt x="22" y="5"/>
                      </a:lnTo>
                      <a:lnTo>
                        <a:pt x="23" y="8"/>
                      </a:lnTo>
                      <a:lnTo>
                        <a:pt x="24" y="10"/>
                      </a:lnTo>
                      <a:lnTo>
                        <a:pt x="24" y="13"/>
                      </a:lnTo>
                      <a:lnTo>
                        <a:pt x="23" y="15"/>
                      </a:lnTo>
                      <a:lnTo>
                        <a:pt x="20" y="17"/>
                      </a:lnTo>
                      <a:lnTo>
                        <a:pt x="16" y="19"/>
                      </a:lnTo>
                      <a:lnTo>
                        <a:pt x="9" y="23"/>
                      </a:lnTo>
                    </a:path>
                  </a:pathLst>
                </a:custGeom>
                <a:solidFill>
                  <a:srgbClr val="FF9933"/>
                </a:solidFill>
                <a:ln w="9525">
                  <a:solidFill>
                    <a:srgbClr val="000000"/>
                  </a:solidFill>
                  <a:round/>
                  <a:headEnd/>
                  <a:tailEnd/>
                </a:ln>
              </xdr:spPr>
            </xdr:sp>
            <xdr:sp macro="" textlink="">
              <xdr:nvSpPr>
                <xdr:cNvPr id="12501" name="Oval 816"/>
                <xdr:cNvSpPr>
                  <a:spLocks noChangeArrowheads="1"/>
                </xdr:cNvSpPr>
              </xdr:nvSpPr>
              <xdr:spPr bwMode="auto">
                <a:xfrm rot="-1760819">
                  <a:off x="1133476" y="3333767"/>
                  <a:ext cx="7" cy="17"/>
                </a:xfrm>
                <a:prstGeom prst="ellipse">
                  <a:avLst/>
                </a:prstGeom>
                <a:solidFill>
                  <a:srgbClr val="FF9933"/>
                </a:solidFill>
                <a:ln w="9525">
                  <a:solidFill>
                    <a:srgbClr val="000000"/>
                  </a:solidFill>
                  <a:round/>
                  <a:headEnd/>
                  <a:tailEnd/>
                </a:ln>
              </xdr:spPr>
            </xdr:sp>
          </xdr:grpSp>
          <xdr:grpSp>
            <xdr:nvGrpSpPr>
              <xdr:cNvPr id="12458" name="Group 778"/>
              <xdr:cNvGrpSpPr>
                <a:grpSpLocks/>
              </xdr:cNvGrpSpPr>
            </xdr:nvGrpSpPr>
            <xdr:grpSpPr bwMode="auto">
              <a:xfrm>
                <a:off x="4238625" y="17954625"/>
                <a:ext cx="323850" cy="323850"/>
                <a:chOff x="1409700" y="3810000"/>
                <a:chExt cx="34" cy="34"/>
              </a:xfrm>
            </xdr:grpSpPr>
            <xdr:sp macro="" textlink="">
              <xdr:nvSpPr>
                <xdr:cNvPr id="12490" name="Oval 805"/>
                <xdr:cNvSpPr>
                  <a:spLocks noChangeArrowheads="1"/>
                </xdr:cNvSpPr>
              </xdr:nvSpPr>
              <xdr:spPr bwMode="auto">
                <a:xfrm rot="-1760819">
                  <a:off x="1409719" y="3810000"/>
                  <a:ext cx="12" cy="27"/>
                </a:xfrm>
                <a:prstGeom prst="ellipse">
                  <a:avLst/>
                </a:prstGeom>
                <a:solidFill>
                  <a:srgbClr val="FFFFFF"/>
                </a:solidFill>
                <a:ln w="9525">
                  <a:solidFill>
                    <a:srgbClr val="000000"/>
                  </a:solidFill>
                  <a:round/>
                  <a:headEnd/>
                  <a:tailEnd/>
                </a:ln>
              </xdr:spPr>
            </xdr:sp>
            <xdr:sp macro="" textlink="">
              <xdr:nvSpPr>
                <xdr:cNvPr id="12491" name="Oval 806"/>
                <xdr:cNvSpPr>
                  <a:spLocks noChangeArrowheads="1"/>
                </xdr:cNvSpPr>
              </xdr:nvSpPr>
              <xdr:spPr bwMode="auto">
                <a:xfrm rot="-1760819">
                  <a:off x="1409715" y="3810009"/>
                  <a:ext cx="7" cy="17"/>
                </a:xfrm>
                <a:prstGeom prst="ellipse">
                  <a:avLst/>
                </a:prstGeom>
                <a:solidFill>
                  <a:srgbClr val="FFFFFF"/>
                </a:solidFill>
                <a:ln w="9525">
                  <a:solidFill>
                    <a:srgbClr val="000000"/>
                  </a:solidFill>
                  <a:round/>
                  <a:headEnd/>
                  <a:tailEnd/>
                </a:ln>
              </xdr:spPr>
            </xdr:sp>
            <xdr:sp macro="" textlink="">
              <xdr:nvSpPr>
                <xdr:cNvPr id="12492" name="Freeform 807"/>
                <xdr:cNvSpPr>
                  <a:spLocks/>
                </xdr:cNvSpPr>
              </xdr:nvSpPr>
              <xdr:spPr bwMode="auto">
                <a:xfrm>
                  <a:off x="1409712" y="3810001"/>
                  <a:ext cx="22" cy="28"/>
                </a:xfrm>
                <a:custGeom>
                  <a:avLst/>
                  <a:gdLst>
                    <a:gd name="T0" fmla="*/ 0 w 22"/>
                    <a:gd name="T1" fmla="*/ 5 h 28"/>
                    <a:gd name="T2" fmla="*/ 8 w 22"/>
                    <a:gd name="T3" fmla="*/ 0 h 28"/>
                    <a:gd name="T4" fmla="*/ 10 w 22"/>
                    <a:gd name="T5" fmla="*/ 1 h 28"/>
                    <a:gd name="T6" fmla="*/ 12 w 22"/>
                    <a:gd name="T7" fmla="*/ 2 h 28"/>
                    <a:gd name="T8" fmla="*/ 15 w 22"/>
                    <a:gd name="T9" fmla="*/ 5 h 28"/>
                    <a:gd name="T10" fmla="*/ 18 w 22"/>
                    <a:gd name="T11" fmla="*/ 8 h 28"/>
                    <a:gd name="T12" fmla="*/ 20 w 22"/>
                    <a:gd name="T13" fmla="*/ 12 h 28"/>
                    <a:gd name="T14" fmla="*/ 21 w 22"/>
                    <a:gd name="T15" fmla="*/ 15 h 28"/>
                    <a:gd name="T16" fmla="*/ 22 w 22"/>
                    <a:gd name="T17" fmla="*/ 18 h 28"/>
                    <a:gd name="T18" fmla="*/ 22 w 22"/>
                    <a:gd name="T19" fmla="*/ 21 h 28"/>
                    <a:gd name="T20" fmla="*/ 21 w 22"/>
                    <a:gd name="T21" fmla="*/ 23 h 28"/>
                    <a:gd name="T22" fmla="*/ 19 w 22"/>
                    <a:gd name="T23" fmla="*/ 26 h 28"/>
                    <a:gd name="T24" fmla="*/ 14 w 22"/>
                    <a:gd name="T25" fmla="*/ 28 h 28"/>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
                    <a:gd name="T40" fmla="*/ 0 h 28"/>
                    <a:gd name="T41" fmla="*/ 22 w 22"/>
                    <a:gd name="T42" fmla="*/ 28 h 28"/>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 h="28">
                      <a:moveTo>
                        <a:pt x="0" y="5"/>
                      </a:moveTo>
                      <a:lnTo>
                        <a:pt x="8" y="0"/>
                      </a:lnTo>
                      <a:lnTo>
                        <a:pt x="10" y="1"/>
                      </a:lnTo>
                      <a:lnTo>
                        <a:pt x="12" y="2"/>
                      </a:lnTo>
                      <a:lnTo>
                        <a:pt x="15" y="5"/>
                      </a:lnTo>
                      <a:lnTo>
                        <a:pt x="18" y="8"/>
                      </a:lnTo>
                      <a:lnTo>
                        <a:pt x="20" y="12"/>
                      </a:lnTo>
                      <a:lnTo>
                        <a:pt x="21" y="15"/>
                      </a:lnTo>
                      <a:lnTo>
                        <a:pt x="22" y="18"/>
                      </a:lnTo>
                      <a:lnTo>
                        <a:pt x="22" y="21"/>
                      </a:lnTo>
                      <a:lnTo>
                        <a:pt x="21" y="23"/>
                      </a:lnTo>
                      <a:lnTo>
                        <a:pt x="19" y="26"/>
                      </a:lnTo>
                      <a:lnTo>
                        <a:pt x="14" y="28"/>
                      </a:lnTo>
                    </a:path>
                  </a:pathLst>
                </a:custGeom>
                <a:solidFill>
                  <a:srgbClr val="FFFF99"/>
                </a:solidFill>
                <a:ln w="9525">
                  <a:solidFill>
                    <a:srgbClr val="000000"/>
                  </a:solidFill>
                  <a:round/>
                  <a:headEnd/>
                  <a:tailEnd/>
                </a:ln>
              </xdr:spPr>
            </xdr:sp>
            <xdr:sp macro="" textlink="">
              <xdr:nvSpPr>
                <xdr:cNvPr id="12493" name="Oval 808"/>
                <xdr:cNvSpPr>
                  <a:spLocks noChangeArrowheads="1"/>
                </xdr:cNvSpPr>
              </xdr:nvSpPr>
              <xdr:spPr bwMode="auto">
                <a:xfrm rot="-1760819">
                  <a:off x="1409713" y="3810004"/>
                  <a:ext cx="12" cy="27"/>
                </a:xfrm>
                <a:prstGeom prst="ellipse">
                  <a:avLst/>
                </a:prstGeom>
                <a:solidFill>
                  <a:srgbClr val="FFFF99"/>
                </a:solidFill>
                <a:ln w="9525">
                  <a:solidFill>
                    <a:srgbClr val="000000"/>
                  </a:solidFill>
                  <a:round/>
                  <a:headEnd/>
                  <a:tailEnd/>
                </a:ln>
              </xdr:spPr>
            </xdr:sp>
            <xdr:sp macro="" textlink="">
              <xdr:nvSpPr>
                <xdr:cNvPr id="12494" name="Freeform 809"/>
                <xdr:cNvSpPr>
                  <a:spLocks/>
                </xdr:cNvSpPr>
              </xdr:nvSpPr>
              <xdr:spPr bwMode="auto">
                <a:xfrm>
                  <a:off x="1409700" y="3810010"/>
                  <a:ext cx="24" cy="23"/>
                </a:xfrm>
                <a:custGeom>
                  <a:avLst/>
                  <a:gdLst>
                    <a:gd name="T0" fmla="*/ 0 w 24"/>
                    <a:gd name="T1" fmla="*/ 8 h 23"/>
                    <a:gd name="T2" fmla="*/ 8 w 24"/>
                    <a:gd name="T3" fmla="*/ 4 h 23"/>
                    <a:gd name="T4" fmla="*/ 15 w 24"/>
                    <a:gd name="T5" fmla="*/ 0 h 23"/>
                    <a:gd name="T6" fmla="*/ 18 w 24"/>
                    <a:gd name="T7" fmla="*/ 1 h 23"/>
                    <a:gd name="T8" fmla="*/ 20 w 24"/>
                    <a:gd name="T9" fmla="*/ 3 h 23"/>
                    <a:gd name="T10" fmla="*/ 22 w 24"/>
                    <a:gd name="T11" fmla="*/ 5 h 23"/>
                    <a:gd name="T12" fmla="*/ 23 w 24"/>
                    <a:gd name="T13" fmla="*/ 8 h 23"/>
                    <a:gd name="T14" fmla="*/ 24 w 24"/>
                    <a:gd name="T15" fmla="*/ 10 h 23"/>
                    <a:gd name="T16" fmla="*/ 24 w 24"/>
                    <a:gd name="T17" fmla="*/ 13 h 23"/>
                    <a:gd name="T18" fmla="*/ 23 w 24"/>
                    <a:gd name="T19" fmla="*/ 15 h 23"/>
                    <a:gd name="T20" fmla="*/ 20 w 24"/>
                    <a:gd name="T21" fmla="*/ 17 h 23"/>
                    <a:gd name="T22" fmla="*/ 16 w 24"/>
                    <a:gd name="T23" fmla="*/ 19 h 23"/>
                    <a:gd name="T24" fmla="*/ 9 w 24"/>
                    <a:gd name="T25" fmla="*/ 23 h 23"/>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4"/>
                    <a:gd name="T40" fmla="*/ 0 h 23"/>
                    <a:gd name="T41" fmla="*/ 24 w 24"/>
                    <a:gd name="T42" fmla="*/ 23 h 23"/>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4" h="23">
                      <a:moveTo>
                        <a:pt x="0" y="8"/>
                      </a:moveTo>
                      <a:lnTo>
                        <a:pt x="8" y="4"/>
                      </a:lnTo>
                      <a:lnTo>
                        <a:pt x="15" y="0"/>
                      </a:lnTo>
                      <a:lnTo>
                        <a:pt x="18" y="1"/>
                      </a:lnTo>
                      <a:lnTo>
                        <a:pt x="20" y="3"/>
                      </a:lnTo>
                      <a:lnTo>
                        <a:pt x="22" y="5"/>
                      </a:lnTo>
                      <a:lnTo>
                        <a:pt x="23" y="8"/>
                      </a:lnTo>
                      <a:lnTo>
                        <a:pt x="24" y="10"/>
                      </a:lnTo>
                      <a:lnTo>
                        <a:pt x="24" y="13"/>
                      </a:lnTo>
                      <a:lnTo>
                        <a:pt x="23" y="15"/>
                      </a:lnTo>
                      <a:lnTo>
                        <a:pt x="20" y="17"/>
                      </a:lnTo>
                      <a:lnTo>
                        <a:pt x="16" y="19"/>
                      </a:lnTo>
                      <a:lnTo>
                        <a:pt x="9" y="23"/>
                      </a:lnTo>
                    </a:path>
                  </a:pathLst>
                </a:custGeom>
                <a:solidFill>
                  <a:srgbClr val="FF9933"/>
                </a:solidFill>
                <a:ln w="9525">
                  <a:solidFill>
                    <a:srgbClr val="000000"/>
                  </a:solidFill>
                  <a:round/>
                  <a:headEnd/>
                  <a:tailEnd/>
                </a:ln>
              </xdr:spPr>
            </xdr:sp>
            <xdr:sp macro="" textlink="">
              <xdr:nvSpPr>
                <xdr:cNvPr id="12495" name="Oval 810"/>
                <xdr:cNvSpPr>
                  <a:spLocks noChangeArrowheads="1"/>
                </xdr:cNvSpPr>
              </xdr:nvSpPr>
              <xdr:spPr bwMode="auto">
                <a:xfrm rot="-1760819">
                  <a:off x="1409701" y="3810017"/>
                  <a:ext cx="7" cy="17"/>
                </a:xfrm>
                <a:prstGeom prst="ellipse">
                  <a:avLst/>
                </a:prstGeom>
                <a:solidFill>
                  <a:srgbClr val="FF9933"/>
                </a:solidFill>
                <a:ln w="9525">
                  <a:solidFill>
                    <a:srgbClr val="000000"/>
                  </a:solidFill>
                  <a:round/>
                  <a:headEnd/>
                  <a:tailEnd/>
                </a:ln>
              </xdr:spPr>
            </xdr:sp>
          </xdr:grpSp>
          <xdr:sp macro="" textlink="">
            <xdr:nvSpPr>
              <xdr:cNvPr id="12459" name="Line 1257"/>
              <xdr:cNvSpPr>
                <a:spLocks noChangeShapeType="1"/>
              </xdr:cNvSpPr>
            </xdr:nvSpPr>
            <xdr:spPr bwMode="auto">
              <a:xfrm>
                <a:off x="3981450" y="18135600"/>
                <a:ext cx="171450" cy="0"/>
              </a:xfrm>
              <a:prstGeom prst="line">
                <a:avLst/>
              </a:prstGeom>
              <a:noFill/>
              <a:ln w="38100">
                <a:solidFill>
                  <a:srgbClr val="000000"/>
                </a:solidFill>
                <a:round/>
                <a:headEnd/>
                <a:tailEnd/>
              </a:ln>
            </xdr:spPr>
          </xdr:sp>
          <xdr:grpSp>
            <xdr:nvGrpSpPr>
              <xdr:cNvPr id="12463" name="Group 1275"/>
              <xdr:cNvGrpSpPr>
                <a:grpSpLocks/>
              </xdr:cNvGrpSpPr>
            </xdr:nvGrpSpPr>
            <xdr:grpSpPr bwMode="auto">
              <a:xfrm>
                <a:off x="3981450" y="17383125"/>
                <a:ext cx="171450" cy="161925"/>
                <a:chOff x="295" y="443"/>
                <a:chExt cx="18" cy="17"/>
              </a:xfrm>
            </xdr:grpSpPr>
            <xdr:sp macro="" textlink="">
              <xdr:nvSpPr>
                <xdr:cNvPr id="12488" name="Line 1276"/>
                <xdr:cNvSpPr>
                  <a:spLocks noChangeShapeType="1"/>
                </xdr:cNvSpPr>
              </xdr:nvSpPr>
              <xdr:spPr bwMode="auto">
                <a:xfrm>
                  <a:off x="304" y="443"/>
                  <a:ext cx="0" cy="17"/>
                </a:xfrm>
                <a:prstGeom prst="line">
                  <a:avLst/>
                </a:prstGeom>
                <a:noFill/>
                <a:ln w="38100">
                  <a:solidFill>
                    <a:srgbClr val="000000"/>
                  </a:solidFill>
                  <a:round/>
                  <a:headEnd/>
                  <a:tailEnd/>
                </a:ln>
              </xdr:spPr>
            </xdr:sp>
            <xdr:sp macro="" textlink="">
              <xdr:nvSpPr>
                <xdr:cNvPr id="12489" name="Line 1277"/>
                <xdr:cNvSpPr>
                  <a:spLocks noChangeShapeType="1"/>
                </xdr:cNvSpPr>
              </xdr:nvSpPr>
              <xdr:spPr bwMode="auto">
                <a:xfrm>
                  <a:off x="295" y="451"/>
                  <a:ext cx="18" cy="0"/>
                </a:xfrm>
                <a:prstGeom prst="line">
                  <a:avLst/>
                </a:prstGeom>
                <a:noFill/>
                <a:ln w="38100">
                  <a:solidFill>
                    <a:srgbClr val="000000"/>
                  </a:solidFill>
                  <a:round/>
                  <a:headEnd/>
                  <a:tailEnd/>
                </a:ln>
              </xdr:spPr>
            </xdr:sp>
          </xdr:grpSp>
          <xdr:cxnSp macro="">
            <xdr:nvCxnSpPr>
              <xdr:cNvPr id="26" name="Straight Connector 25"/>
              <xdr:cNvCxnSpPr/>
            </xdr:nvCxnSpPr>
            <xdr:spPr>
              <a:xfrm flipH="1">
                <a:off x="7075325" y="16489531"/>
                <a:ext cx="803859" cy="492041"/>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543" name="Straight Connector 542"/>
              <xdr:cNvCxnSpPr/>
            </xdr:nvCxnSpPr>
            <xdr:spPr>
              <a:xfrm flipV="1">
                <a:off x="7081591" y="16989844"/>
                <a:ext cx="2006" cy="67076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546" name="Straight Connector 545"/>
              <xdr:cNvCxnSpPr/>
            </xdr:nvCxnSpPr>
            <xdr:spPr>
              <a:xfrm flipH="1">
                <a:off x="7075324" y="17183100"/>
                <a:ext cx="805866" cy="490037"/>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548" name="Straight Connector 547"/>
              <xdr:cNvCxnSpPr/>
            </xdr:nvCxnSpPr>
            <xdr:spPr>
              <a:xfrm flipV="1">
                <a:off x="7883195" y="16493541"/>
                <a:ext cx="0" cy="693821"/>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9" name="Straight Connector 28"/>
              <xdr:cNvCxnSpPr/>
            </xdr:nvCxnSpPr>
            <xdr:spPr>
              <a:xfrm flipH="1" flipV="1">
                <a:off x="6189997" y="16918907"/>
                <a:ext cx="885324" cy="62664"/>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536" name="Straight Connector 535"/>
              <xdr:cNvCxnSpPr/>
            </xdr:nvCxnSpPr>
            <xdr:spPr>
              <a:xfrm flipH="1">
                <a:off x="6096000" y="16933446"/>
                <a:ext cx="428124" cy="265446"/>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813283" name="Straight Connector 813282"/>
              <xdr:cNvCxnSpPr/>
            </xdr:nvCxnSpPr>
            <xdr:spPr>
              <a:xfrm>
                <a:off x="7684920" y="15991222"/>
                <a:ext cx="200526" cy="498308"/>
              </a:xfrm>
              <a:prstGeom prst="line">
                <a:avLst/>
              </a:prstGeom>
            </xdr:spPr>
            <xdr:style>
              <a:lnRef idx="1">
                <a:schemeClr val="accent1"/>
              </a:lnRef>
              <a:fillRef idx="0">
                <a:schemeClr val="accent1"/>
              </a:fillRef>
              <a:effectRef idx="0">
                <a:schemeClr val="accent1"/>
              </a:effectRef>
              <a:fontRef idx="minor">
                <a:schemeClr val="tx1"/>
              </a:fontRef>
            </xdr:style>
          </xdr:cxnSp>
          <xdr:sp macro="" textlink="">
            <xdr:nvSpPr>
              <xdr:cNvPr id="813286" name="Freeform 813285"/>
              <xdr:cNvSpPr/>
            </xdr:nvSpPr>
            <xdr:spPr>
              <a:xfrm>
                <a:off x="4609190" y="17065811"/>
                <a:ext cx="574665" cy="780779"/>
              </a:xfrm>
              <a:custGeom>
                <a:avLst/>
                <a:gdLst>
                  <a:gd name="connsiteX0" fmla="*/ 6266 w 469983"/>
                  <a:gd name="connsiteY0" fmla="*/ 0 h 714375"/>
                  <a:gd name="connsiteX1" fmla="*/ 388519 w 469983"/>
                  <a:gd name="connsiteY1" fmla="*/ 194260 h 714375"/>
                  <a:gd name="connsiteX2" fmla="*/ 413585 w 469983"/>
                  <a:gd name="connsiteY2" fmla="*/ 238125 h 714375"/>
                  <a:gd name="connsiteX3" fmla="*/ 438651 w 469983"/>
                  <a:gd name="connsiteY3" fmla="*/ 294523 h 714375"/>
                  <a:gd name="connsiteX4" fmla="*/ 451184 w 469983"/>
                  <a:gd name="connsiteY4" fmla="*/ 338388 h 714375"/>
                  <a:gd name="connsiteX5" fmla="*/ 469983 w 469983"/>
                  <a:gd name="connsiteY5" fmla="*/ 413586 h 714375"/>
                  <a:gd name="connsiteX6" fmla="*/ 469983 w 469983"/>
                  <a:gd name="connsiteY6" fmla="*/ 632911 h 714375"/>
                  <a:gd name="connsiteX7" fmla="*/ 457450 w 469983"/>
                  <a:gd name="connsiteY7" fmla="*/ 689309 h 714375"/>
                  <a:gd name="connsiteX8" fmla="*/ 438651 w 469983"/>
                  <a:gd name="connsiteY8" fmla="*/ 701842 h 714375"/>
                  <a:gd name="connsiteX9" fmla="*/ 413585 w 469983"/>
                  <a:gd name="connsiteY9" fmla="*/ 714375 h 714375"/>
                  <a:gd name="connsiteX10" fmla="*/ 375986 w 469983"/>
                  <a:gd name="connsiteY10" fmla="*/ 701842 h 714375"/>
                  <a:gd name="connsiteX11" fmla="*/ 0 w 469983"/>
                  <a:gd name="connsiteY11" fmla="*/ 501316 h 714375"/>
                  <a:gd name="connsiteX12" fmla="*/ 6266 w 469983"/>
                  <a:gd name="connsiteY12" fmla="*/ 0 h 714375"/>
                  <a:gd name="connsiteX0" fmla="*/ 28386 w 492103"/>
                  <a:gd name="connsiteY0" fmla="*/ 1553 h 715928"/>
                  <a:gd name="connsiteX1" fmla="*/ 410639 w 492103"/>
                  <a:gd name="connsiteY1" fmla="*/ 195813 h 715928"/>
                  <a:gd name="connsiteX2" fmla="*/ 435705 w 492103"/>
                  <a:gd name="connsiteY2" fmla="*/ 239678 h 715928"/>
                  <a:gd name="connsiteX3" fmla="*/ 460771 w 492103"/>
                  <a:gd name="connsiteY3" fmla="*/ 296076 h 715928"/>
                  <a:gd name="connsiteX4" fmla="*/ 473304 w 492103"/>
                  <a:gd name="connsiteY4" fmla="*/ 339941 h 715928"/>
                  <a:gd name="connsiteX5" fmla="*/ 492103 w 492103"/>
                  <a:gd name="connsiteY5" fmla="*/ 415139 h 715928"/>
                  <a:gd name="connsiteX6" fmla="*/ 492103 w 492103"/>
                  <a:gd name="connsiteY6" fmla="*/ 634464 h 715928"/>
                  <a:gd name="connsiteX7" fmla="*/ 479570 w 492103"/>
                  <a:gd name="connsiteY7" fmla="*/ 690862 h 715928"/>
                  <a:gd name="connsiteX8" fmla="*/ 460771 w 492103"/>
                  <a:gd name="connsiteY8" fmla="*/ 703395 h 715928"/>
                  <a:gd name="connsiteX9" fmla="*/ 435705 w 492103"/>
                  <a:gd name="connsiteY9" fmla="*/ 715928 h 715928"/>
                  <a:gd name="connsiteX10" fmla="*/ 398106 w 492103"/>
                  <a:gd name="connsiteY10" fmla="*/ 703395 h 715928"/>
                  <a:gd name="connsiteX11" fmla="*/ 22120 w 492103"/>
                  <a:gd name="connsiteY11" fmla="*/ 502869 h 715928"/>
                  <a:gd name="connsiteX12" fmla="*/ 48591 w 492103"/>
                  <a:gd name="connsiteY12" fmla="*/ 126884 h 715928"/>
                  <a:gd name="connsiteX13" fmla="*/ 28386 w 492103"/>
                  <a:gd name="connsiteY13" fmla="*/ 1553 h 715928"/>
                  <a:gd name="connsiteX0" fmla="*/ 13165 w 581267"/>
                  <a:gd name="connsiteY0" fmla="*/ 764 h 782285"/>
                  <a:gd name="connsiteX1" fmla="*/ 499803 w 581267"/>
                  <a:gd name="connsiteY1" fmla="*/ 262170 h 782285"/>
                  <a:gd name="connsiteX2" fmla="*/ 524869 w 581267"/>
                  <a:gd name="connsiteY2" fmla="*/ 306035 h 782285"/>
                  <a:gd name="connsiteX3" fmla="*/ 549935 w 581267"/>
                  <a:gd name="connsiteY3" fmla="*/ 362433 h 782285"/>
                  <a:gd name="connsiteX4" fmla="*/ 562468 w 581267"/>
                  <a:gd name="connsiteY4" fmla="*/ 406298 h 782285"/>
                  <a:gd name="connsiteX5" fmla="*/ 581267 w 581267"/>
                  <a:gd name="connsiteY5" fmla="*/ 481496 h 782285"/>
                  <a:gd name="connsiteX6" fmla="*/ 581267 w 581267"/>
                  <a:gd name="connsiteY6" fmla="*/ 700821 h 782285"/>
                  <a:gd name="connsiteX7" fmla="*/ 568734 w 581267"/>
                  <a:gd name="connsiteY7" fmla="*/ 757219 h 782285"/>
                  <a:gd name="connsiteX8" fmla="*/ 549935 w 581267"/>
                  <a:gd name="connsiteY8" fmla="*/ 769752 h 782285"/>
                  <a:gd name="connsiteX9" fmla="*/ 524869 w 581267"/>
                  <a:gd name="connsiteY9" fmla="*/ 782285 h 782285"/>
                  <a:gd name="connsiteX10" fmla="*/ 487270 w 581267"/>
                  <a:gd name="connsiteY10" fmla="*/ 769752 h 782285"/>
                  <a:gd name="connsiteX11" fmla="*/ 111284 w 581267"/>
                  <a:gd name="connsiteY11" fmla="*/ 569226 h 782285"/>
                  <a:gd name="connsiteX12" fmla="*/ 137755 w 581267"/>
                  <a:gd name="connsiteY12" fmla="*/ 193241 h 782285"/>
                  <a:gd name="connsiteX13" fmla="*/ 13165 w 581267"/>
                  <a:gd name="connsiteY13" fmla="*/ 764 h 782285"/>
                  <a:gd name="connsiteX0" fmla="*/ 23631 w 591733"/>
                  <a:gd name="connsiteY0" fmla="*/ 7646 h 789167"/>
                  <a:gd name="connsiteX1" fmla="*/ 510269 w 591733"/>
                  <a:gd name="connsiteY1" fmla="*/ 269052 h 789167"/>
                  <a:gd name="connsiteX2" fmla="*/ 535335 w 591733"/>
                  <a:gd name="connsiteY2" fmla="*/ 312917 h 789167"/>
                  <a:gd name="connsiteX3" fmla="*/ 560401 w 591733"/>
                  <a:gd name="connsiteY3" fmla="*/ 369315 h 789167"/>
                  <a:gd name="connsiteX4" fmla="*/ 572934 w 591733"/>
                  <a:gd name="connsiteY4" fmla="*/ 413180 h 789167"/>
                  <a:gd name="connsiteX5" fmla="*/ 591733 w 591733"/>
                  <a:gd name="connsiteY5" fmla="*/ 488378 h 789167"/>
                  <a:gd name="connsiteX6" fmla="*/ 591733 w 591733"/>
                  <a:gd name="connsiteY6" fmla="*/ 707703 h 789167"/>
                  <a:gd name="connsiteX7" fmla="*/ 579200 w 591733"/>
                  <a:gd name="connsiteY7" fmla="*/ 764101 h 789167"/>
                  <a:gd name="connsiteX8" fmla="*/ 560401 w 591733"/>
                  <a:gd name="connsiteY8" fmla="*/ 776634 h 789167"/>
                  <a:gd name="connsiteX9" fmla="*/ 535335 w 591733"/>
                  <a:gd name="connsiteY9" fmla="*/ 789167 h 789167"/>
                  <a:gd name="connsiteX10" fmla="*/ 497736 w 591733"/>
                  <a:gd name="connsiteY10" fmla="*/ 776634 h 789167"/>
                  <a:gd name="connsiteX11" fmla="*/ 121750 w 591733"/>
                  <a:gd name="connsiteY11" fmla="*/ 576108 h 789167"/>
                  <a:gd name="connsiteX12" fmla="*/ 148221 w 591733"/>
                  <a:gd name="connsiteY12" fmla="*/ 200123 h 789167"/>
                  <a:gd name="connsiteX13" fmla="*/ 86540 w 591733"/>
                  <a:gd name="connsiteY13" fmla="*/ 80221 h 789167"/>
                  <a:gd name="connsiteX14" fmla="*/ 23631 w 591733"/>
                  <a:gd name="connsiteY14" fmla="*/ 7646 h 789167"/>
                  <a:gd name="connsiteX0" fmla="*/ 22759 w 590861"/>
                  <a:gd name="connsiteY0" fmla="*/ 8208 h 789729"/>
                  <a:gd name="connsiteX1" fmla="*/ 509397 w 590861"/>
                  <a:gd name="connsiteY1" fmla="*/ 269614 h 789729"/>
                  <a:gd name="connsiteX2" fmla="*/ 534463 w 590861"/>
                  <a:gd name="connsiteY2" fmla="*/ 313479 h 789729"/>
                  <a:gd name="connsiteX3" fmla="*/ 559529 w 590861"/>
                  <a:gd name="connsiteY3" fmla="*/ 369877 h 789729"/>
                  <a:gd name="connsiteX4" fmla="*/ 572062 w 590861"/>
                  <a:gd name="connsiteY4" fmla="*/ 413742 h 789729"/>
                  <a:gd name="connsiteX5" fmla="*/ 590861 w 590861"/>
                  <a:gd name="connsiteY5" fmla="*/ 488940 h 789729"/>
                  <a:gd name="connsiteX6" fmla="*/ 590861 w 590861"/>
                  <a:gd name="connsiteY6" fmla="*/ 708265 h 789729"/>
                  <a:gd name="connsiteX7" fmla="*/ 578328 w 590861"/>
                  <a:gd name="connsiteY7" fmla="*/ 764663 h 789729"/>
                  <a:gd name="connsiteX8" fmla="*/ 559529 w 590861"/>
                  <a:gd name="connsiteY8" fmla="*/ 777196 h 789729"/>
                  <a:gd name="connsiteX9" fmla="*/ 534463 w 590861"/>
                  <a:gd name="connsiteY9" fmla="*/ 789729 h 789729"/>
                  <a:gd name="connsiteX10" fmla="*/ 496864 w 590861"/>
                  <a:gd name="connsiteY10" fmla="*/ 777196 h 789729"/>
                  <a:gd name="connsiteX11" fmla="*/ 120878 w 590861"/>
                  <a:gd name="connsiteY11" fmla="*/ 576670 h 789729"/>
                  <a:gd name="connsiteX12" fmla="*/ 147349 w 590861"/>
                  <a:gd name="connsiteY12" fmla="*/ 200685 h 789729"/>
                  <a:gd name="connsiteX13" fmla="*/ 85668 w 590861"/>
                  <a:gd name="connsiteY13" fmla="*/ 80783 h 789729"/>
                  <a:gd name="connsiteX14" fmla="*/ 22759 w 590861"/>
                  <a:gd name="connsiteY14" fmla="*/ 8208 h 789729"/>
                  <a:gd name="connsiteX0" fmla="*/ 22759 w 590861"/>
                  <a:gd name="connsiteY0" fmla="*/ 8208 h 789729"/>
                  <a:gd name="connsiteX1" fmla="*/ 509397 w 590861"/>
                  <a:gd name="connsiteY1" fmla="*/ 269614 h 789729"/>
                  <a:gd name="connsiteX2" fmla="*/ 534463 w 590861"/>
                  <a:gd name="connsiteY2" fmla="*/ 313479 h 789729"/>
                  <a:gd name="connsiteX3" fmla="*/ 559529 w 590861"/>
                  <a:gd name="connsiteY3" fmla="*/ 369877 h 789729"/>
                  <a:gd name="connsiteX4" fmla="*/ 572062 w 590861"/>
                  <a:gd name="connsiteY4" fmla="*/ 413742 h 789729"/>
                  <a:gd name="connsiteX5" fmla="*/ 590861 w 590861"/>
                  <a:gd name="connsiteY5" fmla="*/ 488940 h 789729"/>
                  <a:gd name="connsiteX6" fmla="*/ 590861 w 590861"/>
                  <a:gd name="connsiteY6" fmla="*/ 708265 h 789729"/>
                  <a:gd name="connsiteX7" fmla="*/ 578328 w 590861"/>
                  <a:gd name="connsiteY7" fmla="*/ 764663 h 789729"/>
                  <a:gd name="connsiteX8" fmla="*/ 559529 w 590861"/>
                  <a:gd name="connsiteY8" fmla="*/ 777196 h 789729"/>
                  <a:gd name="connsiteX9" fmla="*/ 534463 w 590861"/>
                  <a:gd name="connsiteY9" fmla="*/ 789729 h 789729"/>
                  <a:gd name="connsiteX10" fmla="*/ 496864 w 590861"/>
                  <a:gd name="connsiteY10" fmla="*/ 777196 h 789729"/>
                  <a:gd name="connsiteX11" fmla="*/ 120878 w 590861"/>
                  <a:gd name="connsiteY11" fmla="*/ 576670 h 789729"/>
                  <a:gd name="connsiteX12" fmla="*/ 147349 w 590861"/>
                  <a:gd name="connsiteY12" fmla="*/ 200685 h 789729"/>
                  <a:gd name="connsiteX13" fmla="*/ 130744 w 590861"/>
                  <a:gd name="connsiteY13" fmla="*/ 162317 h 789729"/>
                  <a:gd name="connsiteX14" fmla="*/ 85668 w 590861"/>
                  <a:gd name="connsiteY14" fmla="*/ 80783 h 789729"/>
                  <a:gd name="connsiteX15" fmla="*/ 22759 w 590861"/>
                  <a:gd name="connsiteY15" fmla="*/ 8208 h 789729"/>
                  <a:gd name="connsiteX0" fmla="*/ 22759 w 590861"/>
                  <a:gd name="connsiteY0" fmla="*/ 8208 h 789729"/>
                  <a:gd name="connsiteX1" fmla="*/ 509397 w 590861"/>
                  <a:gd name="connsiteY1" fmla="*/ 269614 h 789729"/>
                  <a:gd name="connsiteX2" fmla="*/ 534463 w 590861"/>
                  <a:gd name="connsiteY2" fmla="*/ 313479 h 789729"/>
                  <a:gd name="connsiteX3" fmla="*/ 559529 w 590861"/>
                  <a:gd name="connsiteY3" fmla="*/ 369877 h 789729"/>
                  <a:gd name="connsiteX4" fmla="*/ 572062 w 590861"/>
                  <a:gd name="connsiteY4" fmla="*/ 413742 h 789729"/>
                  <a:gd name="connsiteX5" fmla="*/ 590861 w 590861"/>
                  <a:gd name="connsiteY5" fmla="*/ 488940 h 789729"/>
                  <a:gd name="connsiteX6" fmla="*/ 590861 w 590861"/>
                  <a:gd name="connsiteY6" fmla="*/ 708265 h 789729"/>
                  <a:gd name="connsiteX7" fmla="*/ 578328 w 590861"/>
                  <a:gd name="connsiteY7" fmla="*/ 764663 h 789729"/>
                  <a:gd name="connsiteX8" fmla="*/ 559529 w 590861"/>
                  <a:gd name="connsiteY8" fmla="*/ 777196 h 789729"/>
                  <a:gd name="connsiteX9" fmla="*/ 534463 w 590861"/>
                  <a:gd name="connsiteY9" fmla="*/ 789729 h 789729"/>
                  <a:gd name="connsiteX10" fmla="*/ 496864 w 590861"/>
                  <a:gd name="connsiteY10" fmla="*/ 777196 h 789729"/>
                  <a:gd name="connsiteX11" fmla="*/ 120878 w 590861"/>
                  <a:gd name="connsiteY11" fmla="*/ 576670 h 789729"/>
                  <a:gd name="connsiteX12" fmla="*/ 125997 w 590861"/>
                  <a:gd name="connsiteY12" fmla="*/ 205481 h 789729"/>
                  <a:gd name="connsiteX13" fmla="*/ 130744 w 590861"/>
                  <a:gd name="connsiteY13" fmla="*/ 162317 h 789729"/>
                  <a:gd name="connsiteX14" fmla="*/ 85668 w 590861"/>
                  <a:gd name="connsiteY14" fmla="*/ 80783 h 789729"/>
                  <a:gd name="connsiteX15" fmla="*/ 22759 w 590861"/>
                  <a:gd name="connsiteY15" fmla="*/ 8208 h 789729"/>
                  <a:gd name="connsiteX0" fmla="*/ 22759 w 590861"/>
                  <a:gd name="connsiteY0" fmla="*/ 8208 h 789729"/>
                  <a:gd name="connsiteX1" fmla="*/ 509397 w 590861"/>
                  <a:gd name="connsiteY1" fmla="*/ 269614 h 789729"/>
                  <a:gd name="connsiteX2" fmla="*/ 534463 w 590861"/>
                  <a:gd name="connsiteY2" fmla="*/ 313479 h 789729"/>
                  <a:gd name="connsiteX3" fmla="*/ 559529 w 590861"/>
                  <a:gd name="connsiteY3" fmla="*/ 369877 h 789729"/>
                  <a:gd name="connsiteX4" fmla="*/ 572062 w 590861"/>
                  <a:gd name="connsiteY4" fmla="*/ 413742 h 789729"/>
                  <a:gd name="connsiteX5" fmla="*/ 590861 w 590861"/>
                  <a:gd name="connsiteY5" fmla="*/ 488940 h 789729"/>
                  <a:gd name="connsiteX6" fmla="*/ 590861 w 590861"/>
                  <a:gd name="connsiteY6" fmla="*/ 708265 h 789729"/>
                  <a:gd name="connsiteX7" fmla="*/ 578328 w 590861"/>
                  <a:gd name="connsiteY7" fmla="*/ 764663 h 789729"/>
                  <a:gd name="connsiteX8" fmla="*/ 559529 w 590861"/>
                  <a:gd name="connsiteY8" fmla="*/ 777196 h 789729"/>
                  <a:gd name="connsiteX9" fmla="*/ 534463 w 590861"/>
                  <a:gd name="connsiteY9" fmla="*/ 789729 h 789729"/>
                  <a:gd name="connsiteX10" fmla="*/ 496864 w 590861"/>
                  <a:gd name="connsiteY10" fmla="*/ 777196 h 789729"/>
                  <a:gd name="connsiteX11" fmla="*/ 120878 w 590861"/>
                  <a:gd name="connsiteY11" fmla="*/ 576670 h 789729"/>
                  <a:gd name="connsiteX12" fmla="*/ 125997 w 590861"/>
                  <a:gd name="connsiteY12" fmla="*/ 205481 h 789729"/>
                  <a:gd name="connsiteX13" fmla="*/ 130744 w 590861"/>
                  <a:gd name="connsiteY13" fmla="*/ 162317 h 789729"/>
                  <a:gd name="connsiteX14" fmla="*/ 85668 w 590861"/>
                  <a:gd name="connsiteY14" fmla="*/ 80783 h 789729"/>
                  <a:gd name="connsiteX15" fmla="*/ 22759 w 590861"/>
                  <a:gd name="connsiteY15" fmla="*/ 8208 h 789729"/>
                  <a:gd name="connsiteX0" fmla="*/ 22759 w 590861"/>
                  <a:gd name="connsiteY0" fmla="*/ 8208 h 789729"/>
                  <a:gd name="connsiteX1" fmla="*/ 509397 w 590861"/>
                  <a:gd name="connsiteY1" fmla="*/ 269614 h 789729"/>
                  <a:gd name="connsiteX2" fmla="*/ 534463 w 590861"/>
                  <a:gd name="connsiteY2" fmla="*/ 313479 h 789729"/>
                  <a:gd name="connsiteX3" fmla="*/ 559529 w 590861"/>
                  <a:gd name="connsiteY3" fmla="*/ 369877 h 789729"/>
                  <a:gd name="connsiteX4" fmla="*/ 572062 w 590861"/>
                  <a:gd name="connsiteY4" fmla="*/ 413742 h 789729"/>
                  <a:gd name="connsiteX5" fmla="*/ 590861 w 590861"/>
                  <a:gd name="connsiteY5" fmla="*/ 488940 h 789729"/>
                  <a:gd name="connsiteX6" fmla="*/ 590861 w 590861"/>
                  <a:gd name="connsiteY6" fmla="*/ 708265 h 789729"/>
                  <a:gd name="connsiteX7" fmla="*/ 578328 w 590861"/>
                  <a:gd name="connsiteY7" fmla="*/ 764663 h 789729"/>
                  <a:gd name="connsiteX8" fmla="*/ 559529 w 590861"/>
                  <a:gd name="connsiteY8" fmla="*/ 777196 h 789729"/>
                  <a:gd name="connsiteX9" fmla="*/ 534463 w 590861"/>
                  <a:gd name="connsiteY9" fmla="*/ 789729 h 789729"/>
                  <a:gd name="connsiteX10" fmla="*/ 496864 w 590861"/>
                  <a:gd name="connsiteY10" fmla="*/ 777196 h 789729"/>
                  <a:gd name="connsiteX11" fmla="*/ 120878 w 590861"/>
                  <a:gd name="connsiteY11" fmla="*/ 576670 h 789729"/>
                  <a:gd name="connsiteX12" fmla="*/ 125997 w 590861"/>
                  <a:gd name="connsiteY12" fmla="*/ 205481 h 789729"/>
                  <a:gd name="connsiteX13" fmla="*/ 121254 w 590861"/>
                  <a:gd name="connsiteY13" fmla="*/ 135939 h 789729"/>
                  <a:gd name="connsiteX14" fmla="*/ 85668 w 590861"/>
                  <a:gd name="connsiteY14" fmla="*/ 80783 h 789729"/>
                  <a:gd name="connsiteX15" fmla="*/ 22759 w 590861"/>
                  <a:gd name="connsiteY15" fmla="*/ 8208 h 789729"/>
                  <a:gd name="connsiteX0" fmla="*/ 22759 w 590861"/>
                  <a:gd name="connsiteY0" fmla="*/ 8208 h 789729"/>
                  <a:gd name="connsiteX1" fmla="*/ 509397 w 590861"/>
                  <a:gd name="connsiteY1" fmla="*/ 269614 h 789729"/>
                  <a:gd name="connsiteX2" fmla="*/ 534463 w 590861"/>
                  <a:gd name="connsiteY2" fmla="*/ 313479 h 789729"/>
                  <a:gd name="connsiteX3" fmla="*/ 559529 w 590861"/>
                  <a:gd name="connsiteY3" fmla="*/ 369877 h 789729"/>
                  <a:gd name="connsiteX4" fmla="*/ 572062 w 590861"/>
                  <a:gd name="connsiteY4" fmla="*/ 413742 h 789729"/>
                  <a:gd name="connsiteX5" fmla="*/ 590861 w 590861"/>
                  <a:gd name="connsiteY5" fmla="*/ 488940 h 789729"/>
                  <a:gd name="connsiteX6" fmla="*/ 590861 w 590861"/>
                  <a:gd name="connsiteY6" fmla="*/ 708265 h 789729"/>
                  <a:gd name="connsiteX7" fmla="*/ 578328 w 590861"/>
                  <a:gd name="connsiteY7" fmla="*/ 764663 h 789729"/>
                  <a:gd name="connsiteX8" fmla="*/ 559529 w 590861"/>
                  <a:gd name="connsiteY8" fmla="*/ 777196 h 789729"/>
                  <a:gd name="connsiteX9" fmla="*/ 534463 w 590861"/>
                  <a:gd name="connsiteY9" fmla="*/ 789729 h 789729"/>
                  <a:gd name="connsiteX10" fmla="*/ 496864 w 590861"/>
                  <a:gd name="connsiteY10" fmla="*/ 777196 h 789729"/>
                  <a:gd name="connsiteX11" fmla="*/ 120878 w 590861"/>
                  <a:gd name="connsiteY11" fmla="*/ 576670 h 789729"/>
                  <a:gd name="connsiteX12" fmla="*/ 123626 w 590861"/>
                  <a:gd name="connsiteY12" fmla="*/ 390135 h 789729"/>
                  <a:gd name="connsiteX13" fmla="*/ 125997 w 590861"/>
                  <a:gd name="connsiteY13" fmla="*/ 205481 h 789729"/>
                  <a:gd name="connsiteX14" fmla="*/ 121254 w 590861"/>
                  <a:gd name="connsiteY14" fmla="*/ 135939 h 789729"/>
                  <a:gd name="connsiteX15" fmla="*/ 85668 w 590861"/>
                  <a:gd name="connsiteY15" fmla="*/ 80783 h 789729"/>
                  <a:gd name="connsiteX16" fmla="*/ 22759 w 590861"/>
                  <a:gd name="connsiteY16" fmla="*/ 8208 h 789729"/>
                  <a:gd name="connsiteX0" fmla="*/ 22759 w 590861"/>
                  <a:gd name="connsiteY0" fmla="*/ 8208 h 789729"/>
                  <a:gd name="connsiteX1" fmla="*/ 509397 w 590861"/>
                  <a:gd name="connsiteY1" fmla="*/ 269614 h 789729"/>
                  <a:gd name="connsiteX2" fmla="*/ 534463 w 590861"/>
                  <a:gd name="connsiteY2" fmla="*/ 313479 h 789729"/>
                  <a:gd name="connsiteX3" fmla="*/ 559529 w 590861"/>
                  <a:gd name="connsiteY3" fmla="*/ 369877 h 789729"/>
                  <a:gd name="connsiteX4" fmla="*/ 572062 w 590861"/>
                  <a:gd name="connsiteY4" fmla="*/ 413742 h 789729"/>
                  <a:gd name="connsiteX5" fmla="*/ 590861 w 590861"/>
                  <a:gd name="connsiteY5" fmla="*/ 488940 h 789729"/>
                  <a:gd name="connsiteX6" fmla="*/ 590861 w 590861"/>
                  <a:gd name="connsiteY6" fmla="*/ 708265 h 789729"/>
                  <a:gd name="connsiteX7" fmla="*/ 578328 w 590861"/>
                  <a:gd name="connsiteY7" fmla="*/ 764663 h 789729"/>
                  <a:gd name="connsiteX8" fmla="*/ 559529 w 590861"/>
                  <a:gd name="connsiteY8" fmla="*/ 777196 h 789729"/>
                  <a:gd name="connsiteX9" fmla="*/ 534463 w 590861"/>
                  <a:gd name="connsiteY9" fmla="*/ 789729 h 789729"/>
                  <a:gd name="connsiteX10" fmla="*/ 496864 w 590861"/>
                  <a:gd name="connsiteY10" fmla="*/ 777196 h 789729"/>
                  <a:gd name="connsiteX11" fmla="*/ 120878 w 590861"/>
                  <a:gd name="connsiteY11" fmla="*/ 576670 h 789729"/>
                  <a:gd name="connsiteX12" fmla="*/ 121254 w 590861"/>
                  <a:gd name="connsiteY12" fmla="*/ 512437 h 789729"/>
                  <a:gd name="connsiteX13" fmla="*/ 123626 w 590861"/>
                  <a:gd name="connsiteY13" fmla="*/ 390135 h 789729"/>
                  <a:gd name="connsiteX14" fmla="*/ 125997 w 590861"/>
                  <a:gd name="connsiteY14" fmla="*/ 205481 h 789729"/>
                  <a:gd name="connsiteX15" fmla="*/ 121254 w 590861"/>
                  <a:gd name="connsiteY15" fmla="*/ 135939 h 789729"/>
                  <a:gd name="connsiteX16" fmla="*/ 85668 w 590861"/>
                  <a:gd name="connsiteY16" fmla="*/ 80783 h 789729"/>
                  <a:gd name="connsiteX17" fmla="*/ 22759 w 590861"/>
                  <a:gd name="connsiteY17" fmla="*/ 8208 h 789729"/>
                  <a:gd name="connsiteX0" fmla="*/ 22759 w 590861"/>
                  <a:gd name="connsiteY0" fmla="*/ 8208 h 789729"/>
                  <a:gd name="connsiteX1" fmla="*/ 509397 w 590861"/>
                  <a:gd name="connsiteY1" fmla="*/ 269614 h 789729"/>
                  <a:gd name="connsiteX2" fmla="*/ 534463 w 590861"/>
                  <a:gd name="connsiteY2" fmla="*/ 313479 h 789729"/>
                  <a:gd name="connsiteX3" fmla="*/ 559529 w 590861"/>
                  <a:gd name="connsiteY3" fmla="*/ 369877 h 789729"/>
                  <a:gd name="connsiteX4" fmla="*/ 572062 w 590861"/>
                  <a:gd name="connsiteY4" fmla="*/ 413742 h 789729"/>
                  <a:gd name="connsiteX5" fmla="*/ 590861 w 590861"/>
                  <a:gd name="connsiteY5" fmla="*/ 488940 h 789729"/>
                  <a:gd name="connsiteX6" fmla="*/ 590861 w 590861"/>
                  <a:gd name="connsiteY6" fmla="*/ 708265 h 789729"/>
                  <a:gd name="connsiteX7" fmla="*/ 578328 w 590861"/>
                  <a:gd name="connsiteY7" fmla="*/ 764663 h 789729"/>
                  <a:gd name="connsiteX8" fmla="*/ 559529 w 590861"/>
                  <a:gd name="connsiteY8" fmla="*/ 777196 h 789729"/>
                  <a:gd name="connsiteX9" fmla="*/ 534463 w 590861"/>
                  <a:gd name="connsiteY9" fmla="*/ 789729 h 789729"/>
                  <a:gd name="connsiteX10" fmla="*/ 496864 w 590861"/>
                  <a:gd name="connsiteY10" fmla="*/ 777196 h 789729"/>
                  <a:gd name="connsiteX11" fmla="*/ 120878 w 590861"/>
                  <a:gd name="connsiteY11" fmla="*/ 576670 h 789729"/>
                  <a:gd name="connsiteX12" fmla="*/ 121254 w 590861"/>
                  <a:gd name="connsiteY12" fmla="*/ 543612 h 789729"/>
                  <a:gd name="connsiteX13" fmla="*/ 121254 w 590861"/>
                  <a:gd name="connsiteY13" fmla="*/ 512437 h 789729"/>
                  <a:gd name="connsiteX14" fmla="*/ 123626 w 590861"/>
                  <a:gd name="connsiteY14" fmla="*/ 390135 h 789729"/>
                  <a:gd name="connsiteX15" fmla="*/ 125997 w 590861"/>
                  <a:gd name="connsiteY15" fmla="*/ 205481 h 789729"/>
                  <a:gd name="connsiteX16" fmla="*/ 121254 w 590861"/>
                  <a:gd name="connsiteY16" fmla="*/ 135939 h 789729"/>
                  <a:gd name="connsiteX17" fmla="*/ 85668 w 590861"/>
                  <a:gd name="connsiteY17" fmla="*/ 80783 h 789729"/>
                  <a:gd name="connsiteX18" fmla="*/ 22759 w 590861"/>
                  <a:gd name="connsiteY18" fmla="*/ 8208 h 789729"/>
                  <a:gd name="connsiteX0" fmla="*/ 22759 w 590861"/>
                  <a:gd name="connsiteY0" fmla="*/ 8208 h 789729"/>
                  <a:gd name="connsiteX1" fmla="*/ 509397 w 590861"/>
                  <a:gd name="connsiteY1" fmla="*/ 269614 h 789729"/>
                  <a:gd name="connsiteX2" fmla="*/ 534463 w 590861"/>
                  <a:gd name="connsiteY2" fmla="*/ 313479 h 789729"/>
                  <a:gd name="connsiteX3" fmla="*/ 559529 w 590861"/>
                  <a:gd name="connsiteY3" fmla="*/ 369877 h 789729"/>
                  <a:gd name="connsiteX4" fmla="*/ 572062 w 590861"/>
                  <a:gd name="connsiteY4" fmla="*/ 413742 h 789729"/>
                  <a:gd name="connsiteX5" fmla="*/ 590861 w 590861"/>
                  <a:gd name="connsiteY5" fmla="*/ 488940 h 789729"/>
                  <a:gd name="connsiteX6" fmla="*/ 590861 w 590861"/>
                  <a:gd name="connsiteY6" fmla="*/ 708265 h 789729"/>
                  <a:gd name="connsiteX7" fmla="*/ 578328 w 590861"/>
                  <a:gd name="connsiteY7" fmla="*/ 764663 h 789729"/>
                  <a:gd name="connsiteX8" fmla="*/ 559529 w 590861"/>
                  <a:gd name="connsiteY8" fmla="*/ 777196 h 789729"/>
                  <a:gd name="connsiteX9" fmla="*/ 534463 w 590861"/>
                  <a:gd name="connsiteY9" fmla="*/ 789729 h 789729"/>
                  <a:gd name="connsiteX10" fmla="*/ 496864 w 590861"/>
                  <a:gd name="connsiteY10" fmla="*/ 777196 h 789729"/>
                  <a:gd name="connsiteX11" fmla="*/ 237125 w 590861"/>
                  <a:gd name="connsiteY11" fmla="*/ 636622 h 789729"/>
                  <a:gd name="connsiteX12" fmla="*/ 121254 w 590861"/>
                  <a:gd name="connsiteY12" fmla="*/ 543612 h 789729"/>
                  <a:gd name="connsiteX13" fmla="*/ 121254 w 590861"/>
                  <a:gd name="connsiteY13" fmla="*/ 512437 h 789729"/>
                  <a:gd name="connsiteX14" fmla="*/ 123626 w 590861"/>
                  <a:gd name="connsiteY14" fmla="*/ 390135 h 789729"/>
                  <a:gd name="connsiteX15" fmla="*/ 125997 w 590861"/>
                  <a:gd name="connsiteY15" fmla="*/ 205481 h 789729"/>
                  <a:gd name="connsiteX16" fmla="*/ 121254 w 590861"/>
                  <a:gd name="connsiteY16" fmla="*/ 135939 h 789729"/>
                  <a:gd name="connsiteX17" fmla="*/ 85668 w 590861"/>
                  <a:gd name="connsiteY17" fmla="*/ 80783 h 789729"/>
                  <a:gd name="connsiteX18" fmla="*/ 22759 w 590861"/>
                  <a:gd name="connsiteY18" fmla="*/ 8208 h 789729"/>
                  <a:gd name="connsiteX0" fmla="*/ 22759 w 590861"/>
                  <a:gd name="connsiteY0" fmla="*/ 8208 h 789729"/>
                  <a:gd name="connsiteX1" fmla="*/ 509397 w 590861"/>
                  <a:gd name="connsiteY1" fmla="*/ 269614 h 789729"/>
                  <a:gd name="connsiteX2" fmla="*/ 534463 w 590861"/>
                  <a:gd name="connsiteY2" fmla="*/ 313479 h 789729"/>
                  <a:gd name="connsiteX3" fmla="*/ 559529 w 590861"/>
                  <a:gd name="connsiteY3" fmla="*/ 369877 h 789729"/>
                  <a:gd name="connsiteX4" fmla="*/ 572062 w 590861"/>
                  <a:gd name="connsiteY4" fmla="*/ 413742 h 789729"/>
                  <a:gd name="connsiteX5" fmla="*/ 590861 w 590861"/>
                  <a:gd name="connsiteY5" fmla="*/ 488940 h 789729"/>
                  <a:gd name="connsiteX6" fmla="*/ 590861 w 590861"/>
                  <a:gd name="connsiteY6" fmla="*/ 708265 h 789729"/>
                  <a:gd name="connsiteX7" fmla="*/ 578328 w 590861"/>
                  <a:gd name="connsiteY7" fmla="*/ 764663 h 789729"/>
                  <a:gd name="connsiteX8" fmla="*/ 559529 w 590861"/>
                  <a:gd name="connsiteY8" fmla="*/ 777196 h 789729"/>
                  <a:gd name="connsiteX9" fmla="*/ 534463 w 590861"/>
                  <a:gd name="connsiteY9" fmla="*/ 789729 h 789729"/>
                  <a:gd name="connsiteX10" fmla="*/ 496864 w 590861"/>
                  <a:gd name="connsiteY10" fmla="*/ 777196 h 789729"/>
                  <a:gd name="connsiteX11" fmla="*/ 237125 w 590861"/>
                  <a:gd name="connsiteY11" fmla="*/ 636622 h 789729"/>
                  <a:gd name="connsiteX12" fmla="*/ 123626 w 590861"/>
                  <a:gd name="connsiteY12" fmla="*/ 565194 h 789729"/>
                  <a:gd name="connsiteX13" fmla="*/ 121254 w 590861"/>
                  <a:gd name="connsiteY13" fmla="*/ 512437 h 789729"/>
                  <a:gd name="connsiteX14" fmla="*/ 123626 w 590861"/>
                  <a:gd name="connsiteY14" fmla="*/ 390135 h 789729"/>
                  <a:gd name="connsiteX15" fmla="*/ 125997 w 590861"/>
                  <a:gd name="connsiteY15" fmla="*/ 205481 h 789729"/>
                  <a:gd name="connsiteX16" fmla="*/ 121254 w 590861"/>
                  <a:gd name="connsiteY16" fmla="*/ 135939 h 789729"/>
                  <a:gd name="connsiteX17" fmla="*/ 85668 w 590861"/>
                  <a:gd name="connsiteY17" fmla="*/ 80783 h 789729"/>
                  <a:gd name="connsiteX18" fmla="*/ 22759 w 590861"/>
                  <a:gd name="connsiteY18" fmla="*/ 8208 h 789729"/>
                  <a:gd name="connsiteX0" fmla="*/ 22759 w 590861"/>
                  <a:gd name="connsiteY0" fmla="*/ 8208 h 789729"/>
                  <a:gd name="connsiteX1" fmla="*/ 509397 w 590861"/>
                  <a:gd name="connsiteY1" fmla="*/ 269614 h 789729"/>
                  <a:gd name="connsiteX2" fmla="*/ 534463 w 590861"/>
                  <a:gd name="connsiteY2" fmla="*/ 313479 h 789729"/>
                  <a:gd name="connsiteX3" fmla="*/ 559529 w 590861"/>
                  <a:gd name="connsiteY3" fmla="*/ 369877 h 789729"/>
                  <a:gd name="connsiteX4" fmla="*/ 572062 w 590861"/>
                  <a:gd name="connsiteY4" fmla="*/ 413742 h 789729"/>
                  <a:gd name="connsiteX5" fmla="*/ 590861 w 590861"/>
                  <a:gd name="connsiteY5" fmla="*/ 488940 h 789729"/>
                  <a:gd name="connsiteX6" fmla="*/ 590861 w 590861"/>
                  <a:gd name="connsiteY6" fmla="*/ 708265 h 789729"/>
                  <a:gd name="connsiteX7" fmla="*/ 578328 w 590861"/>
                  <a:gd name="connsiteY7" fmla="*/ 764663 h 789729"/>
                  <a:gd name="connsiteX8" fmla="*/ 559529 w 590861"/>
                  <a:gd name="connsiteY8" fmla="*/ 777196 h 789729"/>
                  <a:gd name="connsiteX9" fmla="*/ 534463 w 590861"/>
                  <a:gd name="connsiteY9" fmla="*/ 789729 h 789729"/>
                  <a:gd name="connsiteX10" fmla="*/ 496864 w 590861"/>
                  <a:gd name="connsiteY10" fmla="*/ 777196 h 789729"/>
                  <a:gd name="connsiteX11" fmla="*/ 237125 w 590861"/>
                  <a:gd name="connsiteY11" fmla="*/ 636622 h 789729"/>
                  <a:gd name="connsiteX12" fmla="*/ 123626 w 590861"/>
                  <a:gd name="connsiteY12" fmla="*/ 565194 h 789729"/>
                  <a:gd name="connsiteX13" fmla="*/ 121254 w 590861"/>
                  <a:gd name="connsiteY13" fmla="*/ 478864 h 789729"/>
                  <a:gd name="connsiteX14" fmla="*/ 123626 w 590861"/>
                  <a:gd name="connsiteY14" fmla="*/ 390135 h 789729"/>
                  <a:gd name="connsiteX15" fmla="*/ 125997 w 590861"/>
                  <a:gd name="connsiteY15" fmla="*/ 205481 h 789729"/>
                  <a:gd name="connsiteX16" fmla="*/ 121254 w 590861"/>
                  <a:gd name="connsiteY16" fmla="*/ 135939 h 789729"/>
                  <a:gd name="connsiteX17" fmla="*/ 85668 w 590861"/>
                  <a:gd name="connsiteY17" fmla="*/ 80783 h 789729"/>
                  <a:gd name="connsiteX18" fmla="*/ 22759 w 590861"/>
                  <a:gd name="connsiteY18" fmla="*/ 8208 h 789729"/>
                  <a:gd name="connsiteX0" fmla="*/ 22759 w 590861"/>
                  <a:gd name="connsiteY0" fmla="*/ 8208 h 789729"/>
                  <a:gd name="connsiteX1" fmla="*/ 509397 w 590861"/>
                  <a:gd name="connsiteY1" fmla="*/ 269614 h 789729"/>
                  <a:gd name="connsiteX2" fmla="*/ 534463 w 590861"/>
                  <a:gd name="connsiteY2" fmla="*/ 313479 h 789729"/>
                  <a:gd name="connsiteX3" fmla="*/ 559529 w 590861"/>
                  <a:gd name="connsiteY3" fmla="*/ 369877 h 789729"/>
                  <a:gd name="connsiteX4" fmla="*/ 572062 w 590861"/>
                  <a:gd name="connsiteY4" fmla="*/ 413742 h 789729"/>
                  <a:gd name="connsiteX5" fmla="*/ 590861 w 590861"/>
                  <a:gd name="connsiteY5" fmla="*/ 488940 h 789729"/>
                  <a:gd name="connsiteX6" fmla="*/ 590861 w 590861"/>
                  <a:gd name="connsiteY6" fmla="*/ 708265 h 789729"/>
                  <a:gd name="connsiteX7" fmla="*/ 578328 w 590861"/>
                  <a:gd name="connsiteY7" fmla="*/ 764663 h 789729"/>
                  <a:gd name="connsiteX8" fmla="*/ 559529 w 590861"/>
                  <a:gd name="connsiteY8" fmla="*/ 777196 h 789729"/>
                  <a:gd name="connsiteX9" fmla="*/ 534463 w 590861"/>
                  <a:gd name="connsiteY9" fmla="*/ 789729 h 789729"/>
                  <a:gd name="connsiteX10" fmla="*/ 496864 w 590861"/>
                  <a:gd name="connsiteY10" fmla="*/ 777196 h 789729"/>
                  <a:gd name="connsiteX11" fmla="*/ 237125 w 590861"/>
                  <a:gd name="connsiteY11" fmla="*/ 636622 h 789729"/>
                  <a:gd name="connsiteX12" fmla="*/ 123626 w 590861"/>
                  <a:gd name="connsiteY12" fmla="*/ 565194 h 789729"/>
                  <a:gd name="connsiteX13" fmla="*/ 121254 w 590861"/>
                  <a:gd name="connsiteY13" fmla="*/ 478864 h 789729"/>
                  <a:gd name="connsiteX14" fmla="*/ 123626 w 590861"/>
                  <a:gd name="connsiteY14" fmla="*/ 390135 h 789729"/>
                  <a:gd name="connsiteX15" fmla="*/ 125997 w 590861"/>
                  <a:gd name="connsiteY15" fmla="*/ 205481 h 789729"/>
                  <a:gd name="connsiteX16" fmla="*/ 121254 w 590861"/>
                  <a:gd name="connsiteY16" fmla="*/ 135939 h 789729"/>
                  <a:gd name="connsiteX17" fmla="*/ 85668 w 590861"/>
                  <a:gd name="connsiteY17" fmla="*/ 80783 h 789729"/>
                  <a:gd name="connsiteX18" fmla="*/ 22759 w 590861"/>
                  <a:gd name="connsiteY18" fmla="*/ 8208 h 789729"/>
                  <a:gd name="connsiteX0" fmla="*/ 21867 w 589969"/>
                  <a:gd name="connsiteY0" fmla="*/ 8208 h 789729"/>
                  <a:gd name="connsiteX1" fmla="*/ 508505 w 589969"/>
                  <a:gd name="connsiteY1" fmla="*/ 269614 h 789729"/>
                  <a:gd name="connsiteX2" fmla="*/ 533571 w 589969"/>
                  <a:gd name="connsiteY2" fmla="*/ 313479 h 789729"/>
                  <a:gd name="connsiteX3" fmla="*/ 558637 w 589969"/>
                  <a:gd name="connsiteY3" fmla="*/ 369877 h 789729"/>
                  <a:gd name="connsiteX4" fmla="*/ 571170 w 589969"/>
                  <a:gd name="connsiteY4" fmla="*/ 413742 h 789729"/>
                  <a:gd name="connsiteX5" fmla="*/ 589969 w 589969"/>
                  <a:gd name="connsiteY5" fmla="*/ 488940 h 789729"/>
                  <a:gd name="connsiteX6" fmla="*/ 589969 w 589969"/>
                  <a:gd name="connsiteY6" fmla="*/ 708265 h 789729"/>
                  <a:gd name="connsiteX7" fmla="*/ 577436 w 589969"/>
                  <a:gd name="connsiteY7" fmla="*/ 764663 h 789729"/>
                  <a:gd name="connsiteX8" fmla="*/ 558637 w 589969"/>
                  <a:gd name="connsiteY8" fmla="*/ 777196 h 789729"/>
                  <a:gd name="connsiteX9" fmla="*/ 533571 w 589969"/>
                  <a:gd name="connsiteY9" fmla="*/ 789729 h 789729"/>
                  <a:gd name="connsiteX10" fmla="*/ 495972 w 589969"/>
                  <a:gd name="connsiteY10" fmla="*/ 777196 h 789729"/>
                  <a:gd name="connsiteX11" fmla="*/ 236233 w 589969"/>
                  <a:gd name="connsiteY11" fmla="*/ 636622 h 789729"/>
                  <a:gd name="connsiteX12" fmla="*/ 122734 w 589969"/>
                  <a:gd name="connsiteY12" fmla="*/ 565194 h 789729"/>
                  <a:gd name="connsiteX13" fmla="*/ 120362 w 589969"/>
                  <a:gd name="connsiteY13" fmla="*/ 478864 h 789729"/>
                  <a:gd name="connsiteX14" fmla="*/ 122734 w 589969"/>
                  <a:gd name="connsiteY14" fmla="*/ 390135 h 789729"/>
                  <a:gd name="connsiteX15" fmla="*/ 125105 w 589969"/>
                  <a:gd name="connsiteY15" fmla="*/ 205481 h 789729"/>
                  <a:gd name="connsiteX16" fmla="*/ 120362 w 589969"/>
                  <a:gd name="connsiteY16" fmla="*/ 135939 h 789729"/>
                  <a:gd name="connsiteX17" fmla="*/ 91893 w 589969"/>
                  <a:gd name="connsiteY17" fmla="*/ 80783 h 789729"/>
                  <a:gd name="connsiteX18" fmla="*/ 21867 w 589969"/>
                  <a:gd name="connsiteY18" fmla="*/ 8208 h 789729"/>
                  <a:gd name="connsiteX0" fmla="*/ 21867 w 589969"/>
                  <a:gd name="connsiteY0" fmla="*/ 8208 h 789729"/>
                  <a:gd name="connsiteX1" fmla="*/ 508505 w 589969"/>
                  <a:gd name="connsiteY1" fmla="*/ 269614 h 789729"/>
                  <a:gd name="connsiteX2" fmla="*/ 533571 w 589969"/>
                  <a:gd name="connsiteY2" fmla="*/ 313479 h 789729"/>
                  <a:gd name="connsiteX3" fmla="*/ 558637 w 589969"/>
                  <a:gd name="connsiteY3" fmla="*/ 369877 h 789729"/>
                  <a:gd name="connsiteX4" fmla="*/ 571170 w 589969"/>
                  <a:gd name="connsiteY4" fmla="*/ 413742 h 789729"/>
                  <a:gd name="connsiteX5" fmla="*/ 589969 w 589969"/>
                  <a:gd name="connsiteY5" fmla="*/ 488940 h 789729"/>
                  <a:gd name="connsiteX6" fmla="*/ 589969 w 589969"/>
                  <a:gd name="connsiteY6" fmla="*/ 708265 h 789729"/>
                  <a:gd name="connsiteX7" fmla="*/ 577436 w 589969"/>
                  <a:gd name="connsiteY7" fmla="*/ 764663 h 789729"/>
                  <a:gd name="connsiteX8" fmla="*/ 558637 w 589969"/>
                  <a:gd name="connsiteY8" fmla="*/ 777196 h 789729"/>
                  <a:gd name="connsiteX9" fmla="*/ 533571 w 589969"/>
                  <a:gd name="connsiteY9" fmla="*/ 789729 h 789729"/>
                  <a:gd name="connsiteX10" fmla="*/ 495972 w 589969"/>
                  <a:gd name="connsiteY10" fmla="*/ 777196 h 789729"/>
                  <a:gd name="connsiteX11" fmla="*/ 236233 w 589969"/>
                  <a:gd name="connsiteY11" fmla="*/ 636622 h 789729"/>
                  <a:gd name="connsiteX12" fmla="*/ 122734 w 589969"/>
                  <a:gd name="connsiteY12" fmla="*/ 565194 h 789729"/>
                  <a:gd name="connsiteX13" fmla="*/ 120362 w 589969"/>
                  <a:gd name="connsiteY13" fmla="*/ 478864 h 789729"/>
                  <a:gd name="connsiteX14" fmla="*/ 122734 w 589969"/>
                  <a:gd name="connsiteY14" fmla="*/ 390135 h 789729"/>
                  <a:gd name="connsiteX15" fmla="*/ 125105 w 589969"/>
                  <a:gd name="connsiteY15" fmla="*/ 205481 h 789729"/>
                  <a:gd name="connsiteX16" fmla="*/ 120362 w 589969"/>
                  <a:gd name="connsiteY16" fmla="*/ 155124 h 789729"/>
                  <a:gd name="connsiteX17" fmla="*/ 120362 w 589969"/>
                  <a:gd name="connsiteY17" fmla="*/ 135939 h 789729"/>
                  <a:gd name="connsiteX18" fmla="*/ 91893 w 589969"/>
                  <a:gd name="connsiteY18" fmla="*/ 80783 h 789729"/>
                  <a:gd name="connsiteX19" fmla="*/ 21867 w 589969"/>
                  <a:gd name="connsiteY19" fmla="*/ 8208 h 789729"/>
                  <a:gd name="connsiteX0" fmla="*/ 21867 w 589969"/>
                  <a:gd name="connsiteY0" fmla="*/ 8208 h 789729"/>
                  <a:gd name="connsiteX1" fmla="*/ 508505 w 589969"/>
                  <a:gd name="connsiteY1" fmla="*/ 269614 h 789729"/>
                  <a:gd name="connsiteX2" fmla="*/ 533571 w 589969"/>
                  <a:gd name="connsiteY2" fmla="*/ 313479 h 789729"/>
                  <a:gd name="connsiteX3" fmla="*/ 558637 w 589969"/>
                  <a:gd name="connsiteY3" fmla="*/ 369877 h 789729"/>
                  <a:gd name="connsiteX4" fmla="*/ 585404 w 589969"/>
                  <a:gd name="connsiteY4" fmla="*/ 413742 h 789729"/>
                  <a:gd name="connsiteX5" fmla="*/ 589969 w 589969"/>
                  <a:gd name="connsiteY5" fmla="*/ 488940 h 789729"/>
                  <a:gd name="connsiteX6" fmla="*/ 589969 w 589969"/>
                  <a:gd name="connsiteY6" fmla="*/ 708265 h 789729"/>
                  <a:gd name="connsiteX7" fmla="*/ 577436 w 589969"/>
                  <a:gd name="connsiteY7" fmla="*/ 764663 h 789729"/>
                  <a:gd name="connsiteX8" fmla="*/ 558637 w 589969"/>
                  <a:gd name="connsiteY8" fmla="*/ 777196 h 789729"/>
                  <a:gd name="connsiteX9" fmla="*/ 533571 w 589969"/>
                  <a:gd name="connsiteY9" fmla="*/ 789729 h 789729"/>
                  <a:gd name="connsiteX10" fmla="*/ 495972 w 589969"/>
                  <a:gd name="connsiteY10" fmla="*/ 777196 h 789729"/>
                  <a:gd name="connsiteX11" fmla="*/ 236233 w 589969"/>
                  <a:gd name="connsiteY11" fmla="*/ 636622 h 789729"/>
                  <a:gd name="connsiteX12" fmla="*/ 122734 w 589969"/>
                  <a:gd name="connsiteY12" fmla="*/ 565194 h 789729"/>
                  <a:gd name="connsiteX13" fmla="*/ 120362 w 589969"/>
                  <a:gd name="connsiteY13" fmla="*/ 478864 h 789729"/>
                  <a:gd name="connsiteX14" fmla="*/ 122734 w 589969"/>
                  <a:gd name="connsiteY14" fmla="*/ 390135 h 789729"/>
                  <a:gd name="connsiteX15" fmla="*/ 125105 w 589969"/>
                  <a:gd name="connsiteY15" fmla="*/ 205481 h 789729"/>
                  <a:gd name="connsiteX16" fmla="*/ 120362 w 589969"/>
                  <a:gd name="connsiteY16" fmla="*/ 155124 h 789729"/>
                  <a:gd name="connsiteX17" fmla="*/ 120362 w 589969"/>
                  <a:gd name="connsiteY17" fmla="*/ 135939 h 789729"/>
                  <a:gd name="connsiteX18" fmla="*/ 91893 w 589969"/>
                  <a:gd name="connsiteY18" fmla="*/ 80783 h 789729"/>
                  <a:gd name="connsiteX19" fmla="*/ 21867 w 589969"/>
                  <a:gd name="connsiteY19" fmla="*/ 8208 h 789729"/>
                  <a:gd name="connsiteX0" fmla="*/ 21867 w 589969"/>
                  <a:gd name="connsiteY0" fmla="*/ 8208 h 789729"/>
                  <a:gd name="connsiteX1" fmla="*/ 508505 w 589969"/>
                  <a:gd name="connsiteY1" fmla="*/ 269614 h 789729"/>
                  <a:gd name="connsiteX2" fmla="*/ 533571 w 589969"/>
                  <a:gd name="connsiteY2" fmla="*/ 313479 h 789729"/>
                  <a:gd name="connsiteX3" fmla="*/ 570499 w 589969"/>
                  <a:gd name="connsiteY3" fmla="*/ 357887 h 789729"/>
                  <a:gd name="connsiteX4" fmla="*/ 585404 w 589969"/>
                  <a:gd name="connsiteY4" fmla="*/ 413742 h 789729"/>
                  <a:gd name="connsiteX5" fmla="*/ 589969 w 589969"/>
                  <a:gd name="connsiteY5" fmla="*/ 488940 h 789729"/>
                  <a:gd name="connsiteX6" fmla="*/ 589969 w 589969"/>
                  <a:gd name="connsiteY6" fmla="*/ 708265 h 789729"/>
                  <a:gd name="connsiteX7" fmla="*/ 577436 w 589969"/>
                  <a:gd name="connsiteY7" fmla="*/ 764663 h 789729"/>
                  <a:gd name="connsiteX8" fmla="*/ 558637 w 589969"/>
                  <a:gd name="connsiteY8" fmla="*/ 777196 h 789729"/>
                  <a:gd name="connsiteX9" fmla="*/ 533571 w 589969"/>
                  <a:gd name="connsiteY9" fmla="*/ 789729 h 789729"/>
                  <a:gd name="connsiteX10" fmla="*/ 495972 w 589969"/>
                  <a:gd name="connsiteY10" fmla="*/ 777196 h 789729"/>
                  <a:gd name="connsiteX11" fmla="*/ 236233 w 589969"/>
                  <a:gd name="connsiteY11" fmla="*/ 636622 h 789729"/>
                  <a:gd name="connsiteX12" fmla="*/ 122734 w 589969"/>
                  <a:gd name="connsiteY12" fmla="*/ 565194 h 789729"/>
                  <a:gd name="connsiteX13" fmla="*/ 120362 w 589969"/>
                  <a:gd name="connsiteY13" fmla="*/ 478864 h 789729"/>
                  <a:gd name="connsiteX14" fmla="*/ 122734 w 589969"/>
                  <a:gd name="connsiteY14" fmla="*/ 390135 h 789729"/>
                  <a:gd name="connsiteX15" fmla="*/ 125105 w 589969"/>
                  <a:gd name="connsiteY15" fmla="*/ 205481 h 789729"/>
                  <a:gd name="connsiteX16" fmla="*/ 120362 w 589969"/>
                  <a:gd name="connsiteY16" fmla="*/ 155124 h 789729"/>
                  <a:gd name="connsiteX17" fmla="*/ 120362 w 589969"/>
                  <a:gd name="connsiteY17" fmla="*/ 135939 h 789729"/>
                  <a:gd name="connsiteX18" fmla="*/ 91893 w 589969"/>
                  <a:gd name="connsiteY18" fmla="*/ 80783 h 789729"/>
                  <a:gd name="connsiteX19" fmla="*/ 21867 w 589969"/>
                  <a:gd name="connsiteY19" fmla="*/ 8208 h 789729"/>
                  <a:gd name="connsiteX0" fmla="*/ 21867 w 589969"/>
                  <a:gd name="connsiteY0" fmla="*/ 8208 h 789729"/>
                  <a:gd name="connsiteX1" fmla="*/ 508505 w 589969"/>
                  <a:gd name="connsiteY1" fmla="*/ 269614 h 789729"/>
                  <a:gd name="connsiteX2" fmla="*/ 543060 w 589969"/>
                  <a:gd name="connsiteY2" fmla="*/ 306285 h 789729"/>
                  <a:gd name="connsiteX3" fmla="*/ 570499 w 589969"/>
                  <a:gd name="connsiteY3" fmla="*/ 357887 h 789729"/>
                  <a:gd name="connsiteX4" fmla="*/ 585404 w 589969"/>
                  <a:gd name="connsiteY4" fmla="*/ 413742 h 789729"/>
                  <a:gd name="connsiteX5" fmla="*/ 589969 w 589969"/>
                  <a:gd name="connsiteY5" fmla="*/ 488940 h 789729"/>
                  <a:gd name="connsiteX6" fmla="*/ 589969 w 589969"/>
                  <a:gd name="connsiteY6" fmla="*/ 708265 h 789729"/>
                  <a:gd name="connsiteX7" fmla="*/ 577436 w 589969"/>
                  <a:gd name="connsiteY7" fmla="*/ 764663 h 789729"/>
                  <a:gd name="connsiteX8" fmla="*/ 558637 w 589969"/>
                  <a:gd name="connsiteY8" fmla="*/ 777196 h 789729"/>
                  <a:gd name="connsiteX9" fmla="*/ 533571 w 589969"/>
                  <a:gd name="connsiteY9" fmla="*/ 789729 h 789729"/>
                  <a:gd name="connsiteX10" fmla="*/ 495972 w 589969"/>
                  <a:gd name="connsiteY10" fmla="*/ 777196 h 789729"/>
                  <a:gd name="connsiteX11" fmla="*/ 236233 w 589969"/>
                  <a:gd name="connsiteY11" fmla="*/ 636622 h 789729"/>
                  <a:gd name="connsiteX12" fmla="*/ 122734 w 589969"/>
                  <a:gd name="connsiteY12" fmla="*/ 565194 h 789729"/>
                  <a:gd name="connsiteX13" fmla="*/ 120362 w 589969"/>
                  <a:gd name="connsiteY13" fmla="*/ 478864 h 789729"/>
                  <a:gd name="connsiteX14" fmla="*/ 122734 w 589969"/>
                  <a:gd name="connsiteY14" fmla="*/ 390135 h 789729"/>
                  <a:gd name="connsiteX15" fmla="*/ 125105 w 589969"/>
                  <a:gd name="connsiteY15" fmla="*/ 205481 h 789729"/>
                  <a:gd name="connsiteX16" fmla="*/ 120362 w 589969"/>
                  <a:gd name="connsiteY16" fmla="*/ 155124 h 789729"/>
                  <a:gd name="connsiteX17" fmla="*/ 120362 w 589969"/>
                  <a:gd name="connsiteY17" fmla="*/ 135939 h 789729"/>
                  <a:gd name="connsiteX18" fmla="*/ 91893 w 589969"/>
                  <a:gd name="connsiteY18" fmla="*/ 80783 h 789729"/>
                  <a:gd name="connsiteX19" fmla="*/ 21867 w 589969"/>
                  <a:gd name="connsiteY19" fmla="*/ 8208 h 789729"/>
                  <a:gd name="connsiteX0" fmla="*/ 24416 w 573539"/>
                  <a:gd name="connsiteY0" fmla="*/ 9716 h 776848"/>
                  <a:gd name="connsiteX1" fmla="*/ 492075 w 573539"/>
                  <a:gd name="connsiteY1" fmla="*/ 256733 h 776848"/>
                  <a:gd name="connsiteX2" fmla="*/ 526630 w 573539"/>
                  <a:gd name="connsiteY2" fmla="*/ 293404 h 776848"/>
                  <a:gd name="connsiteX3" fmla="*/ 554069 w 573539"/>
                  <a:gd name="connsiteY3" fmla="*/ 345006 h 776848"/>
                  <a:gd name="connsiteX4" fmla="*/ 568974 w 573539"/>
                  <a:gd name="connsiteY4" fmla="*/ 400861 h 776848"/>
                  <a:gd name="connsiteX5" fmla="*/ 573539 w 573539"/>
                  <a:gd name="connsiteY5" fmla="*/ 476059 h 776848"/>
                  <a:gd name="connsiteX6" fmla="*/ 573539 w 573539"/>
                  <a:gd name="connsiteY6" fmla="*/ 695384 h 776848"/>
                  <a:gd name="connsiteX7" fmla="*/ 561006 w 573539"/>
                  <a:gd name="connsiteY7" fmla="*/ 751782 h 776848"/>
                  <a:gd name="connsiteX8" fmla="*/ 542207 w 573539"/>
                  <a:gd name="connsiteY8" fmla="*/ 764315 h 776848"/>
                  <a:gd name="connsiteX9" fmla="*/ 517141 w 573539"/>
                  <a:gd name="connsiteY9" fmla="*/ 776848 h 776848"/>
                  <a:gd name="connsiteX10" fmla="*/ 479542 w 573539"/>
                  <a:gd name="connsiteY10" fmla="*/ 764315 h 776848"/>
                  <a:gd name="connsiteX11" fmla="*/ 219803 w 573539"/>
                  <a:gd name="connsiteY11" fmla="*/ 623741 h 776848"/>
                  <a:gd name="connsiteX12" fmla="*/ 106304 w 573539"/>
                  <a:gd name="connsiteY12" fmla="*/ 552313 h 776848"/>
                  <a:gd name="connsiteX13" fmla="*/ 103932 w 573539"/>
                  <a:gd name="connsiteY13" fmla="*/ 465983 h 776848"/>
                  <a:gd name="connsiteX14" fmla="*/ 106304 w 573539"/>
                  <a:gd name="connsiteY14" fmla="*/ 377254 h 776848"/>
                  <a:gd name="connsiteX15" fmla="*/ 108675 w 573539"/>
                  <a:gd name="connsiteY15" fmla="*/ 192600 h 776848"/>
                  <a:gd name="connsiteX16" fmla="*/ 103932 w 573539"/>
                  <a:gd name="connsiteY16" fmla="*/ 142243 h 776848"/>
                  <a:gd name="connsiteX17" fmla="*/ 103932 w 573539"/>
                  <a:gd name="connsiteY17" fmla="*/ 123058 h 776848"/>
                  <a:gd name="connsiteX18" fmla="*/ 75463 w 573539"/>
                  <a:gd name="connsiteY18" fmla="*/ 67902 h 776848"/>
                  <a:gd name="connsiteX19" fmla="*/ 24416 w 573539"/>
                  <a:gd name="connsiteY19" fmla="*/ 9716 h 776848"/>
                  <a:gd name="connsiteX0" fmla="*/ 25528 w 567534"/>
                  <a:gd name="connsiteY0" fmla="*/ 8902 h 783228"/>
                  <a:gd name="connsiteX1" fmla="*/ 486070 w 567534"/>
                  <a:gd name="connsiteY1" fmla="*/ 263113 h 783228"/>
                  <a:gd name="connsiteX2" fmla="*/ 520625 w 567534"/>
                  <a:gd name="connsiteY2" fmla="*/ 299784 h 783228"/>
                  <a:gd name="connsiteX3" fmla="*/ 548064 w 567534"/>
                  <a:gd name="connsiteY3" fmla="*/ 351386 h 783228"/>
                  <a:gd name="connsiteX4" fmla="*/ 562969 w 567534"/>
                  <a:gd name="connsiteY4" fmla="*/ 407241 h 783228"/>
                  <a:gd name="connsiteX5" fmla="*/ 567534 w 567534"/>
                  <a:gd name="connsiteY5" fmla="*/ 482439 h 783228"/>
                  <a:gd name="connsiteX6" fmla="*/ 567534 w 567534"/>
                  <a:gd name="connsiteY6" fmla="*/ 701764 h 783228"/>
                  <a:gd name="connsiteX7" fmla="*/ 555001 w 567534"/>
                  <a:gd name="connsiteY7" fmla="*/ 758162 h 783228"/>
                  <a:gd name="connsiteX8" fmla="*/ 536202 w 567534"/>
                  <a:gd name="connsiteY8" fmla="*/ 770695 h 783228"/>
                  <a:gd name="connsiteX9" fmla="*/ 511136 w 567534"/>
                  <a:gd name="connsiteY9" fmla="*/ 783228 h 783228"/>
                  <a:gd name="connsiteX10" fmla="*/ 473537 w 567534"/>
                  <a:gd name="connsiteY10" fmla="*/ 770695 h 783228"/>
                  <a:gd name="connsiteX11" fmla="*/ 213798 w 567534"/>
                  <a:gd name="connsiteY11" fmla="*/ 630121 h 783228"/>
                  <a:gd name="connsiteX12" fmla="*/ 100299 w 567534"/>
                  <a:gd name="connsiteY12" fmla="*/ 558693 h 783228"/>
                  <a:gd name="connsiteX13" fmla="*/ 97927 w 567534"/>
                  <a:gd name="connsiteY13" fmla="*/ 472363 h 783228"/>
                  <a:gd name="connsiteX14" fmla="*/ 100299 w 567534"/>
                  <a:gd name="connsiteY14" fmla="*/ 383634 h 783228"/>
                  <a:gd name="connsiteX15" fmla="*/ 102670 w 567534"/>
                  <a:gd name="connsiteY15" fmla="*/ 198980 h 783228"/>
                  <a:gd name="connsiteX16" fmla="*/ 97927 w 567534"/>
                  <a:gd name="connsiteY16" fmla="*/ 148623 h 783228"/>
                  <a:gd name="connsiteX17" fmla="*/ 97927 w 567534"/>
                  <a:gd name="connsiteY17" fmla="*/ 129438 h 783228"/>
                  <a:gd name="connsiteX18" fmla="*/ 69458 w 567534"/>
                  <a:gd name="connsiteY18" fmla="*/ 74282 h 783228"/>
                  <a:gd name="connsiteX19" fmla="*/ 25528 w 567534"/>
                  <a:gd name="connsiteY19" fmla="*/ 8902 h 783228"/>
                  <a:gd name="connsiteX0" fmla="*/ 24775 w 571526"/>
                  <a:gd name="connsiteY0" fmla="*/ 8659 h 785383"/>
                  <a:gd name="connsiteX1" fmla="*/ 490062 w 571526"/>
                  <a:gd name="connsiteY1" fmla="*/ 265268 h 785383"/>
                  <a:gd name="connsiteX2" fmla="*/ 524617 w 571526"/>
                  <a:gd name="connsiteY2" fmla="*/ 301939 h 785383"/>
                  <a:gd name="connsiteX3" fmla="*/ 552056 w 571526"/>
                  <a:gd name="connsiteY3" fmla="*/ 353541 h 785383"/>
                  <a:gd name="connsiteX4" fmla="*/ 566961 w 571526"/>
                  <a:gd name="connsiteY4" fmla="*/ 409396 h 785383"/>
                  <a:gd name="connsiteX5" fmla="*/ 571526 w 571526"/>
                  <a:gd name="connsiteY5" fmla="*/ 484594 h 785383"/>
                  <a:gd name="connsiteX6" fmla="*/ 571526 w 571526"/>
                  <a:gd name="connsiteY6" fmla="*/ 703919 h 785383"/>
                  <a:gd name="connsiteX7" fmla="*/ 558993 w 571526"/>
                  <a:gd name="connsiteY7" fmla="*/ 760317 h 785383"/>
                  <a:gd name="connsiteX8" fmla="*/ 540194 w 571526"/>
                  <a:gd name="connsiteY8" fmla="*/ 772850 h 785383"/>
                  <a:gd name="connsiteX9" fmla="*/ 515128 w 571526"/>
                  <a:gd name="connsiteY9" fmla="*/ 785383 h 785383"/>
                  <a:gd name="connsiteX10" fmla="*/ 477529 w 571526"/>
                  <a:gd name="connsiteY10" fmla="*/ 772850 h 785383"/>
                  <a:gd name="connsiteX11" fmla="*/ 217790 w 571526"/>
                  <a:gd name="connsiteY11" fmla="*/ 632276 h 785383"/>
                  <a:gd name="connsiteX12" fmla="*/ 104291 w 571526"/>
                  <a:gd name="connsiteY12" fmla="*/ 560848 h 785383"/>
                  <a:gd name="connsiteX13" fmla="*/ 101919 w 571526"/>
                  <a:gd name="connsiteY13" fmla="*/ 474518 h 785383"/>
                  <a:gd name="connsiteX14" fmla="*/ 104291 w 571526"/>
                  <a:gd name="connsiteY14" fmla="*/ 385789 h 785383"/>
                  <a:gd name="connsiteX15" fmla="*/ 106662 w 571526"/>
                  <a:gd name="connsiteY15" fmla="*/ 201135 h 785383"/>
                  <a:gd name="connsiteX16" fmla="*/ 101919 w 571526"/>
                  <a:gd name="connsiteY16" fmla="*/ 150778 h 785383"/>
                  <a:gd name="connsiteX17" fmla="*/ 101919 w 571526"/>
                  <a:gd name="connsiteY17" fmla="*/ 131593 h 785383"/>
                  <a:gd name="connsiteX18" fmla="*/ 73450 w 571526"/>
                  <a:gd name="connsiteY18" fmla="*/ 76437 h 785383"/>
                  <a:gd name="connsiteX19" fmla="*/ 24775 w 571526"/>
                  <a:gd name="connsiteY19" fmla="*/ 8659 h 785383"/>
                  <a:gd name="connsiteX0" fmla="*/ 25774 w 572525"/>
                  <a:gd name="connsiteY0" fmla="*/ 9573 h 786297"/>
                  <a:gd name="connsiteX1" fmla="*/ 491061 w 572525"/>
                  <a:gd name="connsiteY1" fmla="*/ 266182 h 786297"/>
                  <a:gd name="connsiteX2" fmla="*/ 525616 w 572525"/>
                  <a:gd name="connsiteY2" fmla="*/ 302853 h 786297"/>
                  <a:gd name="connsiteX3" fmla="*/ 553055 w 572525"/>
                  <a:gd name="connsiteY3" fmla="*/ 354455 h 786297"/>
                  <a:gd name="connsiteX4" fmla="*/ 567960 w 572525"/>
                  <a:gd name="connsiteY4" fmla="*/ 410310 h 786297"/>
                  <a:gd name="connsiteX5" fmla="*/ 572525 w 572525"/>
                  <a:gd name="connsiteY5" fmla="*/ 485508 h 786297"/>
                  <a:gd name="connsiteX6" fmla="*/ 572525 w 572525"/>
                  <a:gd name="connsiteY6" fmla="*/ 704833 h 786297"/>
                  <a:gd name="connsiteX7" fmla="*/ 559992 w 572525"/>
                  <a:gd name="connsiteY7" fmla="*/ 761231 h 786297"/>
                  <a:gd name="connsiteX8" fmla="*/ 541193 w 572525"/>
                  <a:gd name="connsiteY8" fmla="*/ 773764 h 786297"/>
                  <a:gd name="connsiteX9" fmla="*/ 516127 w 572525"/>
                  <a:gd name="connsiteY9" fmla="*/ 786297 h 786297"/>
                  <a:gd name="connsiteX10" fmla="*/ 478528 w 572525"/>
                  <a:gd name="connsiteY10" fmla="*/ 773764 h 786297"/>
                  <a:gd name="connsiteX11" fmla="*/ 218789 w 572525"/>
                  <a:gd name="connsiteY11" fmla="*/ 633190 h 786297"/>
                  <a:gd name="connsiteX12" fmla="*/ 105290 w 572525"/>
                  <a:gd name="connsiteY12" fmla="*/ 561762 h 786297"/>
                  <a:gd name="connsiteX13" fmla="*/ 102918 w 572525"/>
                  <a:gd name="connsiteY13" fmla="*/ 475432 h 786297"/>
                  <a:gd name="connsiteX14" fmla="*/ 105290 w 572525"/>
                  <a:gd name="connsiteY14" fmla="*/ 386703 h 786297"/>
                  <a:gd name="connsiteX15" fmla="*/ 107661 w 572525"/>
                  <a:gd name="connsiteY15" fmla="*/ 202049 h 786297"/>
                  <a:gd name="connsiteX16" fmla="*/ 102918 w 572525"/>
                  <a:gd name="connsiteY16" fmla="*/ 151692 h 786297"/>
                  <a:gd name="connsiteX17" fmla="*/ 102918 w 572525"/>
                  <a:gd name="connsiteY17" fmla="*/ 132507 h 786297"/>
                  <a:gd name="connsiteX18" fmla="*/ 74449 w 572525"/>
                  <a:gd name="connsiteY18" fmla="*/ 77351 h 786297"/>
                  <a:gd name="connsiteX19" fmla="*/ 25774 w 572525"/>
                  <a:gd name="connsiteY19" fmla="*/ 9573 h 786297"/>
                  <a:gd name="connsiteX0" fmla="*/ 25774 w 572525"/>
                  <a:gd name="connsiteY0" fmla="*/ 9573 h 786297"/>
                  <a:gd name="connsiteX1" fmla="*/ 491061 w 572525"/>
                  <a:gd name="connsiteY1" fmla="*/ 266182 h 786297"/>
                  <a:gd name="connsiteX2" fmla="*/ 525616 w 572525"/>
                  <a:gd name="connsiteY2" fmla="*/ 302853 h 786297"/>
                  <a:gd name="connsiteX3" fmla="*/ 553055 w 572525"/>
                  <a:gd name="connsiteY3" fmla="*/ 354455 h 786297"/>
                  <a:gd name="connsiteX4" fmla="*/ 567960 w 572525"/>
                  <a:gd name="connsiteY4" fmla="*/ 410310 h 786297"/>
                  <a:gd name="connsiteX5" fmla="*/ 572525 w 572525"/>
                  <a:gd name="connsiteY5" fmla="*/ 485508 h 786297"/>
                  <a:gd name="connsiteX6" fmla="*/ 572525 w 572525"/>
                  <a:gd name="connsiteY6" fmla="*/ 704833 h 786297"/>
                  <a:gd name="connsiteX7" fmla="*/ 564737 w 572525"/>
                  <a:gd name="connsiteY7" fmla="*/ 744444 h 786297"/>
                  <a:gd name="connsiteX8" fmla="*/ 541193 w 572525"/>
                  <a:gd name="connsiteY8" fmla="*/ 773764 h 786297"/>
                  <a:gd name="connsiteX9" fmla="*/ 516127 w 572525"/>
                  <a:gd name="connsiteY9" fmla="*/ 786297 h 786297"/>
                  <a:gd name="connsiteX10" fmla="*/ 478528 w 572525"/>
                  <a:gd name="connsiteY10" fmla="*/ 773764 h 786297"/>
                  <a:gd name="connsiteX11" fmla="*/ 218789 w 572525"/>
                  <a:gd name="connsiteY11" fmla="*/ 633190 h 786297"/>
                  <a:gd name="connsiteX12" fmla="*/ 105290 w 572525"/>
                  <a:gd name="connsiteY12" fmla="*/ 561762 h 786297"/>
                  <a:gd name="connsiteX13" fmla="*/ 102918 w 572525"/>
                  <a:gd name="connsiteY13" fmla="*/ 475432 h 786297"/>
                  <a:gd name="connsiteX14" fmla="*/ 105290 w 572525"/>
                  <a:gd name="connsiteY14" fmla="*/ 386703 h 786297"/>
                  <a:gd name="connsiteX15" fmla="*/ 107661 w 572525"/>
                  <a:gd name="connsiteY15" fmla="*/ 202049 h 786297"/>
                  <a:gd name="connsiteX16" fmla="*/ 102918 w 572525"/>
                  <a:gd name="connsiteY16" fmla="*/ 151692 h 786297"/>
                  <a:gd name="connsiteX17" fmla="*/ 102918 w 572525"/>
                  <a:gd name="connsiteY17" fmla="*/ 132507 h 786297"/>
                  <a:gd name="connsiteX18" fmla="*/ 74449 w 572525"/>
                  <a:gd name="connsiteY18" fmla="*/ 77351 h 786297"/>
                  <a:gd name="connsiteX19" fmla="*/ 25774 w 572525"/>
                  <a:gd name="connsiteY19" fmla="*/ 9573 h 78629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Lst>
                <a:rect l="l" t="t" r="r" b="b"/>
                <a:pathLst>
                  <a:path w="572525" h="786297">
                    <a:moveTo>
                      <a:pt x="25774" y="9573"/>
                    </a:moveTo>
                    <a:lnTo>
                      <a:pt x="491061" y="266182"/>
                    </a:lnTo>
                    <a:lnTo>
                      <a:pt x="525616" y="302853"/>
                    </a:lnTo>
                    <a:lnTo>
                      <a:pt x="553055" y="354455"/>
                    </a:lnTo>
                    <a:lnTo>
                      <a:pt x="567960" y="410310"/>
                    </a:lnTo>
                    <a:lnTo>
                      <a:pt x="572525" y="485508"/>
                    </a:lnTo>
                    <a:lnTo>
                      <a:pt x="572525" y="704833"/>
                    </a:lnTo>
                    <a:lnTo>
                      <a:pt x="564737" y="744444"/>
                    </a:lnTo>
                    <a:lnTo>
                      <a:pt x="541193" y="773764"/>
                    </a:lnTo>
                    <a:lnTo>
                      <a:pt x="516127" y="786297"/>
                    </a:lnTo>
                    <a:lnTo>
                      <a:pt x="478528" y="773764"/>
                    </a:lnTo>
                    <a:lnTo>
                      <a:pt x="218789" y="633190"/>
                    </a:lnTo>
                    <a:cubicBezTo>
                      <a:pt x="151838" y="595059"/>
                      <a:pt x="105227" y="572467"/>
                      <a:pt x="105290" y="561762"/>
                    </a:cubicBezTo>
                    <a:cubicBezTo>
                      <a:pt x="105353" y="551057"/>
                      <a:pt x="105290" y="504208"/>
                      <a:pt x="102918" y="475432"/>
                    </a:cubicBezTo>
                    <a:cubicBezTo>
                      <a:pt x="107663" y="449053"/>
                      <a:pt x="99359" y="438262"/>
                      <a:pt x="105290" y="386703"/>
                    </a:cubicBezTo>
                    <a:cubicBezTo>
                      <a:pt x="111221" y="335144"/>
                      <a:pt x="108452" y="243216"/>
                      <a:pt x="107661" y="202049"/>
                    </a:cubicBezTo>
                    <a:cubicBezTo>
                      <a:pt x="106870" y="160882"/>
                      <a:pt x="103708" y="163282"/>
                      <a:pt x="102918" y="151692"/>
                    </a:cubicBezTo>
                    <a:cubicBezTo>
                      <a:pt x="102128" y="140102"/>
                      <a:pt x="107268" y="142899"/>
                      <a:pt x="102918" y="132507"/>
                    </a:cubicBezTo>
                    <a:cubicBezTo>
                      <a:pt x="98569" y="122116"/>
                      <a:pt x="94028" y="102636"/>
                      <a:pt x="74449" y="77351"/>
                    </a:cubicBezTo>
                    <a:cubicBezTo>
                      <a:pt x="60802" y="38078"/>
                      <a:pt x="-48801" y="-23897"/>
                      <a:pt x="25774" y="9573"/>
                    </a:cubicBezTo>
                    <a:close/>
                  </a:path>
                </a:pathLst>
              </a:custGeom>
              <a:gradFill>
                <a:gsLst>
                  <a:gs pos="0">
                    <a:srgbClr val="CCFFCC"/>
                  </a:gs>
                  <a:gs pos="50000">
                    <a:srgbClr val="CCFFFF"/>
                  </a:gs>
                  <a:gs pos="100000">
                    <a:srgbClr val="E1E8F5"/>
                  </a:gs>
                </a:gsLst>
                <a:lin ang="5400000" scaled="0"/>
              </a:gra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xnSp macro="">
            <xdr:nvCxnSpPr>
              <xdr:cNvPr id="550" name="Straight Connector 549"/>
              <xdr:cNvCxnSpPr/>
            </xdr:nvCxnSpPr>
            <xdr:spPr>
              <a:xfrm>
                <a:off x="7785183" y="16302538"/>
                <a:ext cx="102268" cy="87429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8" name="Straight Connector 557"/>
              <xdr:cNvCxnSpPr/>
            </xdr:nvCxnSpPr>
            <xdr:spPr>
              <a:xfrm flipV="1">
                <a:off x="7206916" y="17036726"/>
                <a:ext cx="6020" cy="704339"/>
              </a:xfrm>
              <a:prstGeom prst="line">
                <a:avLst/>
              </a:prstGeom>
            </xdr:spPr>
            <xdr:style>
              <a:lnRef idx="1">
                <a:schemeClr val="accent1"/>
              </a:lnRef>
              <a:fillRef idx="0">
                <a:schemeClr val="accent1"/>
              </a:fillRef>
              <a:effectRef idx="0">
                <a:schemeClr val="accent1"/>
              </a:effectRef>
              <a:fontRef idx="minor">
                <a:schemeClr val="tx1"/>
              </a:fontRef>
            </xdr:style>
          </xdr:cxnSp>
          <xdr:sp macro="" textlink="">
            <xdr:nvSpPr>
              <xdr:cNvPr id="561" name="Freeform 560"/>
              <xdr:cNvSpPr/>
            </xdr:nvSpPr>
            <xdr:spPr>
              <a:xfrm>
                <a:off x="7215188" y="16555112"/>
                <a:ext cx="806390" cy="1175425"/>
              </a:xfrm>
              <a:custGeom>
                <a:avLst/>
                <a:gdLst>
                  <a:gd name="connsiteX0" fmla="*/ 802105 w 802105"/>
                  <a:gd name="connsiteY0" fmla="*/ 0 h 1190625"/>
                  <a:gd name="connsiteX1" fmla="*/ 802105 w 802105"/>
                  <a:gd name="connsiteY1" fmla="*/ 689310 h 1190625"/>
                  <a:gd name="connsiteX2" fmla="*/ 0 w 802105"/>
                  <a:gd name="connsiteY2" fmla="*/ 1190625 h 1190625"/>
                  <a:gd name="connsiteX3" fmla="*/ 0 w 802105"/>
                  <a:gd name="connsiteY3" fmla="*/ 501316 h 1190625"/>
                  <a:gd name="connsiteX4" fmla="*/ 802105 w 802105"/>
                  <a:gd name="connsiteY4" fmla="*/ 0 h 119062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802105" h="1190625">
                    <a:moveTo>
                      <a:pt x="802105" y="0"/>
                    </a:moveTo>
                    <a:lnTo>
                      <a:pt x="802105" y="689310"/>
                    </a:lnTo>
                    <a:lnTo>
                      <a:pt x="0" y="1190625"/>
                    </a:lnTo>
                    <a:lnTo>
                      <a:pt x="0" y="501316"/>
                    </a:lnTo>
                    <a:lnTo>
                      <a:pt x="802105" y="0"/>
                    </a:lnTo>
                    <a:close/>
                  </a:path>
                </a:pathLst>
              </a:custGeom>
              <a:gradFill>
                <a:gsLst>
                  <a:gs pos="0">
                    <a:schemeClr val="bg1">
                      <a:lumMod val="50000"/>
                    </a:schemeClr>
                  </a:gs>
                  <a:gs pos="50000">
                    <a:srgbClr val="CCFFFF"/>
                  </a:gs>
                  <a:gs pos="100000">
                    <a:srgbClr val="E1E8F5"/>
                  </a:gs>
                </a:gsLst>
                <a:lin ang="1200000" scaled="0"/>
              </a:gra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813287" name="Freeform 813286"/>
              <xdr:cNvSpPr/>
            </xdr:nvSpPr>
            <xdr:spPr>
              <a:xfrm>
                <a:off x="7081587" y="16483263"/>
                <a:ext cx="803859" cy="1183606"/>
              </a:xfrm>
              <a:custGeom>
                <a:avLst/>
                <a:gdLst>
                  <a:gd name="connsiteX0" fmla="*/ 802105 w 802105"/>
                  <a:gd name="connsiteY0" fmla="*/ 0 h 1190625"/>
                  <a:gd name="connsiteX1" fmla="*/ 802105 w 802105"/>
                  <a:gd name="connsiteY1" fmla="*/ 689310 h 1190625"/>
                  <a:gd name="connsiteX2" fmla="*/ 0 w 802105"/>
                  <a:gd name="connsiteY2" fmla="*/ 1190625 h 1190625"/>
                  <a:gd name="connsiteX3" fmla="*/ 0 w 802105"/>
                  <a:gd name="connsiteY3" fmla="*/ 501316 h 1190625"/>
                  <a:gd name="connsiteX4" fmla="*/ 802105 w 802105"/>
                  <a:gd name="connsiteY4" fmla="*/ 0 h 119062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802105" h="1190625">
                    <a:moveTo>
                      <a:pt x="802105" y="0"/>
                    </a:moveTo>
                    <a:lnTo>
                      <a:pt x="802105" y="689310"/>
                    </a:lnTo>
                    <a:lnTo>
                      <a:pt x="0" y="1190625"/>
                    </a:lnTo>
                    <a:lnTo>
                      <a:pt x="0" y="501316"/>
                    </a:lnTo>
                    <a:lnTo>
                      <a:pt x="802105" y="0"/>
                    </a:lnTo>
                    <a:close/>
                  </a:path>
                </a:pathLst>
              </a:custGeom>
              <a:gradFill flip="none" rotWithShape="1">
                <a:gsLst>
                  <a:gs pos="0">
                    <a:schemeClr val="bg1">
                      <a:lumMod val="50000"/>
                    </a:schemeClr>
                  </a:gs>
                  <a:gs pos="50000">
                    <a:srgbClr val="CCFFFF"/>
                  </a:gs>
                  <a:gs pos="100000">
                    <a:srgbClr val="E1E8F5"/>
                  </a:gs>
                </a:gsLst>
                <a:lin ang="8100000" scaled="1"/>
                <a:tileRect/>
              </a:gra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137709" name="Freeform 137708"/>
              <xdr:cNvSpPr/>
            </xdr:nvSpPr>
            <xdr:spPr>
              <a:xfrm>
                <a:off x="7075321" y="16489530"/>
                <a:ext cx="937209" cy="566235"/>
              </a:xfrm>
              <a:custGeom>
                <a:avLst/>
                <a:gdLst>
                  <a:gd name="connsiteX0" fmla="*/ 808371 w 933700"/>
                  <a:gd name="connsiteY0" fmla="*/ 0 h 570246"/>
                  <a:gd name="connsiteX1" fmla="*/ 933700 w 933700"/>
                  <a:gd name="connsiteY1" fmla="*/ 68931 h 570246"/>
                  <a:gd name="connsiteX2" fmla="*/ 137862 w 933700"/>
                  <a:gd name="connsiteY2" fmla="*/ 570246 h 570246"/>
                  <a:gd name="connsiteX3" fmla="*/ 0 w 933700"/>
                  <a:gd name="connsiteY3" fmla="*/ 501316 h 570246"/>
                  <a:gd name="connsiteX4" fmla="*/ 808371 w 933700"/>
                  <a:gd name="connsiteY4" fmla="*/ 0 h 57024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933700" h="570246">
                    <a:moveTo>
                      <a:pt x="808371" y="0"/>
                    </a:moveTo>
                    <a:lnTo>
                      <a:pt x="933700" y="68931"/>
                    </a:lnTo>
                    <a:lnTo>
                      <a:pt x="137862" y="570246"/>
                    </a:lnTo>
                    <a:lnTo>
                      <a:pt x="0" y="501316"/>
                    </a:lnTo>
                    <a:lnTo>
                      <a:pt x="808371" y="0"/>
                    </a:lnTo>
                    <a:close/>
                  </a:path>
                </a:pathLst>
              </a:custGeom>
              <a:gradFill flip="none" rotWithShape="1">
                <a:gsLst>
                  <a:gs pos="0">
                    <a:schemeClr val="bg1">
                      <a:lumMod val="75000"/>
                    </a:schemeClr>
                  </a:gs>
                  <a:gs pos="50000">
                    <a:schemeClr val="bg1">
                      <a:lumMod val="95000"/>
                    </a:schemeClr>
                  </a:gs>
                  <a:gs pos="100000">
                    <a:srgbClr val="E1E8F5"/>
                  </a:gs>
                </a:gsLst>
                <a:lin ang="18900000" scaled="1"/>
                <a:tileRect/>
              </a:gra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563" name="Freeform 562"/>
              <xdr:cNvSpPr/>
            </xdr:nvSpPr>
            <xdr:spPr>
              <a:xfrm>
                <a:off x="7077326" y="17164300"/>
                <a:ext cx="937209" cy="566236"/>
              </a:xfrm>
              <a:custGeom>
                <a:avLst/>
                <a:gdLst>
                  <a:gd name="connsiteX0" fmla="*/ 808371 w 933700"/>
                  <a:gd name="connsiteY0" fmla="*/ 0 h 570246"/>
                  <a:gd name="connsiteX1" fmla="*/ 933700 w 933700"/>
                  <a:gd name="connsiteY1" fmla="*/ 68931 h 570246"/>
                  <a:gd name="connsiteX2" fmla="*/ 137862 w 933700"/>
                  <a:gd name="connsiteY2" fmla="*/ 570246 h 570246"/>
                  <a:gd name="connsiteX3" fmla="*/ 0 w 933700"/>
                  <a:gd name="connsiteY3" fmla="*/ 501316 h 570246"/>
                  <a:gd name="connsiteX4" fmla="*/ 808371 w 933700"/>
                  <a:gd name="connsiteY4" fmla="*/ 0 h 57024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933700" h="570246">
                    <a:moveTo>
                      <a:pt x="808371" y="0"/>
                    </a:moveTo>
                    <a:lnTo>
                      <a:pt x="933700" y="68931"/>
                    </a:lnTo>
                    <a:lnTo>
                      <a:pt x="137862" y="570246"/>
                    </a:lnTo>
                    <a:lnTo>
                      <a:pt x="0" y="501316"/>
                    </a:lnTo>
                    <a:lnTo>
                      <a:pt x="808371" y="0"/>
                    </a:lnTo>
                    <a:close/>
                  </a:path>
                </a:pathLst>
              </a:custGeom>
              <a:gradFill flip="none" rotWithShape="1">
                <a:gsLst>
                  <a:gs pos="0">
                    <a:schemeClr val="bg1">
                      <a:lumMod val="75000"/>
                    </a:schemeClr>
                  </a:gs>
                  <a:gs pos="50000">
                    <a:schemeClr val="bg1">
                      <a:lumMod val="95000"/>
                    </a:schemeClr>
                  </a:gs>
                  <a:gs pos="100000">
                    <a:srgbClr val="E1E8F5"/>
                  </a:gs>
                </a:gsLst>
                <a:lin ang="18900000" scaled="1"/>
                <a:tileRect/>
              </a:gra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137710" name="Freeform 137709"/>
              <xdr:cNvSpPr/>
            </xdr:nvSpPr>
            <xdr:spPr>
              <a:xfrm>
                <a:off x="7072712" y="16983904"/>
                <a:ext cx="147475" cy="757160"/>
              </a:xfrm>
              <a:custGeom>
                <a:avLst/>
                <a:gdLst>
                  <a:gd name="connsiteX0" fmla="*/ 10229 w 148091"/>
                  <a:gd name="connsiteY0" fmla="*/ 35200 h 793440"/>
                  <a:gd name="connsiteX1" fmla="*/ 141825 w 148091"/>
                  <a:gd name="connsiteY1" fmla="*/ 104130 h 793440"/>
                  <a:gd name="connsiteX2" fmla="*/ 148091 w 148091"/>
                  <a:gd name="connsiteY2" fmla="*/ 793440 h 793440"/>
                  <a:gd name="connsiteX3" fmla="*/ 10229 w 148091"/>
                  <a:gd name="connsiteY3" fmla="*/ 711976 h 793440"/>
                  <a:gd name="connsiteX4" fmla="*/ 10229 w 148091"/>
                  <a:gd name="connsiteY4" fmla="*/ 35200 h 793440"/>
                  <a:gd name="connsiteX0" fmla="*/ 10705 w 149324"/>
                  <a:gd name="connsiteY0" fmla="*/ 38304 h 796544"/>
                  <a:gd name="connsiteX1" fmla="*/ 148741 w 149324"/>
                  <a:gd name="connsiteY1" fmla="*/ 94227 h 796544"/>
                  <a:gd name="connsiteX2" fmla="*/ 148567 w 149324"/>
                  <a:gd name="connsiteY2" fmla="*/ 796544 h 796544"/>
                  <a:gd name="connsiteX3" fmla="*/ 10705 w 149324"/>
                  <a:gd name="connsiteY3" fmla="*/ 715080 h 796544"/>
                  <a:gd name="connsiteX4" fmla="*/ 10705 w 149324"/>
                  <a:gd name="connsiteY4" fmla="*/ 38304 h 796544"/>
                  <a:gd name="connsiteX0" fmla="*/ 7081 w 165016"/>
                  <a:gd name="connsiteY0" fmla="*/ 31583 h 835348"/>
                  <a:gd name="connsiteX1" fmla="*/ 164433 w 165016"/>
                  <a:gd name="connsiteY1" fmla="*/ 133031 h 835348"/>
                  <a:gd name="connsiteX2" fmla="*/ 164259 w 165016"/>
                  <a:gd name="connsiteY2" fmla="*/ 835348 h 835348"/>
                  <a:gd name="connsiteX3" fmla="*/ 26397 w 165016"/>
                  <a:gd name="connsiteY3" fmla="*/ 753884 h 835348"/>
                  <a:gd name="connsiteX4" fmla="*/ 7081 w 165016"/>
                  <a:gd name="connsiteY4" fmla="*/ 31583 h 835348"/>
                  <a:gd name="connsiteX0" fmla="*/ 7988 w 159483"/>
                  <a:gd name="connsiteY0" fmla="*/ 33257 h 824015"/>
                  <a:gd name="connsiteX1" fmla="*/ 158900 w 159483"/>
                  <a:gd name="connsiteY1" fmla="*/ 121698 h 824015"/>
                  <a:gd name="connsiteX2" fmla="*/ 158726 w 159483"/>
                  <a:gd name="connsiteY2" fmla="*/ 824015 h 824015"/>
                  <a:gd name="connsiteX3" fmla="*/ 20864 w 159483"/>
                  <a:gd name="connsiteY3" fmla="*/ 742551 h 824015"/>
                  <a:gd name="connsiteX4" fmla="*/ 7988 w 159483"/>
                  <a:gd name="connsiteY4" fmla="*/ 33257 h 824015"/>
                  <a:gd name="connsiteX0" fmla="*/ 600 w 152095"/>
                  <a:gd name="connsiteY0" fmla="*/ 30603 h 821361"/>
                  <a:gd name="connsiteX1" fmla="*/ 151512 w 152095"/>
                  <a:gd name="connsiteY1" fmla="*/ 119044 h 821361"/>
                  <a:gd name="connsiteX2" fmla="*/ 151338 w 152095"/>
                  <a:gd name="connsiteY2" fmla="*/ 821361 h 821361"/>
                  <a:gd name="connsiteX3" fmla="*/ 13476 w 152095"/>
                  <a:gd name="connsiteY3" fmla="*/ 739897 h 821361"/>
                  <a:gd name="connsiteX4" fmla="*/ 600 w 152095"/>
                  <a:gd name="connsiteY4" fmla="*/ 30603 h 821361"/>
                  <a:gd name="connsiteX0" fmla="*/ 515 w 152010"/>
                  <a:gd name="connsiteY0" fmla="*/ 30603 h 821361"/>
                  <a:gd name="connsiteX1" fmla="*/ 151427 w 152010"/>
                  <a:gd name="connsiteY1" fmla="*/ 119044 h 821361"/>
                  <a:gd name="connsiteX2" fmla="*/ 151253 w 152010"/>
                  <a:gd name="connsiteY2" fmla="*/ 821361 h 821361"/>
                  <a:gd name="connsiteX3" fmla="*/ 13391 w 152010"/>
                  <a:gd name="connsiteY3" fmla="*/ 739897 h 821361"/>
                  <a:gd name="connsiteX4" fmla="*/ 515 w 152010"/>
                  <a:gd name="connsiteY4" fmla="*/ 30603 h 821361"/>
                  <a:gd name="connsiteX0" fmla="*/ 599 w 152094"/>
                  <a:gd name="connsiteY0" fmla="*/ 27972 h 818730"/>
                  <a:gd name="connsiteX1" fmla="*/ 151511 w 152094"/>
                  <a:gd name="connsiteY1" fmla="*/ 116413 h 818730"/>
                  <a:gd name="connsiteX2" fmla="*/ 151337 w 152094"/>
                  <a:gd name="connsiteY2" fmla="*/ 818730 h 818730"/>
                  <a:gd name="connsiteX3" fmla="*/ 13475 w 152094"/>
                  <a:gd name="connsiteY3" fmla="*/ 737266 h 818730"/>
                  <a:gd name="connsiteX4" fmla="*/ 599 w 152094"/>
                  <a:gd name="connsiteY4" fmla="*/ 27972 h 818730"/>
                  <a:gd name="connsiteX0" fmla="*/ 599 w 152094"/>
                  <a:gd name="connsiteY0" fmla="*/ 25251 h 816009"/>
                  <a:gd name="connsiteX1" fmla="*/ 151511 w 152094"/>
                  <a:gd name="connsiteY1" fmla="*/ 113692 h 816009"/>
                  <a:gd name="connsiteX2" fmla="*/ 151337 w 152094"/>
                  <a:gd name="connsiteY2" fmla="*/ 816009 h 816009"/>
                  <a:gd name="connsiteX3" fmla="*/ 13475 w 152094"/>
                  <a:gd name="connsiteY3" fmla="*/ 734545 h 816009"/>
                  <a:gd name="connsiteX4" fmla="*/ 599 w 152094"/>
                  <a:gd name="connsiteY4" fmla="*/ 25251 h 816009"/>
                  <a:gd name="connsiteX0" fmla="*/ 599 w 152094"/>
                  <a:gd name="connsiteY0" fmla="*/ 25251 h 816009"/>
                  <a:gd name="connsiteX1" fmla="*/ 151511 w 152094"/>
                  <a:gd name="connsiteY1" fmla="*/ 113692 h 816009"/>
                  <a:gd name="connsiteX2" fmla="*/ 151337 w 152094"/>
                  <a:gd name="connsiteY2" fmla="*/ 816009 h 816009"/>
                  <a:gd name="connsiteX3" fmla="*/ 13475 w 152094"/>
                  <a:gd name="connsiteY3" fmla="*/ 734545 h 816009"/>
                  <a:gd name="connsiteX4" fmla="*/ 599 w 152094"/>
                  <a:gd name="connsiteY4" fmla="*/ 25251 h 816009"/>
                  <a:gd name="connsiteX0" fmla="*/ 35 w 151530"/>
                  <a:gd name="connsiteY0" fmla="*/ 7118 h 797876"/>
                  <a:gd name="connsiteX1" fmla="*/ 150947 w 151530"/>
                  <a:gd name="connsiteY1" fmla="*/ 95559 h 797876"/>
                  <a:gd name="connsiteX2" fmla="*/ 150773 w 151530"/>
                  <a:gd name="connsiteY2" fmla="*/ 797876 h 797876"/>
                  <a:gd name="connsiteX3" fmla="*/ 12911 w 151530"/>
                  <a:gd name="connsiteY3" fmla="*/ 716412 h 797876"/>
                  <a:gd name="connsiteX4" fmla="*/ 35 w 151530"/>
                  <a:gd name="connsiteY4" fmla="*/ 7118 h 797876"/>
                  <a:gd name="connsiteX0" fmla="*/ 35 w 151530"/>
                  <a:gd name="connsiteY0" fmla="*/ 260 h 791018"/>
                  <a:gd name="connsiteX1" fmla="*/ 150947 w 151530"/>
                  <a:gd name="connsiteY1" fmla="*/ 88701 h 791018"/>
                  <a:gd name="connsiteX2" fmla="*/ 150773 w 151530"/>
                  <a:gd name="connsiteY2" fmla="*/ 791018 h 791018"/>
                  <a:gd name="connsiteX3" fmla="*/ 12911 w 151530"/>
                  <a:gd name="connsiteY3" fmla="*/ 709554 h 791018"/>
                  <a:gd name="connsiteX4" fmla="*/ 35 w 151530"/>
                  <a:gd name="connsiteY4" fmla="*/ 260 h 791018"/>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51530" h="791018">
                    <a:moveTo>
                      <a:pt x="35" y="260"/>
                    </a:moveTo>
                    <a:cubicBezTo>
                      <a:pt x="-2713" y="-5661"/>
                      <a:pt x="158592" y="91739"/>
                      <a:pt x="150947" y="88701"/>
                    </a:cubicBezTo>
                    <a:cubicBezTo>
                      <a:pt x="153036" y="97349"/>
                      <a:pt x="148684" y="561248"/>
                      <a:pt x="150773" y="791018"/>
                    </a:cubicBezTo>
                    <a:lnTo>
                      <a:pt x="12911" y="709554"/>
                    </a:lnTo>
                    <a:cubicBezTo>
                      <a:pt x="10822" y="479784"/>
                      <a:pt x="2783" y="6181"/>
                      <a:pt x="35" y="260"/>
                    </a:cubicBezTo>
                    <a:close/>
                  </a:path>
                </a:pathLst>
              </a:custGeom>
              <a:gradFill>
                <a:gsLst>
                  <a:gs pos="0">
                    <a:schemeClr val="bg1">
                      <a:lumMod val="75000"/>
                    </a:schemeClr>
                  </a:gs>
                  <a:gs pos="50000">
                    <a:schemeClr val="bg1">
                      <a:lumMod val="95000"/>
                    </a:schemeClr>
                  </a:gs>
                  <a:gs pos="100000">
                    <a:srgbClr val="E1E8F5"/>
                  </a:gs>
                </a:gsLst>
                <a:lin ang="18900000" scaled="1"/>
              </a:gra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137715" name="Freeform 137714"/>
              <xdr:cNvSpPr/>
            </xdr:nvSpPr>
            <xdr:spPr>
              <a:xfrm>
                <a:off x="5152525" y="16981571"/>
                <a:ext cx="999875" cy="853490"/>
              </a:xfrm>
              <a:custGeom>
                <a:avLst/>
                <a:gdLst>
                  <a:gd name="connsiteX0" fmla="*/ 933701 w 933701"/>
                  <a:gd name="connsiteY0" fmla="*/ 0 h 858503"/>
                  <a:gd name="connsiteX1" fmla="*/ 933701 w 933701"/>
                  <a:gd name="connsiteY1" fmla="*/ 307056 h 858503"/>
                  <a:gd name="connsiteX2" fmla="*/ 0 w 933701"/>
                  <a:gd name="connsiteY2" fmla="*/ 858503 h 858503"/>
                  <a:gd name="connsiteX3" fmla="*/ 37599 w 933701"/>
                  <a:gd name="connsiteY3" fmla="*/ 808372 h 858503"/>
                  <a:gd name="connsiteX4" fmla="*/ 37599 w 933701"/>
                  <a:gd name="connsiteY4" fmla="*/ 551447 h 858503"/>
                  <a:gd name="connsiteX5" fmla="*/ 933701 w 933701"/>
                  <a:gd name="connsiteY5" fmla="*/ 0 h 858503"/>
                  <a:gd name="connsiteX0" fmla="*/ 933701 w 1027698"/>
                  <a:gd name="connsiteY0" fmla="*/ 0 h 858503"/>
                  <a:gd name="connsiteX1" fmla="*/ 1027698 w 1027698"/>
                  <a:gd name="connsiteY1" fmla="*/ 250658 h 858503"/>
                  <a:gd name="connsiteX2" fmla="*/ 0 w 1027698"/>
                  <a:gd name="connsiteY2" fmla="*/ 858503 h 858503"/>
                  <a:gd name="connsiteX3" fmla="*/ 37599 w 1027698"/>
                  <a:gd name="connsiteY3" fmla="*/ 808372 h 858503"/>
                  <a:gd name="connsiteX4" fmla="*/ 37599 w 1027698"/>
                  <a:gd name="connsiteY4" fmla="*/ 551447 h 858503"/>
                  <a:gd name="connsiteX5" fmla="*/ 933701 w 1027698"/>
                  <a:gd name="connsiteY5" fmla="*/ 0 h 858503"/>
                  <a:gd name="connsiteX0" fmla="*/ 933701 w 996366"/>
                  <a:gd name="connsiteY0" fmla="*/ 0 h 858503"/>
                  <a:gd name="connsiteX1" fmla="*/ 996366 w 996366"/>
                  <a:gd name="connsiteY1" fmla="*/ 250658 h 858503"/>
                  <a:gd name="connsiteX2" fmla="*/ 0 w 996366"/>
                  <a:gd name="connsiteY2" fmla="*/ 858503 h 858503"/>
                  <a:gd name="connsiteX3" fmla="*/ 37599 w 996366"/>
                  <a:gd name="connsiteY3" fmla="*/ 808372 h 858503"/>
                  <a:gd name="connsiteX4" fmla="*/ 37599 w 996366"/>
                  <a:gd name="connsiteY4" fmla="*/ 551447 h 858503"/>
                  <a:gd name="connsiteX5" fmla="*/ 933701 w 996366"/>
                  <a:gd name="connsiteY5" fmla="*/ 0 h 85850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996366" h="858503">
                    <a:moveTo>
                      <a:pt x="933701" y="0"/>
                    </a:moveTo>
                    <a:lnTo>
                      <a:pt x="996366" y="250658"/>
                    </a:lnTo>
                    <a:lnTo>
                      <a:pt x="0" y="858503"/>
                    </a:lnTo>
                    <a:lnTo>
                      <a:pt x="37599" y="808372"/>
                    </a:lnTo>
                    <a:lnTo>
                      <a:pt x="37599" y="551447"/>
                    </a:lnTo>
                    <a:lnTo>
                      <a:pt x="933701" y="0"/>
                    </a:lnTo>
                    <a:close/>
                  </a:path>
                </a:pathLst>
              </a:custGeom>
              <a:gradFill flip="none" rotWithShape="1">
                <a:gsLst>
                  <a:gs pos="0">
                    <a:srgbClr val="CCFFCC"/>
                  </a:gs>
                  <a:gs pos="50000">
                    <a:srgbClr val="CCFFFF"/>
                  </a:gs>
                  <a:gs pos="100000">
                    <a:srgbClr val="CCFFFF"/>
                  </a:gs>
                </a:gsLst>
                <a:lin ang="18900000" scaled="1"/>
                <a:tileRect/>
              </a:gradFill>
              <a:ln w="3175">
                <a:solidFill>
                  <a:schemeClr val="dk1">
                    <a:shade val="95000"/>
                    <a:satMod val="10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572" name="Freeform 571"/>
              <xdr:cNvSpPr/>
            </xdr:nvSpPr>
            <xdr:spPr>
              <a:xfrm>
                <a:off x="7799722" y="15339260"/>
                <a:ext cx="928234" cy="857417"/>
              </a:xfrm>
              <a:custGeom>
                <a:avLst/>
                <a:gdLst>
                  <a:gd name="connsiteX0" fmla="*/ 933701 w 933701"/>
                  <a:gd name="connsiteY0" fmla="*/ 0 h 858503"/>
                  <a:gd name="connsiteX1" fmla="*/ 933701 w 933701"/>
                  <a:gd name="connsiteY1" fmla="*/ 307056 h 858503"/>
                  <a:gd name="connsiteX2" fmla="*/ 0 w 933701"/>
                  <a:gd name="connsiteY2" fmla="*/ 858503 h 858503"/>
                  <a:gd name="connsiteX3" fmla="*/ 37599 w 933701"/>
                  <a:gd name="connsiteY3" fmla="*/ 808372 h 858503"/>
                  <a:gd name="connsiteX4" fmla="*/ 37599 w 933701"/>
                  <a:gd name="connsiteY4" fmla="*/ 551447 h 858503"/>
                  <a:gd name="connsiteX5" fmla="*/ 933701 w 933701"/>
                  <a:gd name="connsiteY5" fmla="*/ 0 h 858503"/>
                  <a:gd name="connsiteX0" fmla="*/ 933701 w 1027698"/>
                  <a:gd name="connsiteY0" fmla="*/ 0 h 858503"/>
                  <a:gd name="connsiteX1" fmla="*/ 1027698 w 1027698"/>
                  <a:gd name="connsiteY1" fmla="*/ 250658 h 858503"/>
                  <a:gd name="connsiteX2" fmla="*/ 0 w 1027698"/>
                  <a:gd name="connsiteY2" fmla="*/ 858503 h 858503"/>
                  <a:gd name="connsiteX3" fmla="*/ 37599 w 1027698"/>
                  <a:gd name="connsiteY3" fmla="*/ 808372 h 858503"/>
                  <a:gd name="connsiteX4" fmla="*/ 37599 w 1027698"/>
                  <a:gd name="connsiteY4" fmla="*/ 551447 h 858503"/>
                  <a:gd name="connsiteX5" fmla="*/ 933701 w 1027698"/>
                  <a:gd name="connsiteY5" fmla="*/ 0 h 858503"/>
                  <a:gd name="connsiteX0" fmla="*/ 933701 w 996366"/>
                  <a:gd name="connsiteY0" fmla="*/ 0 h 858503"/>
                  <a:gd name="connsiteX1" fmla="*/ 996366 w 996366"/>
                  <a:gd name="connsiteY1" fmla="*/ 250658 h 858503"/>
                  <a:gd name="connsiteX2" fmla="*/ 0 w 996366"/>
                  <a:gd name="connsiteY2" fmla="*/ 858503 h 858503"/>
                  <a:gd name="connsiteX3" fmla="*/ 37599 w 996366"/>
                  <a:gd name="connsiteY3" fmla="*/ 808372 h 858503"/>
                  <a:gd name="connsiteX4" fmla="*/ 37599 w 996366"/>
                  <a:gd name="connsiteY4" fmla="*/ 551447 h 858503"/>
                  <a:gd name="connsiteX5" fmla="*/ 933701 w 996366"/>
                  <a:gd name="connsiteY5" fmla="*/ 0 h 858503"/>
                  <a:gd name="connsiteX0" fmla="*/ 933701 w 946235"/>
                  <a:gd name="connsiteY0" fmla="*/ 0 h 858503"/>
                  <a:gd name="connsiteX1" fmla="*/ 946235 w 946235"/>
                  <a:gd name="connsiteY1" fmla="*/ 325855 h 858503"/>
                  <a:gd name="connsiteX2" fmla="*/ 0 w 946235"/>
                  <a:gd name="connsiteY2" fmla="*/ 858503 h 858503"/>
                  <a:gd name="connsiteX3" fmla="*/ 37599 w 946235"/>
                  <a:gd name="connsiteY3" fmla="*/ 808372 h 858503"/>
                  <a:gd name="connsiteX4" fmla="*/ 37599 w 946235"/>
                  <a:gd name="connsiteY4" fmla="*/ 551447 h 858503"/>
                  <a:gd name="connsiteX5" fmla="*/ 933701 w 946235"/>
                  <a:gd name="connsiteY5" fmla="*/ 0 h 858503"/>
                  <a:gd name="connsiteX0" fmla="*/ 933701 w 946235"/>
                  <a:gd name="connsiteY0" fmla="*/ 0 h 858503"/>
                  <a:gd name="connsiteX1" fmla="*/ 946235 w 946235"/>
                  <a:gd name="connsiteY1" fmla="*/ 325855 h 858503"/>
                  <a:gd name="connsiteX2" fmla="*/ 0 w 946235"/>
                  <a:gd name="connsiteY2" fmla="*/ 858503 h 858503"/>
                  <a:gd name="connsiteX3" fmla="*/ 37599 w 946235"/>
                  <a:gd name="connsiteY3" fmla="*/ 808372 h 858503"/>
                  <a:gd name="connsiteX4" fmla="*/ 0 w 946235"/>
                  <a:gd name="connsiteY4" fmla="*/ 607845 h 858503"/>
                  <a:gd name="connsiteX5" fmla="*/ 933701 w 946235"/>
                  <a:gd name="connsiteY5" fmla="*/ 0 h 858503"/>
                  <a:gd name="connsiteX0" fmla="*/ 933701 w 946235"/>
                  <a:gd name="connsiteY0" fmla="*/ 0 h 858503"/>
                  <a:gd name="connsiteX1" fmla="*/ 946235 w 946235"/>
                  <a:gd name="connsiteY1" fmla="*/ 325855 h 858503"/>
                  <a:gd name="connsiteX2" fmla="*/ 0 w 946235"/>
                  <a:gd name="connsiteY2" fmla="*/ 858503 h 858503"/>
                  <a:gd name="connsiteX3" fmla="*/ 37599 w 946235"/>
                  <a:gd name="connsiteY3" fmla="*/ 808372 h 858503"/>
                  <a:gd name="connsiteX4" fmla="*/ 0 w 946235"/>
                  <a:gd name="connsiteY4" fmla="*/ 589046 h 858503"/>
                  <a:gd name="connsiteX5" fmla="*/ 933701 w 946235"/>
                  <a:gd name="connsiteY5" fmla="*/ 0 h 858503"/>
                  <a:gd name="connsiteX0" fmla="*/ 933701 w 946235"/>
                  <a:gd name="connsiteY0" fmla="*/ 0 h 858503"/>
                  <a:gd name="connsiteX1" fmla="*/ 946235 w 946235"/>
                  <a:gd name="connsiteY1" fmla="*/ 325855 h 858503"/>
                  <a:gd name="connsiteX2" fmla="*/ 68931 w 946235"/>
                  <a:gd name="connsiteY2" fmla="*/ 858503 h 858503"/>
                  <a:gd name="connsiteX3" fmla="*/ 37599 w 946235"/>
                  <a:gd name="connsiteY3" fmla="*/ 808372 h 858503"/>
                  <a:gd name="connsiteX4" fmla="*/ 0 w 946235"/>
                  <a:gd name="connsiteY4" fmla="*/ 589046 h 858503"/>
                  <a:gd name="connsiteX5" fmla="*/ 933701 w 946235"/>
                  <a:gd name="connsiteY5" fmla="*/ 0 h 858503"/>
                  <a:gd name="connsiteX0" fmla="*/ 933701 w 946235"/>
                  <a:gd name="connsiteY0" fmla="*/ 0 h 883569"/>
                  <a:gd name="connsiteX1" fmla="*/ 946235 w 946235"/>
                  <a:gd name="connsiteY1" fmla="*/ 325855 h 883569"/>
                  <a:gd name="connsiteX2" fmla="*/ 37599 w 946235"/>
                  <a:gd name="connsiteY2" fmla="*/ 883569 h 883569"/>
                  <a:gd name="connsiteX3" fmla="*/ 37599 w 946235"/>
                  <a:gd name="connsiteY3" fmla="*/ 808372 h 883569"/>
                  <a:gd name="connsiteX4" fmla="*/ 0 w 946235"/>
                  <a:gd name="connsiteY4" fmla="*/ 589046 h 883569"/>
                  <a:gd name="connsiteX5" fmla="*/ 933701 w 946235"/>
                  <a:gd name="connsiteY5" fmla="*/ 0 h 883569"/>
                  <a:gd name="connsiteX0" fmla="*/ 933701 w 946235"/>
                  <a:gd name="connsiteY0" fmla="*/ 0 h 883569"/>
                  <a:gd name="connsiteX1" fmla="*/ 946235 w 946235"/>
                  <a:gd name="connsiteY1" fmla="*/ 325855 h 883569"/>
                  <a:gd name="connsiteX2" fmla="*/ 37599 w 946235"/>
                  <a:gd name="connsiteY2" fmla="*/ 883569 h 883569"/>
                  <a:gd name="connsiteX3" fmla="*/ 25066 w 946235"/>
                  <a:gd name="connsiteY3" fmla="*/ 795839 h 883569"/>
                  <a:gd name="connsiteX4" fmla="*/ 0 w 946235"/>
                  <a:gd name="connsiteY4" fmla="*/ 589046 h 883569"/>
                  <a:gd name="connsiteX5" fmla="*/ 933701 w 946235"/>
                  <a:gd name="connsiteY5" fmla="*/ 0 h 88356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946235" h="883569">
                    <a:moveTo>
                      <a:pt x="933701" y="0"/>
                    </a:moveTo>
                    <a:lnTo>
                      <a:pt x="946235" y="325855"/>
                    </a:lnTo>
                    <a:lnTo>
                      <a:pt x="37599" y="883569"/>
                    </a:lnTo>
                    <a:lnTo>
                      <a:pt x="25066" y="795839"/>
                    </a:lnTo>
                    <a:lnTo>
                      <a:pt x="0" y="589046"/>
                    </a:lnTo>
                    <a:lnTo>
                      <a:pt x="933701" y="0"/>
                    </a:lnTo>
                    <a:close/>
                  </a:path>
                </a:pathLst>
              </a:custGeom>
              <a:gradFill flip="none" rotWithShape="1">
                <a:gsLst>
                  <a:gs pos="0">
                    <a:srgbClr val="CCFFCC"/>
                  </a:gs>
                  <a:gs pos="50000">
                    <a:srgbClr val="CCFFFF"/>
                  </a:gs>
                  <a:gs pos="100000">
                    <a:srgbClr val="CCFFFF"/>
                  </a:gs>
                </a:gsLst>
                <a:lin ang="18900000" scaled="1"/>
                <a:tileRect/>
              </a:gradFill>
              <a:ln w="3175">
                <a:solidFill>
                  <a:schemeClr val="dk1">
                    <a:shade val="95000"/>
                    <a:satMod val="10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xnSp macro="">
            <xdr:nvCxnSpPr>
              <xdr:cNvPr id="570" name="Straight Connector 569"/>
              <xdr:cNvCxnSpPr>
                <a:endCxn id="813286" idx="9"/>
              </xdr:cNvCxnSpPr>
            </xdr:nvCxnSpPr>
            <xdr:spPr>
              <a:xfrm flipH="1">
                <a:off x="5127246" y="17219701"/>
                <a:ext cx="1033430" cy="626889"/>
              </a:xfrm>
              <a:prstGeom prst="line">
                <a:avLst/>
              </a:prstGeom>
              <a:ln w="19050"/>
            </xdr:spPr>
            <xdr:style>
              <a:lnRef idx="1">
                <a:schemeClr val="dk1"/>
              </a:lnRef>
              <a:fillRef idx="0">
                <a:schemeClr val="dk1"/>
              </a:fillRef>
              <a:effectRef idx="0">
                <a:schemeClr val="dk1"/>
              </a:effectRef>
              <a:fontRef idx="minor">
                <a:schemeClr val="tx1"/>
              </a:fontRef>
            </xdr:style>
          </xdr:cxnSp>
          <xdr:sp macro="" textlink="">
            <xdr:nvSpPr>
              <xdr:cNvPr id="137714" name="Freeform 137713"/>
              <xdr:cNvSpPr/>
            </xdr:nvSpPr>
            <xdr:spPr>
              <a:xfrm>
                <a:off x="6087979" y="16975305"/>
                <a:ext cx="993608" cy="691564"/>
              </a:xfrm>
              <a:custGeom>
                <a:avLst/>
                <a:gdLst>
                  <a:gd name="connsiteX0" fmla="*/ 990098 w 990098"/>
                  <a:gd name="connsiteY0" fmla="*/ 0 h 695575"/>
                  <a:gd name="connsiteX1" fmla="*/ 0 w 990098"/>
                  <a:gd name="connsiteY1" fmla="*/ 12533 h 695575"/>
                  <a:gd name="connsiteX2" fmla="*/ 6266 w 990098"/>
                  <a:gd name="connsiteY2" fmla="*/ 225592 h 695575"/>
                  <a:gd name="connsiteX3" fmla="*/ 990098 w 990098"/>
                  <a:gd name="connsiteY3" fmla="*/ 695575 h 695575"/>
                  <a:gd name="connsiteX4" fmla="*/ 990098 w 990098"/>
                  <a:gd name="connsiteY4" fmla="*/ 0 h 695575"/>
                  <a:gd name="connsiteX0" fmla="*/ 990098 w 990098"/>
                  <a:gd name="connsiteY0" fmla="*/ 0 h 695575"/>
                  <a:gd name="connsiteX1" fmla="*/ 0 w 990098"/>
                  <a:gd name="connsiteY1" fmla="*/ 12533 h 695575"/>
                  <a:gd name="connsiteX2" fmla="*/ 6266 w 990098"/>
                  <a:gd name="connsiteY2" fmla="*/ 200526 h 695575"/>
                  <a:gd name="connsiteX3" fmla="*/ 990098 w 990098"/>
                  <a:gd name="connsiteY3" fmla="*/ 695575 h 695575"/>
                  <a:gd name="connsiteX4" fmla="*/ 990098 w 990098"/>
                  <a:gd name="connsiteY4" fmla="*/ 0 h 695575"/>
                  <a:gd name="connsiteX0" fmla="*/ 990098 w 990098"/>
                  <a:gd name="connsiteY0" fmla="*/ 0 h 695575"/>
                  <a:gd name="connsiteX1" fmla="*/ 0 w 990098"/>
                  <a:gd name="connsiteY1" fmla="*/ 12533 h 695575"/>
                  <a:gd name="connsiteX2" fmla="*/ 6266 w 990098"/>
                  <a:gd name="connsiteY2" fmla="*/ 287083 h 695575"/>
                  <a:gd name="connsiteX3" fmla="*/ 990098 w 990098"/>
                  <a:gd name="connsiteY3" fmla="*/ 695575 h 695575"/>
                  <a:gd name="connsiteX4" fmla="*/ 990098 w 990098"/>
                  <a:gd name="connsiteY4" fmla="*/ 0 h 69557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990098" h="695575">
                    <a:moveTo>
                      <a:pt x="990098" y="0"/>
                    </a:moveTo>
                    <a:lnTo>
                      <a:pt x="0" y="12533"/>
                    </a:lnTo>
                    <a:lnTo>
                      <a:pt x="6266" y="287083"/>
                    </a:lnTo>
                    <a:cubicBezTo>
                      <a:pt x="334210" y="452099"/>
                      <a:pt x="662154" y="530559"/>
                      <a:pt x="990098" y="695575"/>
                    </a:cubicBezTo>
                    <a:cubicBezTo>
                      <a:pt x="988009" y="463717"/>
                      <a:pt x="985921" y="231858"/>
                      <a:pt x="990098" y="0"/>
                    </a:cubicBezTo>
                    <a:close/>
                  </a:path>
                </a:pathLst>
              </a:custGeom>
              <a:gradFill>
                <a:gsLst>
                  <a:gs pos="0">
                    <a:srgbClr val="CCFFCC"/>
                  </a:gs>
                  <a:gs pos="50000">
                    <a:srgbClr val="CCFFFF"/>
                  </a:gs>
                  <a:gs pos="100000">
                    <a:srgbClr val="CCFFFF"/>
                  </a:gs>
                </a:gsLst>
                <a:lin ang="8100000" scaled="1"/>
              </a:gra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137702" name="Freeform 137701"/>
              <xdr:cNvSpPr/>
            </xdr:nvSpPr>
            <xdr:spPr>
              <a:xfrm>
                <a:off x="6102267" y="15934824"/>
                <a:ext cx="1789446" cy="1046748"/>
              </a:xfrm>
              <a:custGeom>
                <a:avLst/>
                <a:gdLst>
                  <a:gd name="connsiteX0" fmla="*/ 1698207 w 1698207"/>
                  <a:gd name="connsiteY0" fmla="*/ 501316 h 990099"/>
                  <a:gd name="connsiteX1" fmla="*/ 1491414 w 1698207"/>
                  <a:gd name="connsiteY1" fmla="*/ 0 h 990099"/>
                  <a:gd name="connsiteX2" fmla="*/ 0 w 1698207"/>
                  <a:gd name="connsiteY2" fmla="*/ 933701 h 990099"/>
                  <a:gd name="connsiteX3" fmla="*/ 889835 w 1698207"/>
                  <a:gd name="connsiteY3" fmla="*/ 990099 h 990099"/>
                  <a:gd name="connsiteX4" fmla="*/ 1698207 w 1698207"/>
                  <a:gd name="connsiteY4" fmla="*/ 501316 h 990099"/>
                  <a:gd name="connsiteX0" fmla="*/ 1879934 w 1879934"/>
                  <a:gd name="connsiteY0" fmla="*/ 501316 h 1040230"/>
                  <a:gd name="connsiteX1" fmla="*/ 1673141 w 1879934"/>
                  <a:gd name="connsiteY1" fmla="*/ 0 h 1040230"/>
                  <a:gd name="connsiteX2" fmla="*/ 0 w 1879934"/>
                  <a:gd name="connsiteY2" fmla="*/ 1040230 h 1040230"/>
                  <a:gd name="connsiteX3" fmla="*/ 1071562 w 1879934"/>
                  <a:gd name="connsiteY3" fmla="*/ 990099 h 1040230"/>
                  <a:gd name="connsiteX4" fmla="*/ 1879934 w 1879934"/>
                  <a:gd name="connsiteY4" fmla="*/ 501316 h 1040230"/>
                  <a:gd name="connsiteX0" fmla="*/ 1879934 w 1879934"/>
                  <a:gd name="connsiteY0" fmla="*/ 582780 h 1121694"/>
                  <a:gd name="connsiteX1" fmla="*/ 1811003 w 1879934"/>
                  <a:gd name="connsiteY1" fmla="*/ 0 h 1121694"/>
                  <a:gd name="connsiteX2" fmla="*/ 0 w 1879934"/>
                  <a:gd name="connsiteY2" fmla="*/ 1121694 h 1121694"/>
                  <a:gd name="connsiteX3" fmla="*/ 1071562 w 1879934"/>
                  <a:gd name="connsiteY3" fmla="*/ 1071563 h 1121694"/>
                  <a:gd name="connsiteX4" fmla="*/ 1879934 w 1879934"/>
                  <a:gd name="connsiteY4" fmla="*/ 582780 h 1121694"/>
                  <a:gd name="connsiteX0" fmla="*/ 1879934 w 1879934"/>
                  <a:gd name="connsiteY0" fmla="*/ 557715 h 1096629"/>
                  <a:gd name="connsiteX1" fmla="*/ 1779671 w 1879934"/>
                  <a:gd name="connsiteY1" fmla="*/ 0 h 1096629"/>
                  <a:gd name="connsiteX2" fmla="*/ 0 w 1879934"/>
                  <a:gd name="connsiteY2" fmla="*/ 1096629 h 1096629"/>
                  <a:gd name="connsiteX3" fmla="*/ 1071562 w 1879934"/>
                  <a:gd name="connsiteY3" fmla="*/ 1046498 h 1096629"/>
                  <a:gd name="connsiteX4" fmla="*/ 1879934 w 1879934"/>
                  <a:gd name="connsiteY4" fmla="*/ 557715 h 1096629"/>
                  <a:gd name="connsiteX0" fmla="*/ 1785937 w 1785937"/>
                  <a:gd name="connsiteY0" fmla="*/ 557715 h 1052764"/>
                  <a:gd name="connsiteX1" fmla="*/ 1685674 w 1785937"/>
                  <a:gd name="connsiteY1" fmla="*/ 0 h 1052764"/>
                  <a:gd name="connsiteX2" fmla="*/ 0 w 1785937"/>
                  <a:gd name="connsiteY2" fmla="*/ 1052764 h 1052764"/>
                  <a:gd name="connsiteX3" fmla="*/ 977565 w 1785937"/>
                  <a:gd name="connsiteY3" fmla="*/ 1046498 h 1052764"/>
                  <a:gd name="connsiteX4" fmla="*/ 1785937 w 1785937"/>
                  <a:gd name="connsiteY4" fmla="*/ 557715 h 1052764"/>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785937" h="1052764">
                    <a:moveTo>
                      <a:pt x="1785937" y="557715"/>
                    </a:moveTo>
                    <a:lnTo>
                      <a:pt x="1685674" y="0"/>
                    </a:lnTo>
                    <a:lnTo>
                      <a:pt x="0" y="1052764"/>
                    </a:lnTo>
                    <a:lnTo>
                      <a:pt x="977565" y="1046498"/>
                    </a:lnTo>
                    <a:lnTo>
                      <a:pt x="1785937" y="557715"/>
                    </a:lnTo>
                    <a:close/>
                  </a:path>
                </a:pathLst>
              </a:custGeom>
              <a:gradFill>
                <a:gsLst>
                  <a:gs pos="0">
                    <a:schemeClr val="bg1">
                      <a:lumMod val="75000"/>
                    </a:schemeClr>
                  </a:gs>
                  <a:gs pos="50000">
                    <a:schemeClr val="bg1">
                      <a:lumMod val="95000"/>
                    </a:schemeClr>
                  </a:gs>
                  <a:gs pos="100000">
                    <a:srgbClr val="E1E8F5"/>
                  </a:gs>
                </a:gsLst>
                <a:lin ang="1200000" scaled="0"/>
              </a:gra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xnSp macro="">
            <xdr:nvCxnSpPr>
              <xdr:cNvPr id="574" name="Straight Connector 573"/>
              <xdr:cNvCxnSpPr>
                <a:stCxn id="137719" idx="10"/>
              </xdr:cNvCxnSpPr>
            </xdr:nvCxnSpPr>
            <xdr:spPr>
              <a:xfrm flipH="1">
                <a:off x="7843595" y="15703900"/>
                <a:ext cx="819912" cy="501383"/>
              </a:xfrm>
              <a:prstGeom prst="line">
                <a:avLst/>
              </a:prstGeom>
              <a:ln w="19050"/>
            </xdr:spPr>
            <xdr:style>
              <a:lnRef idx="1">
                <a:schemeClr val="dk1"/>
              </a:lnRef>
              <a:fillRef idx="0">
                <a:schemeClr val="dk1"/>
              </a:fillRef>
              <a:effectRef idx="0">
                <a:schemeClr val="dk1"/>
              </a:effectRef>
              <a:fontRef idx="minor">
                <a:schemeClr val="tx1"/>
              </a:fontRef>
            </xdr:style>
          </xdr:cxnSp>
          <xdr:sp macro="" textlink="">
            <xdr:nvSpPr>
              <xdr:cNvPr id="137719" name="Freeform 137718"/>
              <xdr:cNvSpPr/>
            </xdr:nvSpPr>
            <xdr:spPr>
              <a:xfrm>
                <a:off x="8571997" y="15169064"/>
                <a:ext cx="161149" cy="534979"/>
              </a:xfrm>
              <a:custGeom>
                <a:avLst/>
                <a:gdLst>
                  <a:gd name="connsiteX0" fmla="*/ 0 w 162928"/>
                  <a:gd name="connsiteY0" fmla="*/ 0 h 532648"/>
                  <a:gd name="connsiteX1" fmla="*/ 62665 w 162928"/>
                  <a:gd name="connsiteY1" fmla="*/ 50131 h 532648"/>
                  <a:gd name="connsiteX2" fmla="*/ 119063 w 162928"/>
                  <a:gd name="connsiteY2" fmla="*/ 100263 h 532648"/>
                  <a:gd name="connsiteX3" fmla="*/ 131596 w 162928"/>
                  <a:gd name="connsiteY3" fmla="*/ 125329 h 532648"/>
                  <a:gd name="connsiteX4" fmla="*/ 156661 w 162928"/>
                  <a:gd name="connsiteY4" fmla="*/ 181727 h 532648"/>
                  <a:gd name="connsiteX5" fmla="*/ 162928 w 162928"/>
                  <a:gd name="connsiteY5" fmla="*/ 432385 h 532648"/>
                  <a:gd name="connsiteX6" fmla="*/ 156661 w 162928"/>
                  <a:gd name="connsiteY6" fmla="*/ 463717 h 532648"/>
                  <a:gd name="connsiteX7" fmla="*/ 137862 w 162928"/>
                  <a:gd name="connsiteY7" fmla="*/ 495049 h 532648"/>
                  <a:gd name="connsiteX8" fmla="*/ 131596 w 162928"/>
                  <a:gd name="connsiteY8" fmla="*/ 532648 h 532648"/>
                  <a:gd name="connsiteX9" fmla="*/ 131596 w 162928"/>
                  <a:gd name="connsiteY9" fmla="*/ 532648 h 532648"/>
                  <a:gd name="connsiteX0" fmla="*/ 0 w 162928"/>
                  <a:gd name="connsiteY0" fmla="*/ 0 h 532648"/>
                  <a:gd name="connsiteX1" fmla="*/ 62665 w 162928"/>
                  <a:gd name="connsiteY1" fmla="*/ 50131 h 532648"/>
                  <a:gd name="connsiteX2" fmla="*/ 119063 w 162928"/>
                  <a:gd name="connsiteY2" fmla="*/ 100263 h 532648"/>
                  <a:gd name="connsiteX3" fmla="*/ 131596 w 162928"/>
                  <a:gd name="connsiteY3" fmla="*/ 125329 h 532648"/>
                  <a:gd name="connsiteX4" fmla="*/ 156661 w 162928"/>
                  <a:gd name="connsiteY4" fmla="*/ 181727 h 532648"/>
                  <a:gd name="connsiteX5" fmla="*/ 162928 w 162928"/>
                  <a:gd name="connsiteY5" fmla="*/ 432385 h 532648"/>
                  <a:gd name="connsiteX6" fmla="*/ 156661 w 162928"/>
                  <a:gd name="connsiteY6" fmla="*/ 463717 h 532648"/>
                  <a:gd name="connsiteX7" fmla="*/ 162927 w 162928"/>
                  <a:gd name="connsiteY7" fmla="*/ 513849 h 532648"/>
                  <a:gd name="connsiteX8" fmla="*/ 131596 w 162928"/>
                  <a:gd name="connsiteY8" fmla="*/ 532648 h 532648"/>
                  <a:gd name="connsiteX9" fmla="*/ 131596 w 162928"/>
                  <a:gd name="connsiteY9" fmla="*/ 532648 h 532648"/>
                  <a:gd name="connsiteX0" fmla="*/ 0 w 162928"/>
                  <a:gd name="connsiteY0" fmla="*/ 0 h 532648"/>
                  <a:gd name="connsiteX1" fmla="*/ 62665 w 162928"/>
                  <a:gd name="connsiteY1" fmla="*/ 50131 h 532648"/>
                  <a:gd name="connsiteX2" fmla="*/ 119063 w 162928"/>
                  <a:gd name="connsiteY2" fmla="*/ 100263 h 532648"/>
                  <a:gd name="connsiteX3" fmla="*/ 131596 w 162928"/>
                  <a:gd name="connsiteY3" fmla="*/ 125329 h 532648"/>
                  <a:gd name="connsiteX4" fmla="*/ 156661 w 162928"/>
                  <a:gd name="connsiteY4" fmla="*/ 181727 h 532648"/>
                  <a:gd name="connsiteX5" fmla="*/ 162928 w 162928"/>
                  <a:gd name="connsiteY5" fmla="*/ 432385 h 532648"/>
                  <a:gd name="connsiteX6" fmla="*/ 156661 w 162928"/>
                  <a:gd name="connsiteY6" fmla="*/ 463717 h 532648"/>
                  <a:gd name="connsiteX7" fmla="*/ 162927 w 162928"/>
                  <a:gd name="connsiteY7" fmla="*/ 488783 h 532648"/>
                  <a:gd name="connsiteX8" fmla="*/ 131596 w 162928"/>
                  <a:gd name="connsiteY8" fmla="*/ 532648 h 532648"/>
                  <a:gd name="connsiteX9" fmla="*/ 131596 w 162928"/>
                  <a:gd name="connsiteY9" fmla="*/ 532648 h 532648"/>
                  <a:gd name="connsiteX0" fmla="*/ 0 w 162928"/>
                  <a:gd name="connsiteY0" fmla="*/ 0 h 532648"/>
                  <a:gd name="connsiteX1" fmla="*/ 67427 w 162928"/>
                  <a:gd name="connsiteY1" fmla="*/ 40552 h 532648"/>
                  <a:gd name="connsiteX2" fmla="*/ 119063 w 162928"/>
                  <a:gd name="connsiteY2" fmla="*/ 100263 h 532648"/>
                  <a:gd name="connsiteX3" fmla="*/ 131596 w 162928"/>
                  <a:gd name="connsiteY3" fmla="*/ 125329 h 532648"/>
                  <a:gd name="connsiteX4" fmla="*/ 156661 w 162928"/>
                  <a:gd name="connsiteY4" fmla="*/ 181727 h 532648"/>
                  <a:gd name="connsiteX5" fmla="*/ 162928 w 162928"/>
                  <a:gd name="connsiteY5" fmla="*/ 432385 h 532648"/>
                  <a:gd name="connsiteX6" fmla="*/ 156661 w 162928"/>
                  <a:gd name="connsiteY6" fmla="*/ 463717 h 532648"/>
                  <a:gd name="connsiteX7" fmla="*/ 162927 w 162928"/>
                  <a:gd name="connsiteY7" fmla="*/ 488783 h 532648"/>
                  <a:gd name="connsiteX8" fmla="*/ 131596 w 162928"/>
                  <a:gd name="connsiteY8" fmla="*/ 532648 h 532648"/>
                  <a:gd name="connsiteX9" fmla="*/ 131596 w 162928"/>
                  <a:gd name="connsiteY9" fmla="*/ 532648 h 532648"/>
                  <a:gd name="connsiteX0" fmla="*/ 0 w 162928"/>
                  <a:gd name="connsiteY0" fmla="*/ 0 h 532648"/>
                  <a:gd name="connsiteX1" fmla="*/ 67427 w 162928"/>
                  <a:gd name="connsiteY1" fmla="*/ 40552 h 532648"/>
                  <a:gd name="connsiteX2" fmla="*/ 109538 w 162928"/>
                  <a:gd name="connsiteY2" fmla="*/ 88290 h 532648"/>
                  <a:gd name="connsiteX3" fmla="*/ 131596 w 162928"/>
                  <a:gd name="connsiteY3" fmla="*/ 125329 h 532648"/>
                  <a:gd name="connsiteX4" fmla="*/ 156661 w 162928"/>
                  <a:gd name="connsiteY4" fmla="*/ 181727 h 532648"/>
                  <a:gd name="connsiteX5" fmla="*/ 162928 w 162928"/>
                  <a:gd name="connsiteY5" fmla="*/ 432385 h 532648"/>
                  <a:gd name="connsiteX6" fmla="*/ 156661 w 162928"/>
                  <a:gd name="connsiteY6" fmla="*/ 463717 h 532648"/>
                  <a:gd name="connsiteX7" fmla="*/ 162927 w 162928"/>
                  <a:gd name="connsiteY7" fmla="*/ 488783 h 532648"/>
                  <a:gd name="connsiteX8" fmla="*/ 131596 w 162928"/>
                  <a:gd name="connsiteY8" fmla="*/ 532648 h 532648"/>
                  <a:gd name="connsiteX9" fmla="*/ 131596 w 162928"/>
                  <a:gd name="connsiteY9" fmla="*/ 532648 h 532648"/>
                  <a:gd name="connsiteX0" fmla="*/ 0 w 162928"/>
                  <a:gd name="connsiteY0" fmla="*/ 0 h 532648"/>
                  <a:gd name="connsiteX1" fmla="*/ 67427 w 162928"/>
                  <a:gd name="connsiteY1" fmla="*/ 40552 h 532648"/>
                  <a:gd name="connsiteX2" fmla="*/ 109538 w 162928"/>
                  <a:gd name="connsiteY2" fmla="*/ 88290 h 532648"/>
                  <a:gd name="connsiteX3" fmla="*/ 141121 w 162928"/>
                  <a:gd name="connsiteY3" fmla="*/ 134908 h 532648"/>
                  <a:gd name="connsiteX4" fmla="*/ 156661 w 162928"/>
                  <a:gd name="connsiteY4" fmla="*/ 181727 h 532648"/>
                  <a:gd name="connsiteX5" fmla="*/ 162928 w 162928"/>
                  <a:gd name="connsiteY5" fmla="*/ 432385 h 532648"/>
                  <a:gd name="connsiteX6" fmla="*/ 156661 w 162928"/>
                  <a:gd name="connsiteY6" fmla="*/ 463717 h 532648"/>
                  <a:gd name="connsiteX7" fmla="*/ 162927 w 162928"/>
                  <a:gd name="connsiteY7" fmla="*/ 488783 h 532648"/>
                  <a:gd name="connsiteX8" fmla="*/ 131596 w 162928"/>
                  <a:gd name="connsiteY8" fmla="*/ 532648 h 532648"/>
                  <a:gd name="connsiteX9" fmla="*/ 131596 w 162928"/>
                  <a:gd name="connsiteY9" fmla="*/ 532648 h 532648"/>
                  <a:gd name="connsiteX0" fmla="*/ 0 w 166186"/>
                  <a:gd name="connsiteY0" fmla="*/ 0 h 532648"/>
                  <a:gd name="connsiteX1" fmla="*/ 67427 w 166186"/>
                  <a:gd name="connsiteY1" fmla="*/ 40552 h 532648"/>
                  <a:gd name="connsiteX2" fmla="*/ 109538 w 166186"/>
                  <a:gd name="connsiteY2" fmla="*/ 88290 h 532648"/>
                  <a:gd name="connsiteX3" fmla="*/ 141121 w 166186"/>
                  <a:gd name="connsiteY3" fmla="*/ 134908 h 532648"/>
                  <a:gd name="connsiteX4" fmla="*/ 156661 w 166186"/>
                  <a:gd name="connsiteY4" fmla="*/ 181727 h 532648"/>
                  <a:gd name="connsiteX5" fmla="*/ 162928 w 166186"/>
                  <a:gd name="connsiteY5" fmla="*/ 432385 h 532648"/>
                  <a:gd name="connsiteX6" fmla="*/ 166186 w 166186"/>
                  <a:gd name="connsiteY6" fmla="*/ 470901 h 532648"/>
                  <a:gd name="connsiteX7" fmla="*/ 162927 w 166186"/>
                  <a:gd name="connsiteY7" fmla="*/ 488783 h 532648"/>
                  <a:gd name="connsiteX8" fmla="*/ 131596 w 166186"/>
                  <a:gd name="connsiteY8" fmla="*/ 532648 h 532648"/>
                  <a:gd name="connsiteX9" fmla="*/ 131596 w 166186"/>
                  <a:gd name="connsiteY9" fmla="*/ 532648 h 532648"/>
                  <a:gd name="connsiteX0" fmla="*/ 0 w 166186"/>
                  <a:gd name="connsiteY0" fmla="*/ 0 h 532648"/>
                  <a:gd name="connsiteX1" fmla="*/ 67427 w 166186"/>
                  <a:gd name="connsiteY1" fmla="*/ 40552 h 532648"/>
                  <a:gd name="connsiteX2" fmla="*/ 109538 w 166186"/>
                  <a:gd name="connsiteY2" fmla="*/ 88290 h 532648"/>
                  <a:gd name="connsiteX3" fmla="*/ 141121 w 166186"/>
                  <a:gd name="connsiteY3" fmla="*/ 134908 h 532648"/>
                  <a:gd name="connsiteX4" fmla="*/ 156661 w 166186"/>
                  <a:gd name="connsiteY4" fmla="*/ 181727 h 532648"/>
                  <a:gd name="connsiteX5" fmla="*/ 162928 w 166186"/>
                  <a:gd name="connsiteY5" fmla="*/ 432385 h 532648"/>
                  <a:gd name="connsiteX6" fmla="*/ 166186 w 166186"/>
                  <a:gd name="connsiteY6" fmla="*/ 470901 h 532648"/>
                  <a:gd name="connsiteX7" fmla="*/ 160546 w 166186"/>
                  <a:gd name="connsiteY7" fmla="*/ 503152 h 532648"/>
                  <a:gd name="connsiteX8" fmla="*/ 131596 w 166186"/>
                  <a:gd name="connsiteY8" fmla="*/ 532648 h 532648"/>
                  <a:gd name="connsiteX9" fmla="*/ 131596 w 166186"/>
                  <a:gd name="connsiteY9" fmla="*/ 532648 h 532648"/>
                  <a:gd name="connsiteX0" fmla="*/ 0 w 166186"/>
                  <a:gd name="connsiteY0" fmla="*/ 0 h 533889"/>
                  <a:gd name="connsiteX1" fmla="*/ 67427 w 166186"/>
                  <a:gd name="connsiteY1" fmla="*/ 40552 h 533889"/>
                  <a:gd name="connsiteX2" fmla="*/ 109538 w 166186"/>
                  <a:gd name="connsiteY2" fmla="*/ 88290 h 533889"/>
                  <a:gd name="connsiteX3" fmla="*/ 141121 w 166186"/>
                  <a:gd name="connsiteY3" fmla="*/ 134908 h 533889"/>
                  <a:gd name="connsiteX4" fmla="*/ 156661 w 166186"/>
                  <a:gd name="connsiteY4" fmla="*/ 181727 h 533889"/>
                  <a:gd name="connsiteX5" fmla="*/ 162928 w 166186"/>
                  <a:gd name="connsiteY5" fmla="*/ 432385 h 533889"/>
                  <a:gd name="connsiteX6" fmla="*/ 166186 w 166186"/>
                  <a:gd name="connsiteY6" fmla="*/ 470901 h 533889"/>
                  <a:gd name="connsiteX7" fmla="*/ 160546 w 166186"/>
                  <a:gd name="connsiteY7" fmla="*/ 503152 h 533889"/>
                  <a:gd name="connsiteX8" fmla="*/ 131596 w 166186"/>
                  <a:gd name="connsiteY8" fmla="*/ 532648 h 533889"/>
                  <a:gd name="connsiteX9" fmla="*/ 122071 w 166186"/>
                  <a:gd name="connsiteY9" fmla="*/ 527858 h 533889"/>
                  <a:gd name="connsiteX0" fmla="*/ 0 w 166186"/>
                  <a:gd name="connsiteY0" fmla="*/ 0 h 533577"/>
                  <a:gd name="connsiteX1" fmla="*/ 67427 w 166186"/>
                  <a:gd name="connsiteY1" fmla="*/ 40552 h 533577"/>
                  <a:gd name="connsiteX2" fmla="*/ 109538 w 166186"/>
                  <a:gd name="connsiteY2" fmla="*/ 88290 h 533577"/>
                  <a:gd name="connsiteX3" fmla="*/ 141121 w 166186"/>
                  <a:gd name="connsiteY3" fmla="*/ 134908 h 533577"/>
                  <a:gd name="connsiteX4" fmla="*/ 156661 w 166186"/>
                  <a:gd name="connsiteY4" fmla="*/ 181727 h 533577"/>
                  <a:gd name="connsiteX5" fmla="*/ 162928 w 166186"/>
                  <a:gd name="connsiteY5" fmla="*/ 432385 h 533577"/>
                  <a:gd name="connsiteX6" fmla="*/ 166186 w 166186"/>
                  <a:gd name="connsiteY6" fmla="*/ 470901 h 533577"/>
                  <a:gd name="connsiteX7" fmla="*/ 153402 w 166186"/>
                  <a:gd name="connsiteY7" fmla="*/ 507942 h 533577"/>
                  <a:gd name="connsiteX8" fmla="*/ 131596 w 166186"/>
                  <a:gd name="connsiteY8" fmla="*/ 532648 h 533577"/>
                  <a:gd name="connsiteX9" fmla="*/ 122071 w 166186"/>
                  <a:gd name="connsiteY9" fmla="*/ 527858 h 533577"/>
                  <a:gd name="connsiteX0" fmla="*/ 0 w 166186"/>
                  <a:gd name="connsiteY0" fmla="*/ 0 h 533577"/>
                  <a:gd name="connsiteX1" fmla="*/ 67427 w 166186"/>
                  <a:gd name="connsiteY1" fmla="*/ 40552 h 533577"/>
                  <a:gd name="connsiteX2" fmla="*/ 109538 w 166186"/>
                  <a:gd name="connsiteY2" fmla="*/ 88290 h 533577"/>
                  <a:gd name="connsiteX3" fmla="*/ 141121 w 166186"/>
                  <a:gd name="connsiteY3" fmla="*/ 134908 h 533577"/>
                  <a:gd name="connsiteX4" fmla="*/ 156661 w 166186"/>
                  <a:gd name="connsiteY4" fmla="*/ 181727 h 533577"/>
                  <a:gd name="connsiteX5" fmla="*/ 162928 w 166186"/>
                  <a:gd name="connsiteY5" fmla="*/ 401675 h 533577"/>
                  <a:gd name="connsiteX6" fmla="*/ 166186 w 166186"/>
                  <a:gd name="connsiteY6" fmla="*/ 470901 h 533577"/>
                  <a:gd name="connsiteX7" fmla="*/ 153402 w 166186"/>
                  <a:gd name="connsiteY7" fmla="*/ 507942 h 533577"/>
                  <a:gd name="connsiteX8" fmla="*/ 131596 w 166186"/>
                  <a:gd name="connsiteY8" fmla="*/ 532648 h 533577"/>
                  <a:gd name="connsiteX9" fmla="*/ 122071 w 166186"/>
                  <a:gd name="connsiteY9" fmla="*/ 527858 h 533577"/>
                  <a:gd name="connsiteX0" fmla="*/ 0 w 168022"/>
                  <a:gd name="connsiteY0" fmla="*/ 0 h 533577"/>
                  <a:gd name="connsiteX1" fmla="*/ 67427 w 168022"/>
                  <a:gd name="connsiteY1" fmla="*/ 40552 h 533577"/>
                  <a:gd name="connsiteX2" fmla="*/ 109538 w 168022"/>
                  <a:gd name="connsiteY2" fmla="*/ 88290 h 533577"/>
                  <a:gd name="connsiteX3" fmla="*/ 141121 w 168022"/>
                  <a:gd name="connsiteY3" fmla="*/ 134908 h 533577"/>
                  <a:gd name="connsiteX4" fmla="*/ 156661 w 168022"/>
                  <a:gd name="connsiteY4" fmla="*/ 181727 h 533577"/>
                  <a:gd name="connsiteX5" fmla="*/ 168022 w 168022"/>
                  <a:gd name="connsiteY5" fmla="*/ 386252 h 533577"/>
                  <a:gd name="connsiteX6" fmla="*/ 166186 w 168022"/>
                  <a:gd name="connsiteY6" fmla="*/ 470901 h 533577"/>
                  <a:gd name="connsiteX7" fmla="*/ 153402 w 168022"/>
                  <a:gd name="connsiteY7" fmla="*/ 507942 h 533577"/>
                  <a:gd name="connsiteX8" fmla="*/ 131596 w 168022"/>
                  <a:gd name="connsiteY8" fmla="*/ 532648 h 533577"/>
                  <a:gd name="connsiteX9" fmla="*/ 122071 w 168022"/>
                  <a:gd name="connsiteY9" fmla="*/ 527858 h 533577"/>
                  <a:gd name="connsiteX0" fmla="*/ 0 w 168022"/>
                  <a:gd name="connsiteY0" fmla="*/ 0 h 533577"/>
                  <a:gd name="connsiteX1" fmla="*/ 67427 w 168022"/>
                  <a:gd name="connsiteY1" fmla="*/ 40552 h 533577"/>
                  <a:gd name="connsiteX2" fmla="*/ 109538 w 168022"/>
                  <a:gd name="connsiteY2" fmla="*/ 88290 h 533577"/>
                  <a:gd name="connsiteX3" fmla="*/ 141121 w 168022"/>
                  <a:gd name="connsiteY3" fmla="*/ 134908 h 533577"/>
                  <a:gd name="connsiteX4" fmla="*/ 156661 w 168022"/>
                  <a:gd name="connsiteY4" fmla="*/ 181727 h 533577"/>
                  <a:gd name="connsiteX5" fmla="*/ 168022 w 168022"/>
                  <a:gd name="connsiteY5" fmla="*/ 386252 h 533577"/>
                  <a:gd name="connsiteX6" fmla="*/ 166186 w 168022"/>
                  <a:gd name="connsiteY6" fmla="*/ 445269 h 533577"/>
                  <a:gd name="connsiteX7" fmla="*/ 153402 w 168022"/>
                  <a:gd name="connsiteY7" fmla="*/ 507942 h 533577"/>
                  <a:gd name="connsiteX8" fmla="*/ 131596 w 168022"/>
                  <a:gd name="connsiteY8" fmla="*/ 532648 h 533577"/>
                  <a:gd name="connsiteX9" fmla="*/ 122071 w 168022"/>
                  <a:gd name="connsiteY9" fmla="*/ 527858 h 533577"/>
                  <a:gd name="connsiteX0" fmla="*/ 0 w 166186"/>
                  <a:gd name="connsiteY0" fmla="*/ 0 h 533577"/>
                  <a:gd name="connsiteX1" fmla="*/ 67427 w 166186"/>
                  <a:gd name="connsiteY1" fmla="*/ 40552 h 533577"/>
                  <a:gd name="connsiteX2" fmla="*/ 109538 w 166186"/>
                  <a:gd name="connsiteY2" fmla="*/ 88290 h 533577"/>
                  <a:gd name="connsiteX3" fmla="*/ 141121 w 166186"/>
                  <a:gd name="connsiteY3" fmla="*/ 134908 h 533577"/>
                  <a:gd name="connsiteX4" fmla="*/ 156661 w 166186"/>
                  <a:gd name="connsiteY4" fmla="*/ 181727 h 533577"/>
                  <a:gd name="connsiteX5" fmla="*/ 152741 w 166186"/>
                  <a:gd name="connsiteY5" fmla="*/ 391202 h 533577"/>
                  <a:gd name="connsiteX6" fmla="*/ 166186 w 166186"/>
                  <a:gd name="connsiteY6" fmla="*/ 445269 h 533577"/>
                  <a:gd name="connsiteX7" fmla="*/ 153402 w 166186"/>
                  <a:gd name="connsiteY7" fmla="*/ 507942 h 533577"/>
                  <a:gd name="connsiteX8" fmla="*/ 131596 w 166186"/>
                  <a:gd name="connsiteY8" fmla="*/ 532648 h 533577"/>
                  <a:gd name="connsiteX9" fmla="*/ 122071 w 166186"/>
                  <a:gd name="connsiteY9" fmla="*/ 527858 h 533577"/>
                  <a:gd name="connsiteX0" fmla="*/ 0 w 166186"/>
                  <a:gd name="connsiteY0" fmla="*/ 0 h 533577"/>
                  <a:gd name="connsiteX1" fmla="*/ 67427 w 166186"/>
                  <a:gd name="connsiteY1" fmla="*/ 40552 h 533577"/>
                  <a:gd name="connsiteX2" fmla="*/ 109538 w 166186"/>
                  <a:gd name="connsiteY2" fmla="*/ 88290 h 533577"/>
                  <a:gd name="connsiteX3" fmla="*/ 141121 w 166186"/>
                  <a:gd name="connsiteY3" fmla="*/ 134908 h 533577"/>
                  <a:gd name="connsiteX4" fmla="*/ 156661 w 166186"/>
                  <a:gd name="connsiteY4" fmla="*/ 181727 h 533577"/>
                  <a:gd name="connsiteX5" fmla="*/ 161052 w 166186"/>
                  <a:gd name="connsiteY5" fmla="*/ 351362 h 533577"/>
                  <a:gd name="connsiteX6" fmla="*/ 152741 w 166186"/>
                  <a:gd name="connsiteY6" fmla="*/ 391202 h 533577"/>
                  <a:gd name="connsiteX7" fmla="*/ 166186 w 166186"/>
                  <a:gd name="connsiteY7" fmla="*/ 445269 h 533577"/>
                  <a:gd name="connsiteX8" fmla="*/ 153402 w 166186"/>
                  <a:gd name="connsiteY8" fmla="*/ 507942 h 533577"/>
                  <a:gd name="connsiteX9" fmla="*/ 131596 w 166186"/>
                  <a:gd name="connsiteY9" fmla="*/ 532648 h 533577"/>
                  <a:gd name="connsiteX10" fmla="*/ 122071 w 166186"/>
                  <a:gd name="connsiteY10" fmla="*/ 527858 h 533577"/>
                  <a:gd name="connsiteX0" fmla="*/ 0 w 166186"/>
                  <a:gd name="connsiteY0" fmla="*/ 0 h 533589"/>
                  <a:gd name="connsiteX1" fmla="*/ 67427 w 166186"/>
                  <a:gd name="connsiteY1" fmla="*/ 40552 h 533589"/>
                  <a:gd name="connsiteX2" fmla="*/ 109538 w 166186"/>
                  <a:gd name="connsiteY2" fmla="*/ 88290 h 533589"/>
                  <a:gd name="connsiteX3" fmla="*/ 141121 w 166186"/>
                  <a:gd name="connsiteY3" fmla="*/ 134908 h 533589"/>
                  <a:gd name="connsiteX4" fmla="*/ 156661 w 166186"/>
                  <a:gd name="connsiteY4" fmla="*/ 181727 h 533589"/>
                  <a:gd name="connsiteX5" fmla="*/ 161052 w 166186"/>
                  <a:gd name="connsiteY5" fmla="*/ 351362 h 533589"/>
                  <a:gd name="connsiteX6" fmla="*/ 152741 w 166186"/>
                  <a:gd name="connsiteY6" fmla="*/ 391202 h 533589"/>
                  <a:gd name="connsiteX7" fmla="*/ 166186 w 166186"/>
                  <a:gd name="connsiteY7" fmla="*/ 445269 h 533589"/>
                  <a:gd name="connsiteX8" fmla="*/ 138121 w 166186"/>
                  <a:gd name="connsiteY8" fmla="*/ 507755 h 533589"/>
                  <a:gd name="connsiteX9" fmla="*/ 131596 w 166186"/>
                  <a:gd name="connsiteY9" fmla="*/ 532648 h 533589"/>
                  <a:gd name="connsiteX10" fmla="*/ 122071 w 166186"/>
                  <a:gd name="connsiteY10" fmla="*/ 527858 h 533589"/>
                  <a:gd name="connsiteX0" fmla="*/ 0 w 166186"/>
                  <a:gd name="connsiteY0" fmla="*/ 0 h 538415"/>
                  <a:gd name="connsiteX1" fmla="*/ 67427 w 166186"/>
                  <a:gd name="connsiteY1" fmla="*/ 40552 h 538415"/>
                  <a:gd name="connsiteX2" fmla="*/ 109538 w 166186"/>
                  <a:gd name="connsiteY2" fmla="*/ 88290 h 538415"/>
                  <a:gd name="connsiteX3" fmla="*/ 141121 w 166186"/>
                  <a:gd name="connsiteY3" fmla="*/ 134908 h 538415"/>
                  <a:gd name="connsiteX4" fmla="*/ 156661 w 166186"/>
                  <a:gd name="connsiteY4" fmla="*/ 181727 h 538415"/>
                  <a:gd name="connsiteX5" fmla="*/ 161052 w 166186"/>
                  <a:gd name="connsiteY5" fmla="*/ 351362 h 538415"/>
                  <a:gd name="connsiteX6" fmla="*/ 152741 w 166186"/>
                  <a:gd name="connsiteY6" fmla="*/ 391202 h 538415"/>
                  <a:gd name="connsiteX7" fmla="*/ 166186 w 166186"/>
                  <a:gd name="connsiteY7" fmla="*/ 445269 h 538415"/>
                  <a:gd name="connsiteX8" fmla="*/ 138121 w 166186"/>
                  <a:gd name="connsiteY8" fmla="*/ 507755 h 538415"/>
                  <a:gd name="connsiteX9" fmla="*/ 131596 w 166186"/>
                  <a:gd name="connsiteY9" fmla="*/ 532648 h 538415"/>
                  <a:gd name="connsiteX10" fmla="*/ 91510 w 166186"/>
                  <a:gd name="connsiteY10" fmla="*/ 537847 h 538415"/>
                  <a:gd name="connsiteX0" fmla="*/ 0 w 161133"/>
                  <a:gd name="connsiteY0" fmla="*/ 0 h 538415"/>
                  <a:gd name="connsiteX1" fmla="*/ 67427 w 161133"/>
                  <a:gd name="connsiteY1" fmla="*/ 40552 h 538415"/>
                  <a:gd name="connsiteX2" fmla="*/ 109538 w 161133"/>
                  <a:gd name="connsiteY2" fmla="*/ 88290 h 538415"/>
                  <a:gd name="connsiteX3" fmla="*/ 141121 w 161133"/>
                  <a:gd name="connsiteY3" fmla="*/ 134908 h 538415"/>
                  <a:gd name="connsiteX4" fmla="*/ 156661 w 161133"/>
                  <a:gd name="connsiteY4" fmla="*/ 181727 h 538415"/>
                  <a:gd name="connsiteX5" fmla="*/ 161052 w 161133"/>
                  <a:gd name="connsiteY5" fmla="*/ 351362 h 538415"/>
                  <a:gd name="connsiteX6" fmla="*/ 152741 w 161133"/>
                  <a:gd name="connsiteY6" fmla="*/ 391202 h 538415"/>
                  <a:gd name="connsiteX7" fmla="*/ 145812 w 161133"/>
                  <a:gd name="connsiteY7" fmla="*/ 445105 h 538415"/>
                  <a:gd name="connsiteX8" fmla="*/ 138121 w 161133"/>
                  <a:gd name="connsiteY8" fmla="*/ 507755 h 538415"/>
                  <a:gd name="connsiteX9" fmla="*/ 131596 w 161133"/>
                  <a:gd name="connsiteY9" fmla="*/ 532648 h 538415"/>
                  <a:gd name="connsiteX10" fmla="*/ 91510 w 161133"/>
                  <a:gd name="connsiteY10" fmla="*/ 537847 h 538415"/>
                  <a:gd name="connsiteX0" fmla="*/ 0 w 161133"/>
                  <a:gd name="connsiteY0" fmla="*/ 0 h 538415"/>
                  <a:gd name="connsiteX1" fmla="*/ 67427 w 161133"/>
                  <a:gd name="connsiteY1" fmla="*/ 40552 h 538415"/>
                  <a:gd name="connsiteX2" fmla="*/ 109538 w 161133"/>
                  <a:gd name="connsiteY2" fmla="*/ 88290 h 538415"/>
                  <a:gd name="connsiteX3" fmla="*/ 141121 w 161133"/>
                  <a:gd name="connsiteY3" fmla="*/ 134908 h 538415"/>
                  <a:gd name="connsiteX4" fmla="*/ 156661 w 161133"/>
                  <a:gd name="connsiteY4" fmla="*/ 181727 h 538415"/>
                  <a:gd name="connsiteX5" fmla="*/ 161052 w 161133"/>
                  <a:gd name="connsiteY5" fmla="*/ 351362 h 538415"/>
                  <a:gd name="connsiteX6" fmla="*/ 152741 w 161133"/>
                  <a:gd name="connsiteY6" fmla="*/ 391202 h 538415"/>
                  <a:gd name="connsiteX7" fmla="*/ 161092 w 161133"/>
                  <a:gd name="connsiteY7" fmla="*/ 465308 h 538415"/>
                  <a:gd name="connsiteX8" fmla="*/ 138121 w 161133"/>
                  <a:gd name="connsiteY8" fmla="*/ 507755 h 538415"/>
                  <a:gd name="connsiteX9" fmla="*/ 131596 w 161133"/>
                  <a:gd name="connsiteY9" fmla="*/ 532648 h 538415"/>
                  <a:gd name="connsiteX10" fmla="*/ 91510 w 161133"/>
                  <a:gd name="connsiteY10" fmla="*/ 537847 h 538415"/>
                  <a:gd name="connsiteX0" fmla="*/ 0 w 166186"/>
                  <a:gd name="connsiteY0" fmla="*/ 0 h 538415"/>
                  <a:gd name="connsiteX1" fmla="*/ 67427 w 166186"/>
                  <a:gd name="connsiteY1" fmla="*/ 40552 h 538415"/>
                  <a:gd name="connsiteX2" fmla="*/ 109538 w 166186"/>
                  <a:gd name="connsiteY2" fmla="*/ 88290 h 538415"/>
                  <a:gd name="connsiteX3" fmla="*/ 141121 w 166186"/>
                  <a:gd name="connsiteY3" fmla="*/ 134908 h 538415"/>
                  <a:gd name="connsiteX4" fmla="*/ 156661 w 166186"/>
                  <a:gd name="connsiteY4" fmla="*/ 181727 h 538415"/>
                  <a:gd name="connsiteX5" fmla="*/ 161052 w 166186"/>
                  <a:gd name="connsiteY5" fmla="*/ 351362 h 538415"/>
                  <a:gd name="connsiteX6" fmla="*/ 152741 w 166186"/>
                  <a:gd name="connsiteY6" fmla="*/ 391202 h 538415"/>
                  <a:gd name="connsiteX7" fmla="*/ 166186 w 166186"/>
                  <a:gd name="connsiteY7" fmla="*/ 434586 h 538415"/>
                  <a:gd name="connsiteX8" fmla="*/ 138121 w 166186"/>
                  <a:gd name="connsiteY8" fmla="*/ 507755 h 538415"/>
                  <a:gd name="connsiteX9" fmla="*/ 131596 w 166186"/>
                  <a:gd name="connsiteY9" fmla="*/ 532648 h 538415"/>
                  <a:gd name="connsiteX10" fmla="*/ 91510 w 166186"/>
                  <a:gd name="connsiteY10" fmla="*/ 537847 h 538415"/>
                  <a:gd name="connsiteX0" fmla="*/ 0 w 168021"/>
                  <a:gd name="connsiteY0" fmla="*/ 0 h 538415"/>
                  <a:gd name="connsiteX1" fmla="*/ 67427 w 168021"/>
                  <a:gd name="connsiteY1" fmla="*/ 40552 h 538415"/>
                  <a:gd name="connsiteX2" fmla="*/ 109538 w 168021"/>
                  <a:gd name="connsiteY2" fmla="*/ 88290 h 538415"/>
                  <a:gd name="connsiteX3" fmla="*/ 141121 w 168021"/>
                  <a:gd name="connsiteY3" fmla="*/ 134908 h 538415"/>
                  <a:gd name="connsiteX4" fmla="*/ 156661 w 168021"/>
                  <a:gd name="connsiteY4" fmla="*/ 181727 h 538415"/>
                  <a:gd name="connsiteX5" fmla="*/ 161052 w 168021"/>
                  <a:gd name="connsiteY5" fmla="*/ 351362 h 538415"/>
                  <a:gd name="connsiteX6" fmla="*/ 168021 w 168021"/>
                  <a:gd name="connsiteY6" fmla="*/ 391058 h 538415"/>
                  <a:gd name="connsiteX7" fmla="*/ 166186 w 168021"/>
                  <a:gd name="connsiteY7" fmla="*/ 434586 h 538415"/>
                  <a:gd name="connsiteX8" fmla="*/ 138121 w 168021"/>
                  <a:gd name="connsiteY8" fmla="*/ 507755 h 538415"/>
                  <a:gd name="connsiteX9" fmla="*/ 131596 w 168021"/>
                  <a:gd name="connsiteY9" fmla="*/ 532648 h 538415"/>
                  <a:gd name="connsiteX10" fmla="*/ 91510 w 168021"/>
                  <a:gd name="connsiteY10" fmla="*/ 537847 h 538415"/>
                  <a:gd name="connsiteX0" fmla="*/ 0 w 168021"/>
                  <a:gd name="connsiteY0" fmla="*/ 0 h 537990"/>
                  <a:gd name="connsiteX1" fmla="*/ 67427 w 168021"/>
                  <a:gd name="connsiteY1" fmla="*/ 40552 h 537990"/>
                  <a:gd name="connsiteX2" fmla="*/ 109538 w 168021"/>
                  <a:gd name="connsiteY2" fmla="*/ 88290 h 537990"/>
                  <a:gd name="connsiteX3" fmla="*/ 141121 w 168021"/>
                  <a:gd name="connsiteY3" fmla="*/ 134908 h 537990"/>
                  <a:gd name="connsiteX4" fmla="*/ 156661 w 168021"/>
                  <a:gd name="connsiteY4" fmla="*/ 181727 h 537990"/>
                  <a:gd name="connsiteX5" fmla="*/ 161052 w 168021"/>
                  <a:gd name="connsiteY5" fmla="*/ 351362 h 537990"/>
                  <a:gd name="connsiteX6" fmla="*/ 168021 w 168021"/>
                  <a:gd name="connsiteY6" fmla="*/ 391058 h 537990"/>
                  <a:gd name="connsiteX7" fmla="*/ 166186 w 168021"/>
                  <a:gd name="connsiteY7" fmla="*/ 434586 h 537990"/>
                  <a:gd name="connsiteX8" fmla="*/ 138121 w 168021"/>
                  <a:gd name="connsiteY8" fmla="*/ 507755 h 537990"/>
                  <a:gd name="connsiteX9" fmla="*/ 111222 w 168021"/>
                  <a:gd name="connsiteY9" fmla="*/ 522269 h 537990"/>
                  <a:gd name="connsiteX10" fmla="*/ 91510 w 168021"/>
                  <a:gd name="connsiteY10" fmla="*/ 537847 h 537990"/>
                  <a:gd name="connsiteX0" fmla="*/ 0 w 166204"/>
                  <a:gd name="connsiteY0" fmla="*/ 0 h 537990"/>
                  <a:gd name="connsiteX1" fmla="*/ 67427 w 166204"/>
                  <a:gd name="connsiteY1" fmla="*/ 40552 h 537990"/>
                  <a:gd name="connsiteX2" fmla="*/ 109538 w 166204"/>
                  <a:gd name="connsiteY2" fmla="*/ 88290 h 537990"/>
                  <a:gd name="connsiteX3" fmla="*/ 141121 w 166204"/>
                  <a:gd name="connsiteY3" fmla="*/ 134908 h 537990"/>
                  <a:gd name="connsiteX4" fmla="*/ 156661 w 166204"/>
                  <a:gd name="connsiteY4" fmla="*/ 181727 h 537990"/>
                  <a:gd name="connsiteX5" fmla="*/ 161052 w 166204"/>
                  <a:gd name="connsiteY5" fmla="*/ 351362 h 537990"/>
                  <a:gd name="connsiteX6" fmla="*/ 152740 w 166204"/>
                  <a:gd name="connsiteY6" fmla="*/ 390914 h 537990"/>
                  <a:gd name="connsiteX7" fmla="*/ 166186 w 166204"/>
                  <a:gd name="connsiteY7" fmla="*/ 434586 h 537990"/>
                  <a:gd name="connsiteX8" fmla="*/ 138121 w 166204"/>
                  <a:gd name="connsiteY8" fmla="*/ 507755 h 537990"/>
                  <a:gd name="connsiteX9" fmla="*/ 111222 w 166204"/>
                  <a:gd name="connsiteY9" fmla="*/ 522269 h 537990"/>
                  <a:gd name="connsiteX10" fmla="*/ 91510 w 166204"/>
                  <a:gd name="connsiteY10" fmla="*/ 537847 h 537990"/>
                  <a:gd name="connsiteX0" fmla="*/ 0 w 161133"/>
                  <a:gd name="connsiteY0" fmla="*/ 0 h 537990"/>
                  <a:gd name="connsiteX1" fmla="*/ 67427 w 161133"/>
                  <a:gd name="connsiteY1" fmla="*/ 40552 h 537990"/>
                  <a:gd name="connsiteX2" fmla="*/ 109538 w 161133"/>
                  <a:gd name="connsiteY2" fmla="*/ 88290 h 537990"/>
                  <a:gd name="connsiteX3" fmla="*/ 141121 w 161133"/>
                  <a:gd name="connsiteY3" fmla="*/ 134908 h 537990"/>
                  <a:gd name="connsiteX4" fmla="*/ 156661 w 161133"/>
                  <a:gd name="connsiteY4" fmla="*/ 181727 h 537990"/>
                  <a:gd name="connsiteX5" fmla="*/ 161052 w 161133"/>
                  <a:gd name="connsiteY5" fmla="*/ 351362 h 537990"/>
                  <a:gd name="connsiteX6" fmla="*/ 152740 w 161133"/>
                  <a:gd name="connsiteY6" fmla="*/ 390914 h 537990"/>
                  <a:gd name="connsiteX7" fmla="*/ 161092 w 161133"/>
                  <a:gd name="connsiteY7" fmla="*/ 449701 h 537990"/>
                  <a:gd name="connsiteX8" fmla="*/ 138121 w 161133"/>
                  <a:gd name="connsiteY8" fmla="*/ 507755 h 537990"/>
                  <a:gd name="connsiteX9" fmla="*/ 111222 w 161133"/>
                  <a:gd name="connsiteY9" fmla="*/ 522269 h 537990"/>
                  <a:gd name="connsiteX10" fmla="*/ 91510 w 161133"/>
                  <a:gd name="connsiteY10" fmla="*/ 537847 h 537990"/>
                  <a:gd name="connsiteX0" fmla="*/ 0 w 168021"/>
                  <a:gd name="connsiteY0" fmla="*/ 0 h 537990"/>
                  <a:gd name="connsiteX1" fmla="*/ 67427 w 168021"/>
                  <a:gd name="connsiteY1" fmla="*/ 40552 h 537990"/>
                  <a:gd name="connsiteX2" fmla="*/ 109538 w 168021"/>
                  <a:gd name="connsiteY2" fmla="*/ 88290 h 537990"/>
                  <a:gd name="connsiteX3" fmla="*/ 141121 w 168021"/>
                  <a:gd name="connsiteY3" fmla="*/ 134908 h 537990"/>
                  <a:gd name="connsiteX4" fmla="*/ 156661 w 168021"/>
                  <a:gd name="connsiteY4" fmla="*/ 181727 h 537990"/>
                  <a:gd name="connsiteX5" fmla="*/ 161052 w 168021"/>
                  <a:gd name="connsiteY5" fmla="*/ 351362 h 537990"/>
                  <a:gd name="connsiteX6" fmla="*/ 168021 w 168021"/>
                  <a:gd name="connsiteY6" fmla="*/ 400953 h 537990"/>
                  <a:gd name="connsiteX7" fmla="*/ 161092 w 168021"/>
                  <a:gd name="connsiteY7" fmla="*/ 449701 h 537990"/>
                  <a:gd name="connsiteX8" fmla="*/ 138121 w 168021"/>
                  <a:gd name="connsiteY8" fmla="*/ 507755 h 537990"/>
                  <a:gd name="connsiteX9" fmla="*/ 111222 w 168021"/>
                  <a:gd name="connsiteY9" fmla="*/ 522269 h 537990"/>
                  <a:gd name="connsiteX10" fmla="*/ 91510 w 168021"/>
                  <a:gd name="connsiteY10" fmla="*/ 537847 h 537990"/>
                  <a:gd name="connsiteX0" fmla="*/ 0 w 168021"/>
                  <a:gd name="connsiteY0" fmla="*/ 0 h 537990"/>
                  <a:gd name="connsiteX1" fmla="*/ 67427 w 168021"/>
                  <a:gd name="connsiteY1" fmla="*/ 40552 h 537990"/>
                  <a:gd name="connsiteX2" fmla="*/ 109538 w 168021"/>
                  <a:gd name="connsiteY2" fmla="*/ 88290 h 537990"/>
                  <a:gd name="connsiteX3" fmla="*/ 141121 w 168021"/>
                  <a:gd name="connsiteY3" fmla="*/ 134908 h 537990"/>
                  <a:gd name="connsiteX4" fmla="*/ 156661 w 168021"/>
                  <a:gd name="connsiteY4" fmla="*/ 181727 h 537990"/>
                  <a:gd name="connsiteX5" fmla="*/ 161052 w 168021"/>
                  <a:gd name="connsiteY5" fmla="*/ 351362 h 537990"/>
                  <a:gd name="connsiteX6" fmla="*/ 168021 w 168021"/>
                  <a:gd name="connsiteY6" fmla="*/ 400953 h 537990"/>
                  <a:gd name="connsiteX7" fmla="*/ 161092 w 168021"/>
                  <a:gd name="connsiteY7" fmla="*/ 454627 h 537990"/>
                  <a:gd name="connsiteX8" fmla="*/ 138121 w 168021"/>
                  <a:gd name="connsiteY8" fmla="*/ 507755 h 537990"/>
                  <a:gd name="connsiteX9" fmla="*/ 111222 w 168021"/>
                  <a:gd name="connsiteY9" fmla="*/ 522269 h 537990"/>
                  <a:gd name="connsiteX10" fmla="*/ 91510 w 168021"/>
                  <a:gd name="connsiteY10" fmla="*/ 537847 h 537990"/>
                  <a:gd name="connsiteX0" fmla="*/ 0 w 161149"/>
                  <a:gd name="connsiteY0" fmla="*/ 0 h 537990"/>
                  <a:gd name="connsiteX1" fmla="*/ 67427 w 161149"/>
                  <a:gd name="connsiteY1" fmla="*/ 40552 h 537990"/>
                  <a:gd name="connsiteX2" fmla="*/ 109538 w 161149"/>
                  <a:gd name="connsiteY2" fmla="*/ 88290 h 537990"/>
                  <a:gd name="connsiteX3" fmla="*/ 141121 w 161149"/>
                  <a:gd name="connsiteY3" fmla="*/ 134908 h 537990"/>
                  <a:gd name="connsiteX4" fmla="*/ 156661 w 161149"/>
                  <a:gd name="connsiteY4" fmla="*/ 181727 h 537990"/>
                  <a:gd name="connsiteX5" fmla="*/ 161052 w 161149"/>
                  <a:gd name="connsiteY5" fmla="*/ 351362 h 537990"/>
                  <a:gd name="connsiteX6" fmla="*/ 157834 w 161149"/>
                  <a:gd name="connsiteY6" fmla="*/ 405897 h 537990"/>
                  <a:gd name="connsiteX7" fmla="*/ 161092 w 161149"/>
                  <a:gd name="connsiteY7" fmla="*/ 454627 h 537990"/>
                  <a:gd name="connsiteX8" fmla="*/ 138121 w 161149"/>
                  <a:gd name="connsiteY8" fmla="*/ 507755 h 537990"/>
                  <a:gd name="connsiteX9" fmla="*/ 111222 w 161149"/>
                  <a:gd name="connsiteY9" fmla="*/ 522269 h 537990"/>
                  <a:gd name="connsiteX10" fmla="*/ 91510 w 161149"/>
                  <a:gd name="connsiteY10" fmla="*/ 537847 h 53799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161149" h="537990">
                    <a:moveTo>
                      <a:pt x="0" y="0"/>
                    </a:moveTo>
                    <a:lnTo>
                      <a:pt x="67427" y="40552"/>
                    </a:lnTo>
                    <a:lnTo>
                      <a:pt x="109538" y="88290"/>
                    </a:lnTo>
                    <a:lnTo>
                      <a:pt x="141121" y="134908"/>
                    </a:lnTo>
                    <a:lnTo>
                      <a:pt x="156661" y="181727"/>
                    </a:lnTo>
                    <a:cubicBezTo>
                      <a:pt x="158285" y="217803"/>
                      <a:pt x="161705" y="316450"/>
                      <a:pt x="161052" y="351362"/>
                    </a:cubicBezTo>
                    <a:cubicBezTo>
                      <a:pt x="160399" y="386274"/>
                      <a:pt x="155281" y="390246"/>
                      <a:pt x="157834" y="405897"/>
                    </a:cubicBezTo>
                    <a:cubicBezTo>
                      <a:pt x="157222" y="420406"/>
                      <a:pt x="161704" y="440118"/>
                      <a:pt x="161092" y="454627"/>
                    </a:cubicBezTo>
                    <a:lnTo>
                      <a:pt x="138121" y="507755"/>
                    </a:lnTo>
                    <a:cubicBezTo>
                      <a:pt x="128471" y="517587"/>
                      <a:pt x="118990" y="517254"/>
                      <a:pt x="111222" y="522269"/>
                    </a:cubicBezTo>
                    <a:cubicBezTo>
                      <a:pt x="103454" y="527284"/>
                      <a:pt x="94685" y="539444"/>
                      <a:pt x="91510" y="537847"/>
                    </a:cubicBezTo>
                  </a:path>
                </a:pathLst>
              </a:custGeom>
              <a:ln w="1905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endParaRPr lang="en-US"/>
              </a:p>
            </xdr:txBody>
          </xdr:sp>
          <xdr:sp macro="" textlink="">
            <xdr:nvSpPr>
              <xdr:cNvPr id="10" name="Freeform 9"/>
              <xdr:cNvSpPr/>
            </xdr:nvSpPr>
            <xdr:spPr>
              <a:xfrm>
                <a:off x="1876425" y="16533019"/>
                <a:ext cx="450056" cy="452437"/>
              </a:xfrm>
              <a:custGeom>
                <a:avLst/>
                <a:gdLst>
                  <a:gd name="connsiteX0" fmla="*/ 447675 w 450056"/>
                  <a:gd name="connsiteY0" fmla="*/ 452437 h 452437"/>
                  <a:gd name="connsiteX1" fmla="*/ 450056 w 450056"/>
                  <a:gd name="connsiteY1" fmla="*/ 0 h 452437"/>
                  <a:gd name="connsiteX2" fmla="*/ 0 w 450056"/>
                  <a:gd name="connsiteY2" fmla="*/ 250031 h 452437"/>
                  <a:gd name="connsiteX3" fmla="*/ 23813 w 450056"/>
                  <a:gd name="connsiteY3" fmla="*/ 245269 h 452437"/>
                  <a:gd name="connsiteX4" fmla="*/ 57150 w 450056"/>
                  <a:gd name="connsiteY4" fmla="*/ 250031 h 452437"/>
                  <a:gd name="connsiteX5" fmla="*/ 92869 w 450056"/>
                  <a:gd name="connsiteY5" fmla="*/ 261937 h 452437"/>
                  <a:gd name="connsiteX6" fmla="*/ 447675 w 450056"/>
                  <a:gd name="connsiteY6" fmla="*/ 452437 h 45243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450056" h="452437">
                    <a:moveTo>
                      <a:pt x="447675" y="452437"/>
                    </a:moveTo>
                    <a:cubicBezTo>
                      <a:pt x="448469" y="301625"/>
                      <a:pt x="449262" y="150812"/>
                      <a:pt x="450056" y="0"/>
                    </a:cubicBezTo>
                    <a:lnTo>
                      <a:pt x="0" y="250031"/>
                    </a:lnTo>
                    <a:lnTo>
                      <a:pt x="23813" y="245269"/>
                    </a:lnTo>
                    <a:lnTo>
                      <a:pt x="57150" y="250031"/>
                    </a:lnTo>
                    <a:lnTo>
                      <a:pt x="92869" y="261937"/>
                    </a:lnTo>
                    <a:lnTo>
                      <a:pt x="447675" y="452437"/>
                    </a:lnTo>
                    <a:close/>
                  </a:path>
                </a:pathLst>
              </a:custGeom>
              <a:solidFill>
                <a:srgbClr val="CCFFCC"/>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grpSp>
        <xdr:cxnSp macro="">
          <xdr:nvCxnSpPr>
            <xdr:cNvPr id="813299" name="Straight Connector 813298"/>
            <xdr:cNvCxnSpPr/>
          </xdr:nvCxnSpPr>
          <xdr:spPr>
            <a:xfrm>
              <a:off x="4600575" y="15706725"/>
              <a:ext cx="4933950" cy="2705100"/>
            </a:xfrm>
            <a:prstGeom prst="line">
              <a:avLst/>
            </a:prstGeom>
            <a:ln w="28575">
              <a:solidFill>
                <a:schemeClr val="tx1"/>
              </a:solidFill>
              <a:prstDash val="lgDashDotDot"/>
            </a:ln>
          </xdr:spPr>
          <xdr:style>
            <a:lnRef idx="1">
              <a:schemeClr val="accent1"/>
            </a:lnRef>
            <a:fillRef idx="0">
              <a:schemeClr val="accent1"/>
            </a:fillRef>
            <a:effectRef idx="0">
              <a:schemeClr val="accent1"/>
            </a:effectRef>
            <a:fontRef idx="minor">
              <a:schemeClr val="tx1"/>
            </a:fontRef>
          </xdr:style>
        </xdr:cxnSp>
        <xdr:cxnSp macro="">
          <xdr:nvCxnSpPr>
            <xdr:cNvPr id="813307" name="Straight Arrow Connector 813306"/>
            <xdr:cNvCxnSpPr/>
          </xdr:nvCxnSpPr>
          <xdr:spPr>
            <a:xfrm>
              <a:off x="4610100" y="15716250"/>
              <a:ext cx="0" cy="323850"/>
            </a:xfrm>
            <a:prstGeom prst="straightConnector1">
              <a:avLst/>
            </a:prstGeom>
            <a:ln w="28575">
              <a:solidFill>
                <a:schemeClr val="tx1"/>
              </a:solidFill>
              <a:prstDash val="solid"/>
              <a:headEnd type="none" w="med" len="med"/>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646" name="Straight Arrow Connector 645"/>
            <xdr:cNvCxnSpPr/>
          </xdr:nvCxnSpPr>
          <xdr:spPr>
            <a:xfrm>
              <a:off x="9544050" y="18411825"/>
              <a:ext cx="0" cy="323850"/>
            </a:xfrm>
            <a:prstGeom prst="straightConnector1">
              <a:avLst/>
            </a:prstGeom>
            <a:ln w="28575">
              <a:solidFill>
                <a:schemeClr val="tx1"/>
              </a:solidFill>
              <a:prstDash val="solid"/>
              <a:headEnd type="none" w="med" len="med"/>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813310" name="TextBox 813309"/>
            <xdr:cNvSpPr txBox="1"/>
          </xdr:nvSpPr>
          <xdr:spPr>
            <a:xfrm>
              <a:off x="4391025" y="15982950"/>
              <a:ext cx="419100"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t>A</a:t>
              </a:r>
            </a:p>
          </xdr:txBody>
        </xdr:sp>
        <xdr:sp macro="" textlink="">
          <xdr:nvSpPr>
            <xdr:cNvPr id="648" name="TextBox 647"/>
            <xdr:cNvSpPr txBox="1"/>
          </xdr:nvSpPr>
          <xdr:spPr>
            <a:xfrm>
              <a:off x="9344025" y="18697575"/>
              <a:ext cx="419100"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t>A</a:t>
              </a:r>
            </a:p>
          </xdr:txBody>
        </xdr:sp>
      </xdr:grpSp>
      <xdr:grpSp>
        <xdr:nvGrpSpPr>
          <xdr:cNvPr id="3" name="Group 2"/>
          <xdr:cNvGrpSpPr/>
        </xdr:nvGrpSpPr>
        <xdr:grpSpPr>
          <a:xfrm>
            <a:off x="1266825" y="18002250"/>
            <a:ext cx="5731670" cy="4010025"/>
            <a:chOff x="3952875" y="17268825"/>
            <a:chExt cx="5731670" cy="4010025"/>
          </a:xfrm>
        </xdr:grpSpPr>
        <xdr:sp macro="" textlink="">
          <xdr:nvSpPr>
            <xdr:cNvPr id="8" name="Rounded Rectangle 7"/>
            <xdr:cNvSpPr/>
          </xdr:nvSpPr>
          <xdr:spPr>
            <a:xfrm>
              <a:off x="4772025" y="20250150"/>
              <a:ext cx="771525" cy="476250"/>
            </a:xfrm>
            <a:prstGeom prst="round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24" name="Rounded Rectangle 523"/>
            <xdr:cNvSpPr/>
          </xdr:nvSpPr>
          <xdr:spPr>
            <a:xfrm>
              <a:off x="7905750" y="18592800"/>
              <a:ext cx="771525" cy="514350"/>
            </a:xfrm>
            <a:prstGeom prst="round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ounded Rectangle 5"/>
            <xdr:cNvSpPr/>
          </xdr:nvSpPr>
          <xdr:spPr>
            <a:xfrm>
              <a:off x="5048250" y="18592800"/>
              <a:ext cx="3286125" cy="2133600"/>
            </a:xfrm>
            <a:prstGeom prst="round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400" name="Rounded Rectangle 12399"/>
            <xdr:cNvSpPr/>
          </xdr:nvSpPr>
          <xdr:spPr>
            <a:xfrm>
              <a:off x="5210175" y="18764250"/>
              <a:ext cx="2981325" cy="1819275"/>
            </a:xfrm>
            <a:prstGeom prst="roundRect">
              <a:avLst>
                <a:gd name="adj" fmla="val 11955"/>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438" name="Rectangle 12437"/>
            <xdr:cNvSpPr/>
          </xdr:nvSpPr>
          <xdr:spPr>
            <a:xfrm>
              <a:off x="7972425" y="18948040"/>
              <a:ext cx="216693" cy="1422471"/>
            </a:xfrm>
            <a:prstGeom prst="rect">
              <a:avLst/>
            </a:prstGeom>
            <a:solidFill>
              <a:schemeClr val="accent1">
                <a:lumMod val="20000"/>
                <a:lumOff val="80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7699" name="Text Box 1507"/>
            <xdr:cNvSpPr txBox="1">
              <a:spLocks noChangeArrowheads="1"/>
            </xdr:cNvSpPr>
          </xdr:nvSpPr>
          <xdr:spPr bwMode="auto">
            <a:xfrm>
              <a:off x="5553075" y="20888325"/>
              <a:ext cx="1971675" cy="390525"/>
            </a:xfrm>
            <a:prstGeom prst="rect">
              <a:avLst/>
            </a:prstGeom>
            <a:solidFill>
              <a:srgbClr val="FFFFFF"/>
            </a:solidFill>
            <a:ln>
              <a:noFill/>
            </a:ln>
            <a:extLst/>
          </xdr:spPr>
          <xdr:txBody>
            <a:bodyPr vertOverflow="clip" wrap="square" lIns="45720" tIns="41148" rIns="45720" bIns="0" anchor="t" upright="1"/>
            <a:lstStyle/>
            <a:p>
              <a:pPr algn="ctr" rtl="0">
                <a:defRPr sz="1000"/>
              </a:pPr>
              <a:r>
                <a:rPr lang="en-US" sz="2200" b="1" i="0" u="none" strike="noStrike" baseline="0">
                  <a:solidFill>
                    <a:srgbClr val="000000"/>
                  </a:solidFill>
                  <a:latin typeface="Arial"/>
                  <a:cs typeface="Arial"/>
                </a:rPr>
                <a:t>Section A-A</a:t>
              </a:r>
            </a:p>
          </xdr:txBody>
        </xdr:sp>
        <xdr:sp macro="" textlink="">
          <xdr:nvSpPr>
            <xdr:cNvPr id="9" name="Rectangle 8"/>
            <xdr:cNvSpPr/>
          </xdr:nvSpPr>
          <xdr:spPr>
            <a:xfrm>
              <a:off x="4762501" y="20412074"/>
              <a:ext cx="733424" cy="171451"/>
            </a:xfrm>
            <a:prstGeom prst="rect">
              <a:avLst/>
            </a:prstGeom>
            <a:solidFill>
              <a:sysClr val="window" lastClr="FFFFFF"/>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25" name="Rectangle 524"/>
            <xdr:cNvSpPr/>
          </xdr:nvSpPr>
          <xdr:spPr>
            <a:xfrm>
              <a:off x="7939087" y="18764250"/>
              <a:ext cx="752475" cy="180975"/>
            </a:xfrm>
            <a:prstGeom prst="rect">
              <a:avLst/>
            </a:prstGeom>
            <a:solidFill>
              <a:schemeClr val="bg1"/>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73" name="Rectangle 572"/>
            <xdr:cNvSpPr/>
          </xdr:nvSpPr>
          <xdr:spPr>
            <a:xfrm>
              <a:off x="4914901" y="20588289"/>
              <a:ext cx="569118" cy="126206"/>
            </a:xfrm>
            <a:prstGeom prst="rect">
              <a:avLst/>
            </a:prstGeom>
            <a:solidFill>
              <a:schemeClr val="bg1">
                <a:lumMod val="85000"/>
              </a:schemeClr>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562" name="Straight Connector 561"/>
            <xdr:cNvCxnSpPr/>
          </xdr:nvCxnSpPr>
          <xdr:spPr>
            <a:xfrm flipH="1" flipV="1">
              <a:off x="4764878" y="20581144"/>
              <a:ext cx="3236122" cy="4762"/>
            </a:xfrm>
            <a:prstGeom prst="line">
              <a:avLst/>
            </a:prstGeom>
            <a:ln w="19050"/>
          </xdr:spPr>
          <xdr:style>
            <a:lnRef idx="1">
              <a:schemeClr val="dk1"/>
            </a:lnRef>
            <a:fillRef idx="0">
              <a:schemeClr val="dk1"/>
            </a:fillRef>
            <a:effectRef idx="0">
              <a:schemeClr val="dk1"/>
            </a:effectRef>
            <a:fontRef idx="minor">
              <a:schemeClr val="tx1"/>
            </a:fontRef>
          </xdr:style>
        </xdr:cxnSp>
        <xdr:sp macro="" textlink="">
          <xdr:nvSpPr>
            <xdr:cNvPr id="576" name="Rectangle 575"/>
            <xdr:cNvSpPr/>
          </xdr:nvSpPr>
          <xdr:spPr>
            <a:xfrm>
              <a:off x="4986338" y="20264438"/>
              <a:ext cx="123826" cy="142875"/>
            </a:xfrm>
            <a:prstGeom prst="rect">
              <a:avLst/>
            </a:prstGeom>
            <a:solidFill>
              <a:schemeClr val="bg1">
                <a:lumMod val="85000"/>
              </a:schemeClr>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81" name="Rectangle 580"/>
            <xdr:cNvSpPr/>
          </xdr:nvSpPr>
          <xdr:spPr>
            <a:xfrm>
              <a:off x="7986713" y="18607088"/>
              <a:ext cx="366712" cy="152400"/>
            </a:xfrm>
            <a:prstGeom prst="rect">
              <a:avLst/>
            </a:prstGeom>
            <a:solidFill>
              <a:schemeClr val="bg1">
                <a:lumMod val="85000"/>
              </a:schemeClr>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2467" name="Straight Connector 12466"/>
            <xdr:cNvCxnSpPr/>
          </xdr:nvCxnSpPr>
          <xdr:spPr>
            <a:xfrm flipV="1">
              <a:off x="7881940" y="18761869"/>
              <a:ext cx="807244" cy="2381"/>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584" name="Straight Connector 583"/>
            <xdr:cNvCxnSpPr/>
          </xdr:nvCxnSpPr>
          <xdr:spPr>
            <a:xfrm flipV="1">
              <a:off x="7879575" y="18942841"/>
              <a:ext cx="807244" cy="2381"/>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3" name="Straight Connector 12"/>
            <xdr:cNvCxnSpPr>
              <a:stCxn id="9" idx="0"/>
              <a:endCxn id="9" idx="0"/>
            </xdr:cNvCxnSpPr>
          </xdr:nvCxnSpPr>
          <xdr:spPr>
            <a:xfrm>
              <a:off x="5129213" y="20412074"/>
              <a:ext cx="0" cy="0"/>
            </a:xfrm>
            <a:prstGeom prst="line">
              <a:avLst/>
            </a:prstGeom>
          </xdr:spPr>
          <xdr:style>
            <a:lnRef idx="1">
              <a:schemeClr val="accent1"/>
            </a:lnRef>
            <a:fillRef idx="0">
              <a:schemeClr val="accent1"/>
            </a:fillRef>
            <a:effectRef idx="0">
              <a:schemeClr val="accent1"/>
            </a:effectRef>
            <a:fontRef idx="minor">
              <a:schemeClr val="tx1"/>
            </a:fontRef>
          </xdr:style>
        </xdr:cxnSp>
        <xdr:grpSp>
          <xdr:nvGrpSpPr>
            <xdr:cNvPr id="12393" name="Group 12392"/>
            <xdr:cNvGrpSpPr/>
          </xdr:nvGrpSpPr>
          <xdr:grpSpPr>
            <a:xfrm>
              <a:off x="4976812" y="20402551"/>
              <a:ext cx="207169" cy="66675"/>
              <a:chOff x="266700" y="15313819"/>
              <a:chExt cx="207169" cy="66675"/>
            </a:xfrm>
          </xdr:grpSpPr>
          <xdr:cxnSp macro="">
            <xdr:nvCxnSpPr>
              <xdr:cNvPr id="15" name="Straight Connector 14"/>
              <xdr:cNvCxnSpPr/>
            </xdr:nvCxnSpPr>
            <xdr:spPr>
              <a:xfrm>
                <a:off x="288131" y="15335250"/>
                <a:ext cx="185738" cy="45244"/>
              </a:xfrm>
              <a:prstGeom prst="line">
                <a:avLst/>
              </a:prstGeom>
              <a:ln w="28575"/>
            </xdr:spPr>
            <xdr:style>
              <a:lnRef idx="1">
                <a:schemeClr val="dk1"/>
              </a:lnRef>
              <a:fillRef idx="0">
                <a:schemeClr val="dk1"/>
              </a:fillRef>
              <a:effectRef idx="0">
                <a:schemeClr val="dk1"/>
              </a:effectRef>
              <a:fontRef idx="minor">
                <a:schemeClr val="tx1"/>
              </a:fontRef>
            </xdr:style>
          </xdr:cxnSp>
          <xdr:sp macro="" textlink="">
            <xdr:nvSpPr>
              <xdr:cNvPr id="12391" name="Oval 12390"/>
              <xdr:cNvSpPr/>
            </xdr:nvSpPr>
            <xdr:spPr>
              <a:xfrm>
                <a:off x="266700" y="15313819"/>
                <a:ext cx="45719" cy="45719"/>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2397" name="Freeform 12396"/>
            <xdr:cNvSpPr/>
          </xdr:nvSpPr>
          <xdr:spPr>
            <a:xfrm>
              <a:off x="8334375" y="18631544"/>
              <a:ext cx="463980" cy="308182"/>
            </a:xfrm>
            <a:custGeom>
              <a:avLst/>
              <a:gdLst>
                <a:gd name="connsiteX0" fmla="*/ 0 w 457200"/>
                <a:gd name="connsiteY0" fmla="*/ 161925 h 333375"/>
                <a:gd name="connsiteX1" fmla="*/ 457200 w 457200"/>
                <a:gd name="connsiteY1" fmla="*/ 0 h 333375"/>
                <a:gd name="connsiteX2" fmla="*/ 447675 w 457200"/>
                <a:gd name="connsiteY2" fmla="*/ 333375 h 333375"/>
                <a:gd name="connsiteX3" fmla="*/ 28575 w 457200"/>
                <a:gd name="connsiteY3" fmla="*/ 333375 h 333375"/>
                <a:gd name="connsiteX4" fmla="*/ 0 w 457200"/>
                <a:gd name="connsiteY4" fmla="*/ 161925 h 333375"/>
                <a:gd name="connsiteX0" fmla="*/ 0 w 457200"/>
                <a:gd name="connsiteY0" fmla="*/ 161925 h 333375"/>
                <a:gd name="connsiteX1" fmla="*/ 457200 w 457200"/>
                <a:gd name="connsiteY1" fmla="*/ 0 h 333375"/>
                <a:gd name="connsiteX2" fmla="*/ 447675 w 457200"/>
                <a:gd name="connsiteY2" fmla="*/ 333375 h 333375"/>
                <a:gd name="connsiteX3" fmla="*/ 28575 w 457200"/>
                <a:gd name="connsiteY3" fmla="*/ 312964 h 333375"/>
                <a:gd name="connsiteX4" fmla="*/ 0 w 457200"/>
                <a:gd name="connsiteY4" fmla="*/ 161925 h 333375"/>
                <a:gd name="connsiteX0" fmla="*/ 0 w 457200"/>
                <a:gd name="connsiteY0" fmla="*/ 161925 h 312964"/>
                <a:gd name="connsiteX1" fmla="*/ 457200 w 457200"/>
                <a:gd name="connsiteY1" fmla="*/ 0 h 312964"/>
                <a:gd name="connsiteX2" fmla="*/ 444290 w 457200"/>
                <a:gd name="connsiteY2" fmla="*/ 306161 h 312964"/>
                <a:gd name="connsiteX3" fmla="*/ 28575 w 457200"/>
                <a:gd name="connsiteY3" fmla="*/ 312964 h 312964"/>
                <a:gd name="connsiteX4" fmla="*/ 0 w 457200"/>
                <a:gd name="connsiteY4" fmla="*/ 161925 h 312964"/>
                <a:gd name="connsiteX0" fmla="*/ 0 w 463972"/>
                <a:gd name="connsiteY0" fmla="*/ 172130 h 323169"/>
                <a:gd name="connsiteX1" fmla="*/ 463972 w 463972"/>
                <a:gd name="connsiteY1" fmla="*/ 0 h 323169"/>
                <a:gd name="connsiteX2" fmla="*/ 444290 w 463972"/>
                <a:gd name="connsiteY2" fmla="*/ 316366 h 323169"/>
                <a:gd name="connsiteX3" fmla="*/ 28575 w 463972"/>
                <a:gd name="connsiteY3" fmla="*/ 323169 h 323169"/>
                <a:gd name="connsiteX4" fmla="*/ 0 w 463972"/>
                <a:gd name="connsiteY4" fmla="*/ 172130 h 323169"/>
                <a:gd name="connsiteX0" fmla="*/ 0 w 463972"/>
                <a:gd name="connsiteY0" fmla="*/ 179474 h 330513"/>
                <a:gd name="connsiteX1" fmla="*/ 463972 w 463972"/>
                <a:gd name="connsiteY1" fmla="*/ 0 h 330513"/>
                <a:gd name="connsiteX2" fmla="*/ 444290 w 463972"/>
                <a:gd name="connsiteY2" fmla="*/ 323710 h 330513"/>
                <a:gd name="connsiteX3" fmla="*/ 28575 w 463972"/>
                <a:gd name="connsiteY3" fmla="*/ 330513 h 330513"/>
                <a:gd name="connsiteX4" fmla="*/ 0 w 463972"/>
                <a:gd name="connsiteY4" fmla="*/ 179474 h 330513"/>
                <a:gd name="connsiteX0" fmla="*/ 0 w 463972"/>
                <a:gd name="connsiteY0" fmla="*/ 179474 h 334727"/>
                <a:gd name="connsiteX1" fmla="*/ 463972 w 463972"/>
                <a:gd name="connsiteY1" fmla="*/ 0 h 334727"/>
                <a:gd name="connsiteX2" fmla="*/ 444290 w 463972"/>
                <a:gd name="connsiteY2" fmla="*/ 334727 h 334727"/>
                <a:gd name="connsiteX3" fmla="*/ 28575 w 463972"/>
                <a:gd name="connsiteY3" fmla="*/ 330513 h 334727"/>
                <a:gd name="connsiteX4" fmla="*/ 0 w 463972"/>
                <a:gd name="connsiteY4" fmla="*/ 179474 h 33472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463972" h="334727">
                  <a:moveTo>
                    <a:pt x="0" y="179474"/>
                  </a:moveTo>
                  <a:lnTo>
                    <a:pt x="463972" y="0"/>
                  </a:lnTo>
                  <a:lnTo>
                    <a:pt x="444290" y="334727"/>
                  </a:lnTo>
                  <a:lnTo>
                    <a:pt x="28575" y="330513"/>
                  </a:lnTo>
                  <a:lnTo>
                    <a:pt x="0" y="179474"/>
                  </a:lnTo>
                  <a:close/>
                </a:path>
              </a:pathLst>
            </a:cu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399" name="Freeform 12398"/>
            <xdr:cNvSpPr/>
          </xdr:nvSpPr>
          <xdr:spPr>
            <a:xfrm>
              <a:off x="8398136" y="18316575"/>
              <a:ext cx="1279265" cy="447675"/>
            </a:xfrm>
            <a:custGeom>
              <a:avLst/>
              <a:gdLst>
                <a:gd name="connsiteX0" fmla="*/ 0 w 1257300"/>
                <a:gd name="connsiteY0" fmla="*/ 447675 h 447675"/>
                <a:gd name="connsiteX1" fmla="*/ 1152525 w 1257300"/>
                <a:gd name="connsiteY1" fmla="*/ 0 h 447675"/>
                <a:gd name="connsiteX2" fmla="*/ 1257300 w 1257300"/>
                <a:gd name="connsiteY2" fmla="*/ 0 h 447675"/>
                <a:gd name="connsiteX3" fmla="*/ 1247775 w 1257300"/>
                <a:gd name="connsiteY3" fmla="*/ 0 h 447675"/>
              </a:gdLst>
              <a:ahLst/>
              <a:cxnLst>
                <a:cxn ang="0">
                  <a:pos x="connsiteX0" y="connsiteY0"/>
                </a:cxn>
                <a:cxn ang="0">
                  <a:pos x="connsiteX1" y="connsiteY1"/>
                </a:cxn>
                <a:cxn ang="0">
                  <a:pos x="connsiteX2" y="connsiteY2"/>
                </a:cxn>
                <a:cxn ang="0">
                  <a:pos x="connsiteX3" y="connsiteY3"/>
                </a:cxn>
              </a:cxnLst>
              <a:rect l="l" t="t" r="r" b="b"/>
              <a:pathLst>
                <a:path w="1257300" h="447675">
                  <a:moveTo>
                    <a:pt x="0" y="447675"/>
                  </a:moveTo>
                  <a:lnTo>
                    <a:pt x="1152525" y="0"/>
                  </a:lnTo>
                  <a:lnTo>
                    <a:pt x="1257300" y="0"/>
                  </a:lnTo>
                  <a:lnTo>
                    <a:pt x="1247775" y="0"/>
                  </a:ln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2404" name="Straight Connector 12403"/>
            <xdr:cNvCxnSpPr>
              <a:stCxn id="12399" idx="1"/>
            </xdr:cNvCxnSpPr>
          </xdr:nvCxnSpPr>
          <xdr:spPr>
            <a:xfrm>
              <a:off x="9570705" y="18316575"/>
              <a:ext cx="1920" cy="638175"/>
            </a:xfrm>
            <a:prstGeom prst="line">
              <a:avLst/>
            </a:prstGeom>
          </xdr:spPr>
          <xdr:style>
            <a:lnRef idx="1">
              <a:schemeClr val="accent1"/>
            </a:lnRef>
            <a:fillRef idx="0">
              <a:schemeClr val="accent1"/>
            </a:fillRef>
            <a:effectRef idx="0">
              <a:schemeClr val="accent1"/>
            </a:effectRef>
            <a:fontRef idx="minor">
              <a:schemeClr val="tx1"/>
            </a:fontRef>
          </xdr:style>
        </xdr:cxnSp>
        <xdr:sp macro="" textlink="">
          <xdr:nvSpPr>
            <xdr:cNvPr id="579" name="Rectangle 578"/>
            <xdr:cNvSpPr/>
          </xdr:nvSpPr>
          <xdr:spPr>
            <a:xfrm>
              <a:off x="8262938" y="18959512"/>
              <a:ext cx="123826" cy="135732"/>
            </a:xfrm>
            <a:prstGeom prst="rect">
              <a:avLst/>
            </a:prstGeom>
            <a:solidFill>
              <a:schemeClr val="bg1">
                <a:lumMod val="85000"/>
              </a:schemeClr>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401" name="Freeform 12400"/>
            <xdr:cNvSpPr/>
          </xdr:nvSpPr>
          <xdr:spPr>
            <a:xfrm>
              <a:off x="8331995" y="18949987"/>
              <a:ext cx="1352550" cy="0"/>
            </a:xfrm>
            <a:custGeom>
              <a:avLst/>
              <a:gdLst>
                <a:gd name="connsiteX0" fmla="*/ 0 w 1352550"/>
                <a:gd name="connsiteY0" fmla="*/ 0 h 0"/>
                <a:gd name="connsiteX1" fmla="*/ 1352550 w 1352550"/>
                <a:gd name="connsiteY1" fmla="*/ 0 h 0"/>
                <a:gd name="connsiteX2" fmla="*/ 1343025 w 1352550"/>
                <a:gd name="connsiteY2" fmla="*/ 0 h 0"/>
              </a:gdLst>
              <a:ahLst/>
              <a:cxnLst>
                <a:cxn ang="0">
                  <a:pos x="connsiteX0" y="connsiteY0"/>
                </a:cxn>
                <a:cxn ang="0">
                  <a:pos x="connsiteX1" y="connsiteY1"/>
                </a:cxn>
                <a:cxn ang="0">
                  <a:pos x="connsiteX2" y="connsiteY2"/>
                </a:cxn>
              </a:cxnLst>
              <a:rect l="l" t="t" r="r" b="b"/>
              <a:pathLst>
                <a:path w="1352550">
                  <a:moveTo>
                    <a:pt x="0" y="0"/>
                  </a:moveTo>
                  <a:lnTo>
                    <a:pt x="1352550" y="0"/>
                  </a:lnTo>
                  <a:lnTo>
                    <a:pt x="1343025" y="0"/>
                  </a:ln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813295" name="Group 813294"/>
            <xdr:cNvGrpSpPr/>
          </xdr:nvGrpSpPr>
          <xdr:grpSpPr>
            <a:xfrm>
              <a:off x="8024890" y="19269074"/>
              <a:ext cx="140418" cy="783428"/>
              <a:chOff x="3948190" y="14277974"/>
              <a:chExt cx="140418" cy="783428"/>
            </a:xfrm>
          </xdr:grpSpPr>
          <xdr:sp macro="" textlink="">
            <xdr:nvSpPr>
              <xdr:cNvPr id="12407" name="Rectangle 12406"/>
              <xdr:cNvSpPr/>
            </xdr:nvSpPr>
            <xdr:spPr>
              <a:xfrm>
                <a:off x="3996568" y="14714239"/>
                <a:ext cx="46795" cy="347163"/>
              </a:xfrm>
              <a:prstGeom prst="rect">
                <a:avLst/>
              </a:prstGeom>
              <a:solidFill>
                <a:schemeClr val="accent6">
                  <a:lumMod val="7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83" name="Rectangle 582"/>
              <xdr:cNvSpPr/>
            </xdr:nvSpPr>
            <xdr:spPr>
              <a:xfrm>
                <a:off x="4038680" y="14403315"/>
                <a:ext cx="49928" cy="96115"/>
              </a:xfrm>
              <a:prstGeom prst="rect">
                <a:avLst/>
              </a:prstGeom>
              <a:solidFill>
                <a:srgbClr val="FFC00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82" name="Rectangle 581"/>
              <xdr:cNvSpPr/>
            </xdr:nvSpPr>
            <xdr:spPr>
              <a:xfrm>
                <a:off x="4003844" y="14277974"/>
                <a:ext cx="45719" cy="347663"/>
              </a:xfrm>
              <a:prstGeom prst="rect">
                <a:avLst/>
              </a:prstGeom>
              <a:solidFill>
                <a:schemeClr val="accent6">
                  <a:lumMod val="7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85" name="Rectangle 584"/>
              <xdr:cNvSpPr/>
            </xdr:nvSpPr>
            <xdr:spPr>
              <a:xfrm>
                <a:off x="3948190" y="14386649"/>
                <a:ext cx="45719" cy="129452"/>
              </a:xfrm>
              <a:prstGeom prst="rect">
                <a:avLst/>
              </a:prstGeom>
              <a:solidFill>
                <a:srgbClr val="FFC00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424" name="Rectangle 12423"/>
              <xdr:cNvSpPr/>
            </xdr:nvSpPr>
            <xdr:spPr>
              <a:xfrm>
                <a:off x="3976230" y="14427459"/>
                <a:ext cx="105080" cy="45719"/>
              </a:xfrm>
              <a:prstGeom prst="rect">
                <a:avLst/>
              </a:prstGeom>
              <a:solidFill>
                <a:srgbClr val="FFC0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2479" name="Group 12478"/>
            <xdr:cNvGrpSpPr/>
          </xdr:nvGrpSpPr>
          <xdr:grpSpPr>
            <a:xfrm>
              <a:off x="5210175" y="18945225"/>
              <a:ext cx="2838452" cy="1433946"/>
              <a:chOff x="1134341" y="13811250"/>
              <a:chExt cx="2842781" cy="1454052"/>
            </a:xfrm>
          </xdr:grpSpPr>
          <xdr:sp macro="" textlink="">
            <xdr:nvSpPr>
              <xdr:cNvPr id="2" name="Rectangle 1"/>
              <xdr:cNvSpPr/>
            </xdr:nvSpPr>
            <xdr:spPr>
              <a:xfrm>
                <a:off x="1134341" y="13811250"/>
                <a:ext cx="2718954" cy="1451264"/>
              </a:xfrm>
              <a:prstGeom prst="rect">
                <a:avLst/>
              </a:prstGeom>
              <a:solidFill>
                <a:schemeClr val="bg2"/>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1" name="Group 10"/>
              <xdr:cNvGrpSpPr/>
            </xdr:nvGrpSpPr>
            <xdr:grpSpPr>
              <a:xfrm>
                <a:off x="1437218" y="13823562"/>
                <a:ext cx="2234289" cy="1441740"/>
                <a:chOff x="1435951" y="14011507"/>
                <a:chExt cx="2260679" cy="1463598"/>
              </a:xfrm>
            </xdr:grpSpPr>
            <xdr:sp macro="" textlink="">
              <xdr:nvSpPr>
                <xdr:cNvPr id="12468" name="Rectangle 12467"/>
                <xdr:cNvSpPr/>
              </xdr:nvSpPr>
              <xdr:spPr>
                <a:xfrm>
                  <a:off x="1875960" y="14011624"/>
                  <a:ext cx="60984" cy="1460693"/>
                </a:xfrm>
                <a:prstGeom prst="rect">
                  <a:avLst/>
                </a:prstGeom>
                <a:solidFill>
                  <a:schemeClr val="accent1">
                    <a:lumMod val="40000"/>
                    <a:lumOff val="60000"/>
                  </a:schemeClr>
                </a:solidFill>
                <a:ln w="19050">
                  <a:solidFill>
                    <a:schemeClr val="tx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59" name="Rectangle 558"/>
                <xdr:cNvSpPr/>
              </xdr:nvSpPr>
              <xdr:spPr>
                <a:xfrm>
                  <a:off x="1435951" y="14013018"/>
                  <a:ext cx="60984" cy="1460693"/>
                </a:xfrm>
                <a:prstGeom prst="rect">
                  <a:avLst/>
                </a:prstGeom>
                <a:solidFill>
                  <a:schemeClr val="accent1">
                    <a:lumMod val="40000"/>
                    <a:lumOff val="60000"/>
                  </a:schemeClr>
                </a:solidFill>
                <a:ln w="19050">
                  <a:solidFill>
                    <a:schemeClr val="tx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60" name="Rectangle 559"/>
                <xdr:cNvSpPr/>
              </xdr:nvSpPr>
              <xdr:spPr>
                <a:xfrm>
                  <a:off x="2754351" y="14013018"/>
                  <a:ext cx="60984" cy="1460693"/>
                </a:xfrm>
                <a:prstGeom prst="rect">
                  <a:avLst/>
                </a:prstGeom>
                <a:solidFill>
                  <a:schemeClr val="accent1">
                    <a:lumMod val="40000"/>
                    <a:lumOff val="60000"/>
                  </a:schemeClr>
                </a:solidFill>
                <a:ln w="19050">
                  <a:solidFill>
                    <a:schemeClr val="tx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64" name="Rectangle 563"/>
                <xdr:cNvSpPr/>
              </xdr:nvSpPr>
              <xdr:spPr>
                <a:xfrm>
                  <a:off x="2314342" y="14014412"/>
                  <a:ext cx="60984" cy="1460693"/>
                </a:xfrm>
                <a:prstGeom prst="rect">
                  <a:avLst/>
                </a:prstGeom>
                <a:solidFill>
                  <a:schemeClr val="accent1">
                    <a:lumMod val="40000"/>
                    <a:lumOff val="60000"/>
                  </a:schemeClr>
                </a:solidFill>
                <a:ln w="19050">
                  <a:solidFill>
                    <a:schemeClr val="tx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65" name="Rectangle 564"/>
                <xdr:cNvSpPr/>
              </xdr:nvSpPr>
              <xdr:spPr>
                <a:xfrm>
                  <a:off x="3635646" y="14011507"/>
                  <a:ext cx="60984" cy="1460693"/>
                </a:xfrm>
                <a:prstGeom prst="rect">
                  <a:avLst/>
                </a:prstGeom>
                <a:solidFill>
                  <a:schemeClr val="accent1">
                    <a:lumMod val="40000"/>
                    <a:lumOff val="60000"/>
                  </a:schemeClr>
                </a:solidFill>
                <a:ln w="19050">
                  <a:solidFill>
                    <a:schemeClr val="tx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67" name="Rectangle 566"/>
                <xdr:cNvSpPr/>
              </xdr:nvSpPr>
              <xdr:spPr>
                <a:xfrm>
                  <a:off x="3195637" y="14012901"/>
                  <a:ext cx="60984" cy="1460693"/>
                </a:xfrm>
                <a:prstGeom prst="rect">
                  <a:avLst/>
                </a:prstGeom>
                <a:solidFill>
                  <a:schemeClr val="accent1">
                    <a:lumMod val="40000"/>
                    <a:lumOff val="60000"/>
                  </a:schemeClr>
                </a:solidFill>
                <a:ln w="19050">
                  <a:solidFill>
                    <a:schemeClr val="tx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557" name="Rectangle 556"/>
              <xdr:cNvSpPr/>
            </xdr:nvSpPr>
            <xdr:spPr>
              <a:xfrm>
                <a:off x="1134342" y="13815570"/>
                <a:ext cx="294186" cy="1444584"/>
              </a:xfrm>
              <a:prstGeom prst="rect">
                <a:avLst/>
              </a:prstGeom>
              <a:solidFill>
                <a:schemeClr val="bg2">
                  <a:lumMod val="75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 name="Rectangle 24"/>
              <xdr:cNvSpPr/>
            </xdr:nvSpPr>
            <xdr:spPr>
              <a:xfrm>
                <a:off x="3682334" y="13815570"/>
                <a:ext cx="294788" cy="1444584"/>
              </a:xfrm>
              <a:prstGeom prst="rect">
                <a:avLst/>
              </a:prstGeom>
              <a:solidFill>
                <a:schemeClr val="bg2">
                  <a:lumMod val="75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xnSp macro="">
          <xdr:nvCxnSpPr>
            <xdr:cNvPr id="12466" name="Straight Connector 12465"/>
            <xdr:cNvCxnSpPr>
              <a:endCxn id="12401" idx="0"/>
            </xdr:cNvCxnSpPr>
          </xdr:nvCxnSpPr>
          <xdr:spPr>
            <a:xfrm>
              <a:off x="5208311" y="18945225"/>
              <a:ext cx="3123684" cy="4762"/>
            </a:xfrm>
            <a:prstGeom prst="line">
              <a:avLst/>
            </a:prstGeom>
            <a:ln w="19050"/>
          </xdr:spPr>
          <xdr:style>
            <a:lnRef idx="1">
              <a:schemeClr val="dk1"/>
            </a:lnRef>
            <a:fillRef idx="0">
              <a:schemeClr val="dk1"/>
            </a:fillRef>
            <a:effectRef idx="0">
              <a:schemeClr val="dk1"/>
            </a:effectRef>
            <a:fontRef idx="minor">
              <a:schemeClr val="tx1"/>
            </a:fontRef>
          </xdr:style>
        </xdr:cxnSp>
        <xdr:cxnSp macro="">
          <xdr:nvCxnSpPr>
            <xdr:cNvPr id="12392" name="Straight Connector 12391"/>
            <xdr:cNvCxnSpPr/>
          </xdr:nvCxnSpPr>
          <xdr:spPr>
            <a:xfrm flipH="1">
              <a:off x="5205845" y="20364661"/>
              <a:ext cx="2983178" cy="14508"/>
            </a:xfrm>
            <a:prstGeom prst="line">
              <a:avLst/>
            </a:prstGeom>
            <a:ln w="19050"/>
          </xdr:spPr>
          <xdr:style>
            <a:lnRef idx="1">
              <a:schemeClr val="dk1"/>
            </a:lnRef>
            <a:fillRef idx="0">
              <a:schemeClr val="dk1"/>
            </a:fillRef>
            <a:effectRef idx="0">
              <a:schemeClr val="dk1"/>
            </a:effectRef>
            <a:fontRef idx="minor">
              <a:schemeClr val="tx1"/>
            </a:fontRef>
          </xdr:style>
        </xdr:cxnSp>
        <xdr:cxnSp macro="">
          <xdr:nvCxnSpPr>
            <xdr:cNvPr id="813282" name="Straight Connector 813281"/>
            <xdr:cNvCxnSpPr/>
          </xdr:nvCxnSpPr>
          <xdr:spPr>
            <a:xfrm flipV="1">
              <a:off x="4768574" y="20406879"/>
              <a:ext cx="454597" cy="1"/>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13289" name="Straight Connector 813288"/>
            <xdr:cNvCxnSpPr/>
          </xdr:nvCxnSpPr>
          <xdr:spPr>
            <a:xfrm flipV="1">
              <a:off x="5210175" y="20404931"/>
              <a:ext cx="330994" cy="1083"/>
            </a:xfrm>
            <a:prstGeom prst="line">
              <a:avLst/>
            </a:prstGeom>
            <a:ln w="38100">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12" name="Straight Connector 611"/>
            <xdr:cNvCxnSpPr/>
          </xdr:nvCxnSpPr>
          <xdr:spPr>
            <a:xfrm flipV="1">
              <a:off x="7712869" y="20388696"/>
              <a:ext cx="468241" cy="6710"/>
            </a:xfrm>
            <a:prstGeom prst="line">
              <a:avLst/>
            </a:prstGeom>
            <a:ln w="38100">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813293" name="Bent Arrow 813292"/>
            <xdr:cNvSpPr/>
          </xdr:nvSpPr>
          <xdr:spPr>
            <a:xfrm rot="16200000" flipV="1">
              <a:off x="5630569" y="20295610"/>
              <a:ext cx="205223" cy="103907"/>
            </a:xfrm>
            <a:prstGeom prst="bentArrow">
              <a:avLst>
                <a:gd name="adj1" fmla="val 25000"/>
                <a:gd name="adj2" fmla="val 20455"/>
                <a:gd name="adj3" fmla="val 25000"/>
                <a:gd name="adj4" fmla="val 4375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813294" name="Right Arrow 813293"/>
            <xdr:cNvSpPr/>
          </xdr:nvSpPr>
          <xdr:spPr>
            <a:xfrm>
              <a:off x="4292311" y="20460567"/>
              <a:ext cx="523009" cy="56284"/>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19" name="Bent Arrow 618"/>
            <xdr:cNvSpPr/>
          </xdr:nvSpPr>
          <xdr:spPr>
            <a:xfrm rot="16200000" flipV="1">
              <a:off x="6059194" y="20300807"/>
              <a:ext cx="205223" cy="103907"/>
            </a:xfrm>
            <a:prstGeom prst="bentArrow">
              <a:avLst>
                <a:gd name="adj1" fmla="val 25000"/>
                <a:gd name="adj2" fmla="val 20455"/>
                <a:gd name="adj3" fmla="val 25000"/>
                <a:gd name="adj4" fmla="val 4375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620" name="Bent Arrow 619"/>
            <xdr:cNvSpPr/>
          </xdr:nvSpPr>
          <xdr:spPr>
            <a:xfrm rot="16200000" flipV="1">
              <a:off x="6505137" y="20297341"/>
              <a:ext cx="205223" cy="103907"/>
            </a:xfrm>
            <a:prstGeom prst="bentArrow">
              <a:avLst>
                <a:gd name="adj1" fmla="val 25000"/>
                <a:gd name="adj2" fmla="val 20455"/>
                <a:gd name="adj3" fmla="val 25000"/>
                <a:gd name="adj4" fmla="val 4375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621" name="Bent Arrow 620"/>
            <xdr:cNvSpPr/>
          </xdr:nvSpPr>
          <xdr:spPr>
            <a:xfrm rot="16200000" flipV="1">
              <a:off x="6938091" y="20288684"/>
              <a:ext cx="206955" cy="103907"/>
            </a:xfrm>
            <a:prstGeom prst="bentArrow">
              <a:avLst>
                <a:gd name="adj1" fmla="val 25000"/>
                <a:gd name="adj2" fmla="val 20455"/>
                <a:gd name="adj3" fmla="val 25000"/>
                <a:gd name="adj4" fmla="val 4375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622" name="Bent Arrow 621"/>
            <xdr:cNvSpPr/>
          </xdr:nvSpPr>
          <xdr:spPr>
            <a:xfrm rot="16200000" flipV="1">
              <a:off x="7375375" y="20289549"/>
              <a:ext cx="206955" cy="103907"/>
            </a:xfrm>
            <a:prstGeom prst="bentArrow">
              <a:avLst>
                <a:gd name="adj1" fmla="val 25000"/>
                <a:gd name="adj2" fmla="val 20455"/>
                <a:gd name="adj3" fmla="val 25000"/>
                <a:gd name="adj4" fmla="val 4375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623" name="Bent Arrow 622"/>
            <xdr:cNvSpPr/>
          </xdr:nvSpPr>
          <xdr:spPr>
            <a:xfrm>
              <a:off x="5740539" y="18856901"/>
              <a:ext cx="202626" cy="109972"/>
            </a:xfrm>
            <a:prstGeom prst="bentArrow">
              <a:avLst>
                <a:gd name="adj1" fmla="val 25000"/>
                <a:gd name="adj2" fmla="val 20455"/>
                <a:gd name="adj3" fmla="val 25000"/>
                <a:gd name="adj4" fmla="val 4375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624" name="Bent Arrow 623"/>
            <xdr:cNvSpPr/>
          </xdr:nvSpPr>
          <xdr:spPr>
            <a:xfrm>
              <a:off x="6182153" y="18853437"/>
              <a:ext cx="203492" cy="109972"/>
            </a:xfrm>
            <a:prstGeom prst="bentArrow">
              <a:avLst>
                <a:gd name="adj1" fmla="val 25000"/>
                <a:gd name="adj2" fmla="val 20455"/>
                <a:gd name="adj3" fmla="val 25000"/>
                <a:gd name="adj4" fmla="val 4375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625" name="Bent Arrow 624"/>
            <xdr:cNvSpPr/>
          </xdr:nvSpPr>
          <xdr:spPr>
            <a:xfrm>
              <a:off x="6610777" y="18858632"/>
              <a:ext cx="203492" cy="109972"/>
            </a:xfrm>
            <a:prstGeom prst="bentArrow">
              <a:avLst>
                <a:gd name="adj1" fmla="val 25000"/>
                <a:gd name="adj2" fmla="val 20455"/>
                <a:gd name="adj3" fmla="val 25000"/>
                <a:gd name="adj4" fmla="val 4375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626" name="Bent Arrow 625"/>
            <xdr:cNvSpPr/>
          </xdr:nvSpPr>
          <xdr:spPr>
            <a:xfrm>
              <a:off x="7057587" y="18859498"/>
              <a:ext cx="202626" cy="109972"/>
            </a:xfrm>
            <a:prstGeom prst="bentArrow">
              <a:avLst>
                <a:gd name="adj1" fmla="val 25000"/>
                <a:gd name="adj2" fmla="val 20455"/>
                <a:gd name="adj3" fmla="val 25000"/>
                <a:gd name="adj4" fmla="val 4375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627" name="Bent Arrow 626"/>
            <xdr:cNvSpPr/>
          </xdr:nvSpPr>
          <xdr:spPr>
            <a:xfrm>
              <a:off x="7486212" y="18856035"/>
              <a:ext cx="203492" cy="109972"/>
            </a:xfrm>
            <a:prstGeom prst="bentArrow">
              <a:avLst>
                <a:gd name="adj1" fmla="val 25000"/>
                <a:gd name="adj2" fmla="val 20455"/>
                <a:gd name="adj3" fmla="val 25000"/>
                <a:gd name="adj4" fmla="val 4375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628" name="Right Arrow 627"/>
            <xdr:cNvSpPr/>
          </xdr:nvSpPr>
          <xdr:spPr>
            <a:xfrm rot="21093410">
              <a:off x="8396721" y="18784163"/>
              <a:ext cx="523875" cy="56284"/>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30" name="AutoShape 1270"/>
            <xdr:cNvSpPr>
              <a:spLocks/>
            </xdr:cNvSpPr>
          </xdr:nvSpPr>
          <xdr:spPr bwMode="auto">
            <a:xfrm>
              <a:off x="3952875" y="17535525"/>
              <a:ext cx="1905000" cy="981075"/>
            </a:xfrm>
            <a:prstGeom prst="accentCallout1">
              <a:avLst>
                <a:gd name="adj1" fmla="val 11653"/>
                <a:gd name="adj2" fmla="val 104444"/>
                <a:gd name="adj3" fmla="val 173785"/>
                <a:gd name="adj4" fmla="val 141556"/>
              </a:avLst>
            </a:prstGeom>
            <a:solidFill>
              <a:srgbClr val="FFFFFF"/>
            </a:solidFill>
            <a:ln w="19050">
              <a:solidFill>
                <a:srgbClr val="000000"/>
              </a:solidFill>
              <a:miter lim="800000"/>
              <a:headEnd/>
              <a:tailEnd/>
            </a:ln>
          </xdr:spPr>
          <xdr:txBody>
            <a:bodyPr vertOverflow="clip" wrap="square" lIns="45720" tIns="41148" rIns="0" bIns="0" anchor="t" upright="1"/>
            <a:lstStyle/>
            <a:p>
              <a:pPr algn="l" rtl="0">
                <a:defRPr sz="1000"/>
              </a:pPr>
              <a:r>
                <a:rPr lang="en-US" sz="2000" b="1" i="0" u="none" strike="noStrike" baseline="0">
                  <a:solidFill>
                    <a:srgbClr val="000000"/>
                  </a:solidFill>
                  <a:latin typeface="Arial"/>
                  <a:cs typeface="Arial"/>
                </a:rPr>
                <a:t>Air Flow Passages between Cells</a:t>
              </a:r>
            </a:p>
          </xdr:txBody>
        </xdr:sp>
        <xdr:cxnSp macro="">
          <xdr:nvCxnSpPr>
            <xdr:cNvPr id="813297" name="Straight Connector 813296"/>
            <xdr:cNvCxnSpPr/>
          </xdr:nvCxnSpPr>
          <xdr:spPr>
            <a:xfrm>
              <a:off x="5934075" y="17640300"/>
              <a:ext cx="1162050" cy="1524000"/>
            </a:xfrm>
            <a:prstGeom prst="line">
              <a:avLst/>
            </a:prstGeom>
            <a:ln w="19050"/>
          </xdr:spPr>
          <xdr:style>
            <a:lnRef idx="1">
              <a:schemeClr val="dk1"/>
            </a:lnRef>
            <a:fillRef idx="0">
              <a:schemeClr val="dk1"/>
            </a:fillRef>
            <a:effectRef idx="0">
              <a:schemeClr val="dk1"/>
            </a:effectRef>
            <a:fontRef idx="minor">
              <a:schemeClr val="tx1"/>
            </a:fontRef>
          </xdr:style>
        </xdr:cxnSp>
        <xdr:sp macro="" textlink="">
          <xdr:nvSpPr>
            <xdr:cNvPr id="633" name="AutoShape 1270"/>
            <xdr:cNvSpPr>
              <a:spLocks/>
            </xdr:cNvSpPr>
          </xdr:nvSpPr>
          <xdr:spPr bwMode="auto">
            <a:xfrm>
              <a:off x="6838951" y="17268825"/>
              <a:ext cx="1371599" cy="695325"/>
            </a:xfrm>
            <a:prstGeom prst="accentCallout1">
              <a:avLst>
                <a:gd name="adj1" fmla="val 32042"/>
                <a:gd name="adj2" fmla="val 88055"/>
                <a:gd name="adj3" fmla="val 160911"/>
                <a:gd name="adj4" fmla="val 189166"/>
              </a:avLst>
            </a:prstGeom>
            <a:solidFill>
              <a:srgbClr val="FFFFFF"/>
            </a:solidFill>
            <a:ln w="19050">
              <a:solidFill>
                <a:srgbClr val="000000"/>
              </a:solidFill>
              <a:miter lim="800000"/>
              <a:headEnd/>
              <a:tailEnd/>
            </a:ln>
          </xdr:spPr>
          <xdr:txBody>
            <a:bodyPr vertOverflow="clip" wrap="square" lIns="45720" tIns="41148" rIns="0" bIns="0" anchor="t" upright="1"/>
            <a:lstStyle/>
            <a:p>
              <a:pPr algn="l" rtl="0">
                <a:defRPr sz="1000"/>
              </a:pPr>
              <a:r>
                <a:rPr lang="en-US" sz="2000" b="1" i="0" u="none" strike="noStrike" baseline="0">
                  <a:solidFill>
                    <a:srgbClr val="000000"/>
                  </a:solidFill>
                  <a:latin typeface="Arial"/>
                  <a:cs typeface="Arial"/>
                </a:rPr>
                <a:t>Duct to Fan Inlet</a:t>
              </a:r>
            </a:p>
          </xdr:txBody>
        </xdr:sp>
      </xdr:grpSp>
      <xdr:cxnSp macro="">
        <xdr:nvCxnSpPr>
          <xdr:cNvPr id="137701" name="Straight Connector 137700"/>
          <xdr:cNvCxnSpPr/>
        </xdr:nvCxnSpPr>
        <xdr:spPr>
          <a:xfrm flipV="1">
            <a:off x="5362575" y="16563975"/>
            <a:ext cx="685800" cy="1676400"/>
          </a:xfrm>
          <a:prstGeom prst="line">
            <a:avLst/>
          </a:prstGeom>
          <a:ln w="19050"/>
        </xdr:spPr>
        <xdr:style>
          <a:lnRef idx="1">
            <a:schemeClr val="dk1"/>
          </a:lnRef>
          <a:fillRef idx="0">
            <a:schemeClr val="dk1"/>
          </a:fillRef>
          <a:effectRef idx="0">
            <a:schemeClr val="dk1"/>
          </a:effectRef>
          <a:fontRef idx="minor">
            <a:schemeClr val="tx1"/>
          </a:fontRef>
        </xdr:style>
      </xdr:cxnSp>
    </xdr:grpSp>
    <xdr:clientData/>
  </xdr:twoCellAnchor>
  <xdr:twoCellAnchor>
    <xdr:from>
      <xdr:col>0</xdr:col>
      <xdr:colOff>180975</xdr:colOff>
      <xdr:row>1</xdr:row>
      <xdr:rowOff>152400</xdr:rowOff>
    </xdr:from>
    <xdr:to>
      <xdr:col>15</xdr:col>
      <xdr:colOff>447675</xdr:colOff>
      <xdr:row>74</xdr:row>
      <xdr:rowOff>76200</xdr:rowOff>
    </xdr:to>
    <xdr:grpSp>
      <xdr:nvGrpSpPr>
        <xdr:cNvPr id="22" name="Group 21"/>
        <xdr:cNvGrpSpPr/>
      </xdr:nvGrpSpPr>
      <xdr:grpSpPr>
        <a:xfrm>
          <a:off x="180975" y="506535"/>
          <a:ext cx="9425354" cy="11646877"/>
          <a:chOff x="180975" y="506535"/>
          <a:chExt cx="9425354" cy="11646877"/>
        </a:xfrm>
      </xdr:grpSpPr>
      <xdr:sp macro="" textlink="">
        <xdr:nvSpPr>
          <xdr:cNvPr id="137488" name="Text Box 1296"/>
          <xdr:cNvSpPr txBox="1">
            <a:spLocks noChangeArrowheads="1"/>
          </xdr:cNvSpPr>
        </xdr:nvSpPr>
        <xdr:spPr bwMode="auto">
          <a:xfrm>
            <a:off x="2766157" y="8781562"/>
            <a:ext cx="4988169" cy="384175"/>
          </a:xfrm>
          <a:prstGeom prst="rect">
            <a:avLst/>
          </a:prstGeom>
          <a:solidFill>
            <a:srgbClr val="FFFFFF"/>
          </a:solidFill>
          <a:ln>
            <a:noFill/>
          </a:ln>
          <a:extLst/>
        </xdr:spPr>
        <xdr:txBody>
          <a:bodyPr vertOverflow="clip" wrap="square" lIns="45720" tIns="41148" rIns="45720" bIns="0" anchor="t" upright="1"/>
          <a:lstStyle/>
          <a:p>
            <a:pPr algn="ctr" rtl="0">
              <a:defRPr sz="1000"/>
            </a:pPr>
            <a:r>
              <a:rPr lang="en-US" sz="2400" b="1" i="0" u="none" strike="noStrike" baseline="0">
                <a:solidFill>
                  <a:srgbClr val="000000"/>
                </a:solidFill>
                <a:latin typeface="Arial"/>
                <a:cs typeface="Arial"/>
              </a:rPr>
              <a:t>Pack with Two Rows of Modules</a:t>
            </a:r>
          </a:p>
        </xdr:txBody>
      </xdr:sp>
      <xdr:sp macro="" textlink="">
        <xdr:nvSpPr>
          <xdr:cNvPr id="137698" name="Text Box 1506"/>
          <xdr:cNvSpPr txBox="1">
            <a:spLocks noChangeArrowheads="1"/>
          </xdr:cNvSpPr>
        </xdr:nvSpPr>
        <xdr:spPr bwMode="auto">
          <a:xfrm>
            <a:off x="2709008" y="11769237"/>
            <a:ext cx="4760790" cy="384175"/>
          </a:xfrm>
          <a:prstGeom prst="rect">
            <a:avLst/>
          </a:prstGeom>
          <a:solidFill>
            <a:srgbClr val="FFFFFF"/>
          </a:solidFill>
          <a:ln>
            <a:noFill/>
          </a:ln>
          <a:extLst/>
        </xdr:spPr>
        <xdr:txBody>
          <a:bodyPr vertOverflow="clip" wrap="square" lIns="45720" tIns="41148" rIns="45720" bIns="0" anchor="t" upright="1"/>
          <a:lstStyle/>
          <a:p>
            <a:pPr algn="ctr" rtl="0">
              <a:defRPr sz="1000"/>
            </a:pPr>
            <a:r>
              <a:rPr lang="en-US" sz="2400" b="1" i="0" u="none" strike="noStrike" baseline="0">
                <a:solidFill>
                  <a:srgbClr val="000000"/>
                </a:solidFill>
                <a:latin typeface="Arial"/>
                <a:cs typeface="Arial"/>
              </a:rPr>
              <a:t>Pack with One Row of Modules</a:t>
            </a:r>
          </a:p>
        </xdr:txBody>
      </xdr:sp>
      <xdr:sp macro="" textlink="">
        <xdr:nvSpPr>
          <xdr:cNvPr id="137700" name="Text Box 1508"/>
          <xdr:cNvSpPr txBox="1">
            <a:spLocks noChangeArrowheads="1"/>
          </xdr:cNvSpPr>
        </xdr:nvSpPr>
        <xdr:spPr bwMode="auto">
          <a:xfrm>
            <a:off x="6057167" y="11143762"/>
            <a:ext cx="1975583" cy="384175"/>
          </a:xfrm>
          <a:prstGeom prst="rect">
            <a:avLst/>
          </a:prstGeom>
          <a:solidFill>
            <a:srgbClr val="FFFFFF"/>
          </a:solidFill>
          <a:ln>
            <a:noFill/>
          </a:ln>
          <a:extLst/>
        </xdr:spPr>
        <xdr:txBody>
          <a:bodyPr vertOverflow="clip" wrap="square" lIns="45720" tIns="41148" rIns="45720" bIns="0" anchor="t" upright="1"/>
          <a:lstStyle/>
          <a:p>
            <a:pPr algn="ctr" rtl="0">
              <a:defRPr sz="1000"/>
            </a:pPr>
            <a:r>
              <a:rPr lang="en-US" sz="2200" b="1" i="0" u="none" strike="noStrike" baseline="0">
                <a:solidFill>
                  <a:srgbClr val="000000"/>
                </a:solidFill>
                <a:latin typeface="Arial"/>
                <a:cs typeface="Arial"/>
              </a:rPr>
              <a:t>Section B-B</a:t>
            </a:r>
          </a:p>
        </xdr:txBody>
      </xdr:sp>
      <xdr:sp macro="" textlink="">
        <xdr:nvSpPr>
          <xdr:cNvPr id="649" name="Text Box 1507"/>
          <xdr:cNvSpPr txBox="1">
            <a:spLocks noChangeArrowheads="1"/>
          </xdr:cNvSpPr>
        </xdr:nvSpPr>
        <xdr:spPr bwMode="auto">
          <a:xfrm>
            <a:off x="874102" y="11185037"/>
            <a:ext cx="1974606" cy="384175"/>
          </a:xfrm>
          <a:prstGeom prst="rect">
            <a:avLst/>
          </a:prstGeom>
          <a:solidFill>
            <a:srgbClr val="FFFFFF"/>
          </a:solidFill>
          <a:ln>
            <a:noFill/>
          </a:ln>
          <a:extLst/>
        </xdr:spPr>
        <xdr:txBody>
          <a:bodyPr vertOverflow="clip" wrap="square" lIns="45720" tIns="41148" rIns="45720" bIns="0" anchor="t" upright="1"/>
          <a:lstStyle/>
          <a:p>
            <a:pPr algn="ctr" rtl="0">
              <a:defRPr sz="1000"/>
            </a:pPr>
            <a:r>
              <a:rPr lang="en-US" sz="2200" b="1" i="0" u="none" strike="noStrike" baseline="0">
                <a:solidFill>
                  <a:srgbClr val="000000"/>
                </a:solidFill>
                <a:latin typeface="Arial"/>
                <a:cs typeface="Arial"/>
              </a:rPr>
              <a:t>Section A-A</a:t>
            </a:r>
          </a:p>
        </xdr:txBody>
      </xdr:sp>
      <xdr:grpSp>
        <xdr:nvGrpSpPr>
          <xdr:cNvPr id="12" name="Group 11"/>
          <xdr:cNvGrpSpPr/>
        </xdr:nvGrpSpPr>
        <xdr:grpSpPr>
          <a:xfrm>
            <a:off x="180975" y="506535"/>
            <a:ext cx="9415829" cy="8043252"/>
            <a:chOff x="180975" y="506535"/>
            <a:chExt cx="9415829" cy="8043252"/>
          </a:xfrm>
        </xdr:grpSpPr>
        <xdr:sp macro="" textlink="">
          <xdr:nvSpPr>
            <xdr:cNvPr id="12290" name="Freeform 1026"/>
            <xdr:cNvSpPr>
              <a:spLocks/>
            </xdr:cNvSpPr>
          </xdr:nvSpPr>
          <xdr:spPr bwMode="auto">
            <a:xfrm>
              <a:off x="5189415" y="2041037"/>
              <a:ext cx="3692037" cy="3660775"/>
            </a:xfrm>
            <a:custGeom>
              <a:avLst/>
              <a:gdLst>
                <a:gd name="T0" fmla="*/ 2147483647 w 387"/>
                <a:gd name="T1" fmla="*/ 2147483647 h 392"/>
                <a:gd name="T2" fmla="*/ 2147483647 w 387"/>
                <a:gd name="T3" fmla="*/ 0 h 392"/>
                <a:gd name="T4" fmla="*/ 2147483647 w 387"/>
                <a:gd name="T5" fmla="*/ 2147483647 h 392"/>
                <a:gd name="T6" fmla="*/ 2147483647 w 387"/>
                <a:gd name="T7" fmla="*/ 2147483647 h 392"/>
                <a:gd name="T8" fmla="*/ 2147483647 w 387"/>
                <a:gd name="T9" fmla="*/ 2147483647 h 392"/>
                <a:gd name="T10" fmla="*/ 2147483647 w 387"/>
                <a:gd name="T11" fmla="*/ 2147483647 h 392"/>
                <a:gd name="T12" fmla="*/ 2147483647 w 387"/>
                <a:gd name="T13" fmla="*/ 2147483647 h 392"/>
                <a:gd name="T14" fmla="*/ 2147483647 w 387"/>
                <a:gd name="T15" fmla="*/ 2147483647 h 392"/>
                <a:gd name="T16" fmla="*/ 2147483647 w 387"/>
                <a:gd name="T17" fmla="*/ 2147483647 h 392"/>
                <a:gd name="T18" fmla="*/ 2147483647 w 387"/>
                <a:gd name="T19" fmla="*/ 2147483647 h 392"/>
                <a:gd name="T20" fmla="*/ 0 w 387"/>
                <a:gd name="T21" fmla="*/ 2147483647 h 392"/>
                <a:gd name="T22" fmla="*/ 2147483647 w 387"/>
                <a:gd name="T23" fmla="*/ 2147483647 h 392"/>
                <a:gd name="T24" fmla="*/ 2147483647 w 387"/>
                <a:gd name="T25" fmla="*/ 2147483647 h 392"/>
                <a:gd name="T26" fmla="*/ 2147483647 w 387"/>
                <a:gd name="T27" fmla="*/ 2147483647 h 392"/>
                <a:gd name="T28" fmla="*/ 2147483647 w 387"/>
                <a:gd name="T29" fmla="*/ 2147483647 h 392"/>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387"/>
                <a:gd name="T46" fmla="*/ 0 h 392"/>
                <a:gd name="T47" fmla="*/ 387 w 387"/>
                <a:gd name="T48" fmla="*/ 392 h 392"/>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387" h="392">
                  <a:moveTo>
                    <a:pt x="3" y="193"/>
                  </a:moveTo>
                  <a:lnTo>
                    <a:pt x="371" y="0"/>
                  </a:lnTo>
                  <a:lnTo>
                    <a:pt x="383" y="22"/>
                  </a:lnTo>
                  <a:lnTo>
                    <a:pt x="381" y="14"/>
                  </a:lnTo>
                  <a:lnTo>
                    <a:pt x="376" y="6"/>
                  </a:lnTo>
                  <a:cubicBezTo>
                    <a:pt x="378" y="7"/>
                    <a:pt x="383" y="4"/>
                    <a:pt x="385" y="29"/>
                  </a:cubicBezTo>
                  <a:cubicBezTo>
                    <a:pt x="387" y="53"/>
                    <a:pt x="386" y="130"/>
                    <a:pt x="386" y="151"/>
                  </a:cubicBezTo>
                  <a:lnTo>
                    <a:pt x="385" y="157"/>
                  </a:lnTo>
                  <a:lnTo>
                    <a:pt x="383" y="161"/>
                  </a:lnTo>
                  <a:lnTo>
                    <a:pt x="379" y="164"/>
                  </a:lnTo>
                  <a:lnTo>
                    <a:pt x="0" y="392"/>
                  </a:lnTo>
                  <a:lnTo>
                    <a:pt x="3" y="388"/>
                  </a:lnTo>
                  <a:lnTo>
                    <a:pt x="4" y="203"/>
                  </a:lnTo>
                  <a:lnTo>
                    <a:pt x="5" y="199"/>
                  </a:lnTo>
                  <a:lnTo>
                    <a:pt x="3" y="193"/>
                  </a:lnTo>
                  <a:close/>
                </a:path>
              </a:pathLst>
            </a:custGeom>
            <a:gradFill rotWithShape="1">
              <a:gsLst>
                <a:gs pos="0">
                  <a:srgbClr val="CCFFCC"/>
                </a:gs>
                <a:gs pos="100000">
                  <a:srgbClr val="99FFCC"/>
                </a:gs>
              </a:gsLst>
              <a:path path="rect">
                <a:fillToRect l="50000" t="50000" r="50000" b="50000"/>
              </a:path>
            </a:gradFill>
            <a:ln w="19050" cmpd="sng">
              <a:solidFill>
                <a:srgbClr val="000000"/>
              </a:solidFill>
              <a:round/>
              <a:headEnd/>
              <a:tailEnd/>
            </a:ln>
          </xdr:spPr>
        </xdr:sp>
        <xdr:sp macro="" textlink="">
          <xdr:nvSpPr>
            <xdr:cNvPr id="12291" name="Freeform 1027"/>
            <xdr:cNvSpPr>
              <a:spLocks/>
            </xdr:cNvSpPr>
          </xdr:nvSpPr>
          <xdr:spPr bwMode="auto">
            <a:xfrm>
              <a:off x="2193420" y="809224"/>
              <a:ext cx="6659196" cy="3486150"/>
            </a:xfrm>
            <a:custGeom>
              <a:avLst/>
              <a:gdLst>
                <a:gd name="T0" fmla="*/ 2147483647 w 698"/>
                <a:gd name="T1" fmla="*/ 2147483647 h 373"/>
                <a:gd name="T2" fmla="*/ 2147483647 w 698"/>
                <a:gd name="T3" fmla="*/ 2147483647 h 373"/>
                <a:gd name="T4" fmla="*/ 2147483647 w 698"/>
                <a:gd name="T5" fmla="*/ 2147483647 h 373"/>
                <a:gd name="T6" fmla="*/ 2147483647 w 698"/>
                <a:gd name="T7" fmla="*/ 2147483647 h 373"/>
                <a:gd name="T8" fmla="*/ 0 w 698"/>
                <a:gd name="T9" fmla="*/ 2147483647 h 373"/>
                <a:gd name="T10" fmla="*/ 2147483647 w 698"/>
                <a:gd name="T11" fmla="*/ 2147483647 h 373"/>
                <a:gd name="T12" fmla="*/ 2147483647 w 698"/>
                <a:gd name="T13" fmla="*/ 0 h 373"/>
                <a:gd name="T14" fmla="*/ 2147483647 w 698"/>
                <a:gd name="T15" fmla="*/ 2147483647 h 373"/>
                <a:gd name="T16" fmla="*/ 2147483647 w 698"/>
                <a:gd name="T17" fmla="*/ 2147483647 h 373"/>
                <a:gd name="T18" fmla="*/ 2147483647 w 698"/>
                <a:gd name="T19" fmla="*/ 2147483647 h 373"/>
                <a:gd name="T20" fmla="*/ 2147483647 w 698"/>
                <a:gd name="T21" fmla="*/ 2147483647 h 373"/>
                <a:gd name="T22" fmla="*/ 2147483647 w 698"/>
                <a:gd name="T23" fmla="*/ 2147483647 h 373"/>
                <a:gd name="T24" fmla="*/ 2147483647 w 698"/>
                <a:gd name="T25" fmla="*/ 2147483647 h 373"/>
                <a:gd name="T26" fmla="*/ 2147483647 w 698"/>
                <a:gd name="T27" fmla="*/ 2147483647 h 373"/>
                <a:gd name="T28" fmla="*/ 2147483647 w 698"/>
                <a:gd name="T29" fmla="*/ 2147483647 h 373"/>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698"/>
                <a:gd name="T46" fmla="*/ 0 h 373"/>
                <a:gd name="T47" fmla="*/ 698 w 698"/>
                <a:gd name="T48" fmla="*/ 373 h 373"/>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698" h="373">
                  <a:moveTo>
                    <a:pt x="315" y="360"/>
                  </a:moveTo>
                  <a:lnTo>
                    <a:pt x="307" y="352"/>
                  </a:lnTo>
                  <a:lnTo>
                    <a:pt x="14" y="198"/>
                  </a:lnTo>
                  <a:lnTo>
                    <a:pt x="8" y="196"/>
                  </a:lnTo>
                  <a:lnTo>
                    <a:pt x="0" y="196"/>
                  </a:lnTo>
                  <a:lnTo>
                    <a:pt x="374" y="2"/>
                  </a:lnTo>
                  <a:lnTo>
                    <a:pt x="383" y="0"/>
                  </a:lnTo>
                  <a:lnTo>
                    <a:pt x="394" y="3"/>
                  </a:lnTo>
                  <a:lnTo>
                    <a:pt x="686" y="133"/>
                  </a:lnTo>
                  <a:lnTo>
                    <a:pt x="693" y="140"/>
                  </a:lnTo>
                  <a:lnTo>
                    <a:pt x="697" y="152"/>
                  </a:lnTo>
                  <a:lnTo>
                    <a:pt x="695" y="146"/>
                  </a:lnTo>
                  <a:lnTo>
                    <a:pt x="698" y="157"/>
                  </a:lnTo>
                  <a:lnTo>
                    <a:pt x="318" y="373"/>
                  </a:lnTo>
                  <a:lnTo>
                    <a:pt x="315" y="360"/>
                  </a:lnTo>
                  <a:close/>
                </a:path>
              </a:pathLst>
            </a:custGeom>
            <a:gradFill rotWithShape="1">
              <a:gsLst>
                <a:gs pos="0">
                  <a:srgbClr val="CCFFCC"/>
                </a:gs>
                <a:gs pos="50000">
                  <a:srgbClr val="69FFFF"/>
                </a:gs>
                <a:gs pos="100000">
                  <a:srgbClr val="CCFFCC"/>
                </a:gs>
              </a:gsLst>
              <a:lin ang="2700000" scaled="1"/>
            </a:gradFill>
            <a:ln w="19050" cmpd="sng">
              <a:solidFill>
                <a:srgbClr val="000000"/>
              </a:solidFill>
              <a:round/>
              <a:headEnd/>
              <a:tailEnd/>
            </a:ln>
          </xdr:spPr>
        </xdr:sp>
        <xdr:sp macro="" textlink="">
          <xdr:nvSpPr>
            <xdr:cNvPr id="12292" name="Freeform 1028"/>
            <xdr:cNvSpPr>
              <a:spLocks/>
            </xdr:cNvSpPr>
          </xdr:nvSpPr>
          <xdr:spPr bwMode="auto">
            <a:xfrm>
              <a:off x="2174631" y="2637937"/>
              <a:ext cx="3052884" cy="3108325"/>
            </a:xfrm>
            <a:custGeom>
              <a:avLst/>
              <a:gdLst>
                <a:gd name="T0" fmla="*/ 2147483647 w 320"/>
                <a:gd name="T1" fmla="*/ 2147483647 h 333"/>
                <a:gd name="T2" fmla="*/ 2147483647 w 320"/>
                <a:gd name="T3" fmla="*/ 2147483647 h 333"/>
                <a:gd name="T4" fmla="*/ 2147483647 w 320"/>
                <a:gd name="T5" fmla="*/ 2147483647 h 333"/>
                <a:gd name="T6" fmla="*/ 2147483647 w 320"/>
                <a:gd name="T7" fmla="*/ 2147483647 h 333"/>
                <a:gd name="T8" fmla="*/ 2147483647 w 320"/>
                <a:gd name="T9" fmla="*/ 2147483647 h 333"/>
                <a:gd name="T10" fmla="*/ 2147483647 w 320"/>
                <a:gd name="T11" fmla="*/ 2147483647 h 333"/>
                <a:gd name="T12" fmla="*/ 2147483647 w 320"/>
                <a:gd name="T13" fmla="*/ 2147483647 h 333"/>
                <a:gd name="T14" fmla="*/ 2147483647 w 320"/>
                <a:gd name="T15" fmla="*/ 2147483647 h 333"/>
                <a:gd name="T16" fmla="*/ 0 w 320"/>
                <a:gd name="T17" fmla="*/ 2147483647 h 333"/>
                <a:gd name="T18" fmla="*/ 0 w 320"/>
                <a:gd name="T19" fmla="*/ 2147483647 h 333"/>
                <a:gd name="T20" fmla="*/ 0 w 320"/>
                <a:gd name="T21" fmla="*/ 2147483647 h 333"/>
                <a:gd name="T22" fmla="*/ 2147483647 w 320"/>
                <a:gd name="T23" fmla="*/ 2147483647 h 333"/>
                <a:gd name="T24" fmla="*/ 2147483647 w 320"/>
                <a:gd name="T25" fmla="*/ 0 h 333"/>
                <a:gd name="T26" fmla="*/ 2147483647 w 320"/>
                <a:gd name="T27" fmla="*/ 2147483647 h 333"/>
                <a:gd name="T28" fmla="*/ 2147483647 w 320"/>
                <a:gd name="T29" fmla="*/ 2147483647 h 333"/>
                <a:gd name="T30" fmla="*/ 2147483647 w 320"/>
                <a:gd name="T31" fmla="*/ 2147483647 h 333"/>
                <a:gd name="T32" fmla="*/ 2147483647 w 320"/>
                <a:gd name="T33" fmla="*/ 2147483647 h 333"/>
                <a:gd name="T34" fmla="*/ 2147483647 w 320"/>
                <a:gd name="T35" fmla="*/ 2147483647 h 333"/>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w 320"/>
                <a:gd name="T55" fmla="*/ 0 h 333"/>
                <a:gd name="T56" fmla="*/ 320 w 320"/>
                <a:gd name="T57" fmla="*/ 333 h 333"/>
              </a:gdLst>
              <a:ahLst/>
              <a:cxnLst>
                <a:cxn ang="T36">
                  <a:pos x="T0" y="T1"/>
                </a:cxn>
                <a:cxn ang="T37">
                  <a:pos x="T2" y="T3"/>
                </a:cxn>
                <a:cxn ang="T38">
                  <a:pos x="T4" y="T5"/>
                </a:cxn>
                <a:cxn ang="T39">
                  <a:pos x="T6" y="T7"/>
                </a:cxn>
                <a:cxn ang="T40">
                  <a:pos x="T8" y="T9"/>
                </a:cxn>
                <a:cxn ang="T41">
                  <a:pos x="T10" y="T11"/>
                </a:cxn>
                <a:cxn ang="T42">
                  <a:pos x="T12" y="T13"/>
                </a:cxn>
                <a:cxn ang="T43">
                  <a:pos x="T14" y="T15"/>
                </a:cxn>
                <a:cxn ang="T44">
                  <a:pos x="T16" y="T17"/>
                </a:cxn>
                <a:cxn ang="T45">
                  <a:pos x="T18" y="T19"/>
                </a:cxn>
                <a:cxn ang="T46">
                  <a:pos x="T20" y="T21"/>
                </a:cxn>
                <a:cxn ang="T47">
                  <a:pos x="T22" y="T23"/>
                </a:cxn>
                <a:cxn ang="T48">
                  <a:pos x="T24" y="T25"/>
                </a:cxn>
                <a:cxn ang="T49">
                  <a:pos x="T26" y="T27"/>
                </a:cxn>
                <a:cxn ang="T50">
                  <a:pos x="T28" y="T29"/>
                </a:cxn>
                <a:cxn ang="T51">
                  <a:pos x="T30" y="T31"/>
                </a:cxn>
                <a:cxn ang="T52">
                  <a:pos x="T32" y="T33"/>
                </a:cxn>
                <a:cxn ang="T53">
                  <a:pos x="T34" y="T35"/>
                </a:cxn>
              </a:cxnLst>
              <a:rect l="T54" t="T55" r="T56" b="T57"/>
              <a:pathLst>
                <a:path w="320" h="333">
                  <a:moveTo>
                    <a:pt x="320" y="181"/>
                  </a:moveTo>
                  <a:lnTo>
                    <a:pt x="320" y="323"/>
                  </a:lnTo>
                  <a:lnTo>
                    <a:pt x="314" y="330"/>
                  </a:lnTo>
                  <a:lnTo>
                    <a:pt x="308" y="333"/>
                  </a:lnTo>
                  <a:lnTo>
                    <a:pt x="299" y="329"/>
                  </a:lnTo>
                  <a:lnTo>
                    <a:pt x="9" y="163"/>
                  </a:lnTo>
                  <a:lnTo>
                    <a:pt x="4" y="158"/>
                  </a:lnTo>
                  <a:lnTo>
                    <a:pt x="1" y="151"/>
                  </a:lnTo>
                  <a:lnTo>
                    <a:pt x="0" y="145"/>
                  </a:lnTo>
                  <a:lnTo>
                    <a:pt x="0" y="12"/>
                  </a:lnTo>
                  <a:lnTo>
                    <a:pt x="0" y="6"/>
                  </a:lnTo>
                  <a:lnTo>
                    <a:pt x="3" y="1"/>
                  </a:lnTo>
                  <a:lnTo>
                    <a:pt x="9" y="0"/>
                  </a:lnTo>
                  <a:lnTo>
                    <a:pt x="16" y="1"/>
                  </a:lnTo>
                  <a:lnTo>
                    <a:pt x="308" y="155"/>
                  </a:lnTo>
                  <a:lnTo>
                    <a:pt x="315" y="163"/>
                  </a:lnTo>
                  <a:lnTo>
                    <a:pt x="319" y="171"/>
                  </a:lnTo>
                  <a:lnTo>
                    <a:pt x="320" y="181"/>
                  </a:lnTo>
                  <a:close/>
                </a:path>
              </a:pathLst>
            </a:custGeom>
            <a:gradFill rotWithShape="1">
              <a:gsLst>
                <a:gs pos="0">
                  <a:srgbClr val="69FFFF"/>
                </a:gs>
                <a:gs pos="100000">
                  <a:srgbClr val="CCFFCC"/>
                </a:gs>
              </a:gsLst>
              <a:lin ang="18900000" scaled="1"/>
            </a:gradFill>
            <a:ln w="19050" cmpd="sng">
              <a:solidFill>
                <a:srgbClr val="000000"/>
              </a:solidFill>
              <a:round/>
              <a:headEnd/>
              <a:tailEnd/>
            </a:ln>
          </xdr:spPr>
        </xdr:sp>
        <xdr:sp macro="" textlink="">
          <xdr:nvSpPr>
            <xdr:cNvPr id="12293" name="Freeform 1029"/>
            <xdr:cNvSpPr>
              <a:spLocks/>
            </xdr:cNvSpPr>
          </xdr:nvSpPr>
          <xdr:spPr bwMode="auto">
            <a:xfrm>
              <a:off x="5141790" y="2069612"/>
              <a:ext cx="3711087" cy="2257425"/>
            </a:xfrm>
            <a:custGeom>
              <a:avLst/>
              <a:gdLst>
                <a:gd name="T0" fmla="*/ 2147483647 w 389"/>
                <a:gd name="T1" fmla="*/ 2147483647 h 242"/>
                <a:gd name="T2" fmla="*/ 2147483647 w 389"/>
                <a:gd name="T3" fmla="*/ 2147483647 h 242"/>
                <a:gd name="T4" fmla="*/ 0 w 389"/>
                <a:gd name="T5" fmla="*/ 2147483647 h 242"/>
                <a:gd name="T6" fmla="*/ 2147483647 w 389"/>
                <a:gd name="T7" fmla="*/ 0 h 242"/>
                <a:gd name="T8" fmla="*/ 2147483647 w 389"/>
                <a:gd name="T9" fmla="*/ 2147483647 h 242"/>
                <a:gd name="T10" fmla="*/ 2147483647 w 389"/>
                <a:gd name="T11" fmla="*/ 2147483647 h 242"/>
                <a:gd name="T12" fmla="*/ 2147483647 w 389"/>
                <a:gd name="T13" fmla="*/ 2147483647 h 242"/>
                <a:gd name="T14" fmla="*/ 0 60000 65536"/>
                <a:gd name="T15" fmla="*/ 0 60000 65536"/>
                <a:gd name="T16" fmla="*/ 0 60000 65536"/>
                <a:gd name="T17" fmla="*/ 0 60000 65536"/>
                <a:gd name="T18" fmla="*/ 0 60000 65536"/>
                <a:gd name="T19" fmla="*/ 0 60000 65536"/>
                <a:gd name="T20" fmla="*/ 0 60000 65536"/>
                <a:gd name="T21" fmla="*/ 0 w 389"/>
                <a:gd name="T22" fmla="*/ 0 h 242"/>
                <a:gd name="T23" fmla="*/ 389 w 389"/>
                <a:gd name="T24" fmla="*/ 242 h 242"/>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389" h="242">
                  <a:moveTo>
                    <a:pt x="11" y="242"/>
                  </a:moveTo>
                  <a:lnTo>
                    <a:pt x="8" y="225"/>
                  </a:lnTo>
                  <a:lnTo>
                    <a:pt x="0" y="216"/>
                  </a:lnTo>
                  <a:lnTo>
                    <a:pt x="378" y="0"/>
                  </a:lnTo>
                  <a:lnTo>
                    <a:pt x="387" y="11"/>
                  </a:lnTo>
                  <a:lnTo>
                    <a:pt x="389" y="25"/>
                  </a:lnTo>
                  <a:lnTo>
                    <a:pt x="11" y="242"/>
                  </a:lnTo>
                  <a:close/>
                </a:path>
              </a:pathLst>
            </a:custGeom>
            <a:gradFill rotWithShape="1">
              <a:gsLst>
                <a:gs pos="0">
                  <a:srgbClr val="DDDDDD"/>
                </a:gs>
                <a:gs pos="100000">
                  <a:srgbClr val="CCFFCC"/>
                </a:gs>
              </a:gsLst>
              <a:path path="rect">
                <a:fillToRect l="50000" t="50000" r="50000" b="50000"/>
              </a:path>
            </a:gradFill>
            <a:ln w="9525">
              <a:noFill/>
              <a:round/>
              <a:headEnd/>
              <a:tailEnd/>
            </a:ln>
          </xdr:spPr>
        </xdr:sp>
        <xdr:sp macro="" textlink="">
          <xdr:nvSpPr>
            <xdr:cNvPr id="12294" name="AutoShape 1030"/>
            <xdr:cNvSpPr>
              <a:spLocks noChangeArrowheads="1"/>
            </xdr:cNvSpPr>
          </xdr:nvSpPr>
          <xdr:spPr bwMode="auto">
            <a:xfrm>
              <a:off x="514350" y="6390787"/>
              <a:ext cx="3921613" cy="1428750"/>
            </a:xfrm>
            <a:prstGeom prst="roundRect">
              <a:avLst>
                <a:gd name="adj" fmla="val 11111"/>
              </a:avLst>
            </a:prstGeom>
            <a:solidFill>
              <a:srgbClr val="999933"/>
            </a:solidFill>
            <a:ln w="19050">
              <a:solidFill>
                <a:srgbClr val="000000"/>
              </a:solidFill>
              <a:round/>
              <a:headEnd/>
              <a:tailEnd/>
            </a:ln>
          </xdr:spPr>
        </xdr:sp>
        <xdr:sp macro="" textlink="">
          <xdr:nvSpPr>
            <xdr:cNvPr id="12295" name="AutoShape 1031"/>
            <xdr:cNvSpPr>
              <a:spLocks noChangeArrowheads="1"/>
            </xdr:cNvSpPr>
          </xdr:nvSpPr>
          <xdr:spPr bwMode="auto">
            <a:xfrm>
              <a:off x="590550" y="6466987"/>
              <a:ext cx="3769213" cy="1270000"/>
            </a:xfrm>
            <a:prstGeom prst="roundRect">
              <a:avLst>
                <a:gd name="adj" fmla="val 6616"/>
              </a:avLst>
            </a:prstGeom>
            <a:solidFill>
              <a:srgbClr val="FFFFFF"/>
            </a:solidFill>
            <a:ln w="19050">
              <a:solidFill>
                <a:srgbClr val="000000"/>
              </a:solidFill>
              <a:round/>
              <a:headEnd/>
              <a:tailEnd/>
            </a:ln>
          </xdr:spPr>
        </xdr:sp>
        <xdr:sp macro="" textlink="">
          <xdr:nvSpPr>
            <xdr:cNvPr id="12296" name="Rectangle 1032" descr="10%"/>
            <xdr:cNvSpPr>
              <a:spLocks noChangeArrowheads="1"/>
            </xdr:cNvSpPr>
          </xdr:nvSpPr>
          <xdr:spPr bwMode="auto">
            <a:xfrm>
              <a:off x="2374656" y="6540012"/>
              <a:ext cx="191477" cy="1101725"/>
            </a:xfrm>
            <a:prstGeom prst="rect">
              <a:avLst/>
            </a:prstGeom>
            <a:pattFill prst="pct10">
              <a:fgClr>
                <a:srgbClr val="000000"/>
              </a:fgClr>
              <a:bgClr>
                <a:srgbClr val="FFFF66"/>
              </a:bgClr>
            </a:pattFill>
            <a:ln w="9525">
              <a:solidFill>
                <a:srgbClr val="000000"/>
              </a:solidFill>
              <a:miter lim="800000"/>
              <a:headEnd/>
              <a:tailEnd/>
            </a:ln>
          </xdr:spPr>
        </xdr:sp>
        <xdr:sp macro="" textlink="">
          <xdr:nvSpPr>
            <xdr:cNvPr id="12297" name="Rectangle 1033"/>
            <xdr:cNvSpPr>
              <a:spLocks noChangeArrowheads="1"/>
            </xdr:cNvSpPr>
          </xdr:nvSpPr>
          <xdr:spPr bwMode="auto">
            <a:xfrm>
              <a:off x="2547083" y="6540012"/>
              <a:ext cx="1803155" cy="1101725"/>
            </a:xfrm>
            <a:prstGeom prst="rect">
              <a:avLst/>
            </a:prstGeom>
            <a:solidFill>
              <a:srgbClr val="C0C0C0"/>
            </a:solidFill>
            <a:ln w="9525">
              <a:solidFill>
                <a:srgbClr val="000000"/>
              </a:solidFill>
              <a:miter lim="800000"/>
              <a:headEnd/>
              <a:tailEnd/>
            </a:ln>
          </xdr:spPr>
        </xdr:sp>
        <xdr:sp macro="" textlink="">
          <xdr:nvSpPr>
            <xdr:cNvPr id="12298" name="Rectangle 1034"/>
            <xdr:cNvSpPr>
              <a:spLocks noChangeArrowheads="1"/>
            </xdr:cNvSpPr>
          </xdr:nvSpPr>
          <xdr:spPr bwMode="auto">
            <a:xfrm>
              <a:off x="590550" y="6540012"/>
              <a:ext cx="1803156" cy="1101725"/>
            </a:xfrm>
            <a:prstGeom prst="rect">
              <a:avLst/>
            </a:prstGeom>
            <a:solidFill>
              <a:srgbClr val="C0C0C0"/>
            </a:solidFill>
            <a:ln w="9525">
              <a:solidFill>
                <a:srgbClr val="000000"/>
              </a:solidFill>
              <a:miter lim="800000"/>
              <a:headEnd/>
              <a:tailEnd/>
            </a:ln>
          </xdr:spPr>
        </xdr:sp>
        <xdr:sp macro="" textlink="">
          <xdr:nvSpPr>
            <xdr:cNvPr id="12299" name="AutoShape 1035"/>
            <xdr:cNvSpPr>
              <a:spLocks noChangeArrowheads="1"/>
            </xdr:cNvSpPr>
          </xdr:nvSpPr>
          <xdr:spPr bwMode="auto">
            <a:xfrm>
              <a:off x="5217990" y="6371737"/>
              <a:ext cx="4378814" cy="1428750"/>
            </a:xfrm>
            <a:prstGeom prst="roundRect">
              <a:avLst>
                <a:gd name="adj" fmla="val 11111"/>
              </a:avLst>
            </a:prstGeom>
            <a:solidFill>
              <a:srgbClr val="999933"/>
            </a:solidFill>
            <a:ln w="19050">
              <a:solidFill>
                <a:srgbClr val="000000"/>
              </a:solidFill>
              <a:round/>
              <a:headEnd/>
              <a:tailEnd/>
            </a:ln>
          </xdr:spPr>
        </xdr:sp>
        <xdr:sp macro="" textlink="">
          <xdr:nvSpPr>
            <xdr:cNvPr id="12300" name="AutoShape 1036"/>
            <xdr:cNvSpPr>
              <a:spLocks noChangeArrowheads="1"/>
            </xdr:cNvSpPr>
          </xdr:nvSpPr>
          <xdr:spPr bwMode="auto">
            <a:xfrm>
              <a:off x="5313240" y="6457462"/>
              <a:ext cx="4207364" cy="1270000"/>
            </a:xfrm>
            <a:prstGeom prst="roundRect">
              <a:avLst>
                <a:gd name="adj" fmla="val 6616"/>
              </a:avLst>
            </a:prstGeom>
            <a:solidFill>
              <a:srgbClr val="FFFFFF"/>
            </a:solidFill>
            <a:ln w="19050">
              <a:solidFill>
                <a:srgbClr val="000000"/>
              </a:solidFill>
              <a:round/>
              <a:headEnd/>
              <a:tailEnd/>
            </a:ln>
          </xdr:spPr>
        </xdr:sp>
        <xdr:sp macro="" textlink="">
          <xdr:nvSpPr>
            <xdr:cNvPr id="12301" name="AutoShape 1037"/>
            <xdr:cNvSpPr>
              <a:spLocks noChangeArrowheads="1"/>
            </xdr:cNvSpPr>
          </xdr:nvSpPr>
          <xdr:spPr bwMode="auto">
            <a:xfrm>
              <a:off x="8147050" y="6540012"/>
              <a:ext cx="1230679" cy="1076325"/>
            </a:xfrm>
            <a:prstGeom prst="roundRect">
              <a:avLst>
                <a:gd name="adj" fmla="val 6778"/>
              </a:avLst>
            </a:prstGeom>
            <a:solidFill>
              <a:srgbClr val="C0C0C0"/>
            </a:solidFill>
            <a:ln w="9525">
              <a:solidFill>
                <a:srgbClr val="000000"/>
              </a:solidFill>
              <a:round/>
              <a:headEnd/>
              <a:tailEnd/>
            </a:ln>
          </xdr:spPr>
        </xdr:sp>
        <xdr:sp macro="" textlink="">
          <xdr:nvSpPr>
            <xdr:cNvPr id="12302" name="Rectangle 1038" descr="Dark upward diagonal"/>
            <xdr:cNvSpPr>
              <a:spLocks noChangeArrowheads="1"/>
            </xdr:cNvSpPr>
          </xdr:nvSpPr>
          <xdr:spPr bwMode="auto">
            <a:xfrm>
              <a:off x="9377729" y="6568587"/>
              <a:ext cx="38100" cy="1057275"/>
            </a:xfrm>
            <a:prstGeom prst="rect">
              <a:avLst/>
            </a:prstGeom>
            <a:pattFill prst="dkUpDiag">
              <a:fgClr>
                <a:srgbClr val="000000"/>
              </a:fgClr>
              <a:bgClr>
                <a:srgbClr val="FFFFFF"/>
              </a:bgClr>
            </a:pattFill>
            <a:ln w="9525">
              <a:solidFill>
                <a:srgbClr val="000000"/>
              </a:solidFill>
              <a:miter lim="800000"/>
              <a:headEnd/>
              <a:tailEnd/>
            </a:ln>
          </xdr:spPr>
        </xdr:sp>
        <xdr:sp macro="" textlink="">
          <xdr:nvSpPr>
            <xdr:cNvPr id="12303" name="Rectangle 1039" descr="Dark upward diagonal"/>
            <xdr:cNvSpPr>
              <a:spLocks noChangeArrowheads="1"/>
            </xdr:cNvSpPr>
          </xdr:nvSpPr>
          <xdr:spPr bwMode="auto">
            <a:xfrm>
              <a:off x="5647592" y="6568587"/>
              <a:ext cx="38100" cy="1057275"/>
            </a:xfrm>
            <a:prstGeom prst="rect">
              <a:avLst/>
            </a:prstGeom>
            <a:pattFill prst="dkUpDiag">
              <a:fgClr>
                <a:srgbClr val="000000"/>
              </a:fgClr>
              <a:bgClr>
                <a:srgbClr val="FFFFFF"/>
              </a:bgClr>
            </a:pattFill>
            <a:ln w="9525">
              <a:solidFill>
                <a:srgbClr val="000000"/>
              </a:solidFill>
              <a:miter lim="800000"/>
              <a:headEnd/>
              <a:tailEnd/>
            </a:ln>
          </xdr:spPr>
        </xdr:sp>
        <xdr:sp macro="" textlink="">
          <xdr:nvSpPr>
            <xdr:cNvPr id="12304" name="AutoShape 1040"/>
            <xdr:cNvSpPr>
              <a:spLocks noChangeArrowheads="1"/>
            </xdr:cNvSpPr>
          </xdr:nvSpPr>
          <xdr:spPr bwMode="auto">
            <a:xfrm>
              <a:off x="5685692" y="6540012"/>
              <a:ext cx="1230679" cy="1076325"/>
            </a:xfrm>
            <a:prstGeom prst="roundRect">
              <a:avLst>
                <a:gd name="adj" fmla="val 6778"/>
              </a:avLst>
            </a:prstGeom>
            <a:solidFill>
              <a:srgbClr val="C0C0C0"/>
            </a:solidFill>
            <a:ln w="9525">
              <a:solidFill>
                <a:srgbClr val="000000"/>
              </a:solidFill>
              <a:round/>
              <a:headEnd/>
              <a:tailEnd/>
            </a:ln>
          </xdr:spPr>
        </xdr:sp>
        <xdr:sp macro="" textlink="">
          <xdr:nvSpPr>
            <xdr:cNvPr id="12305" name="AutoShape 1041"/>
            <xdr:cNvSpPr>
              <a:spLocks noChangeArrowheads="1"/>
            </xdr:cNvSpPr>
          </xdr:nvSpPr>
          <xdr:spPr bwMode="auto">
            <a:xfrm>
              <a:off x="6916371" y="6540012"/>
              <a:ext cx="1230679" cy="1076325"/>
            </a:xfrm>
            <a:prstGeom prst="roundRect">
              <a:avLst>
                <a:gd name="adj" fmla="val 6778"/>
              </a:avLst>
            </a:prstGeom>
            <a:solidFill>
              <a:srgbClr val="C0C0C0"/>
            </a:solidFill>
            <a:ln w="9525">
              <a:solidFill>
                <a:srgbClr val="000000"/>
              </a:solidFill>
              <a:round/>
              <a:headEnd/>
              <a:tailEnd/>
            </a:ln>
          </xdr:spPr>
        </xdr:sp>
        <xdr:sp macro="" textlink="">
          <xdr:nvSpPr>
            <xdr:cNvPr id="12306" name="Rectangle 1042"/>
            <xdr:cNvSpPr>
              <a:spLocks noChangeArrowheads="1"/>
            </xdr:cNvSpPr>
          </xdr:nvSpPr>
          <xdr:spPr bwMode="auto">
            <a:xfrm>
              <a:off x="5552342" y="6371737"/>
              <a:ext cx="47625" cy="76200"/>
            </a:xfrm>
            <a:prstGeom prst="rect">
              <a:avLst/>
            </a:prstGeom>
            <a:solidFill>
              <a:srgbClr val="000000"/>
            </a:solidFill>
            <a:ln w="9525">
              <a:solidFill>
                <a:srgbClr val="000000"/>
              </a:solidFill>
              <a:miter lim="800000"/>
              <a:headEnd/>
              <a:tailEnd/>
            </a:ln>
          </xdr:spPr>
        </xdr:sp>
        <xdr:sp macro="" textlink="">
          <xdr:nvSpPr>
            <xdr:cNvPr id="12307" name="Rectangle 1043"/>
            <xdr:cNvSpPr>
              <a:spLocks noChangeArrowheads="1"/>
            </xdr:cNvSpPr>
          </xdr:nvSpPr>
          <xdr:spPr bwMode="auto">
            <a:xfrm>
              <a:off x="5552342" y="6466987"/>
              <a:ext cx="76200" cy="1250950"/>
            </a:xfrm>
            <a:prstGeom prst="rect">
              <a:avLst/>
            </a:prstGeom>
            <a:solidFill>
              <a:srgbClr val="999933"/>
            </a:solidFill>
            <a:ln w="9525">
              <a:solidFill>
                <a:srgbClr val="000000"/>
              </a:solidFill>
              <a:miter lim="800000"/>
              <a:headEnd/>
              <a:tailEnd/>
            </a:ln>
          </xdr:spPr>
        </xdr:sp>
        <xdr:sp macro="" textlink="">
          <xdr:nvSpPr>
            <xdr:cNvPr id="12308" name="Rectangle 1044"/>
            <xdr:cNvSpPr>
              <a:spLocks noChangeArrowheads="1"/>
            </xdr:cNvSpPr>
          </xdr:nvSpPr>
          <xdr:spPr bwMode="auto">
            <a:xfrm>
              <a:off x="5179890" y="6232037"/>
              <a:ext cx="353402" cy="1644650"/>
            </a:xfrm>
            <a:prstGeom prst="rect">
              <a:avLst/>
            </a:prstGeom>
            <a:solidFill>
              <a:srgbClr val="FFFFFF"/>
            </a:solidFill>
            <a:ln w="9525">
              <a:noFill/>
              <a:miter lim="800000"/>
              <a:headEnd/>
              <a:tailEnd/>
            </a:ln>
          </xdr:spPr>
        </xdr:sp>
        <xdr:sp macro="" textlink="">
          <xdr:nvSpPr>
            <xdr:cNvPr id="12309" name="Rectangle 1045" descr="Dark downward diagonal"/>
            <xdr:cNvSpPr>
              <a:spLocks noChangeArrowheads="1"/>
            </xdr:cNvSpPr>
          </xdr:nvSpPr>
          <xdr:spPr bwMode="auto">
            <a:xfrm>
              <a:off x="5523767" y="6362212"/>
              <a:ext cx="28575" cy="1447800"/>
            </a:xfrm>
            <a:prstGeom prst="rect">
              <a:avLst/>
            </a:prstGeom>
            <a:pattFill prst="dkDnDiag">
              <a:fgClr>
                <a:srgbClr val="000000"/>
              </a:fgClr>
              <a:bgClr>
                <a:srgbClr val="6699FF"/>
              </a:bgClr>
            </a:pattFill>
            <a:ln w="9525">
              <a:solidFill>
                <a:srgbClr val="000000"/>
              </a:solidFill>
              <a:miter lim="800000"/>
              <a:headEnd/>
              <a:tailEnd/>
            </a:ln>
          </xdr:spPr>
        </xdr:sp>
        <xdr:sp macro="" textlink="">
          <xdr:nvSpPr>
            <xdr:cNvPr id="12310" name="Rectangle 1046"/>
            <xdr:cNvSpPr>
              <a:spLocks noChangeArrowheads="1"/>
            </xdr:cNvSpPr>
          </xdr:nvSpPr>
          <xdr:spPr bwMode="auto">
            <a:xfrm>
              <a:off x="5561867" y="7727462"/>
              <a:ext cx="47625" cy="73025"/>
            </a:xfrm>
            <a:prstGeom prst="rect">
              <a:avLst/>
            </a:prstGeom>
            <a:solidFill>
              <a:srgbClr val="000000"/>
            </a:solidFill>
            <a:ln w="9525">
              <a:solidFill>
                <a:srgbClr val="000000"/>
              </a:solidFill>
              <a:miter lim="800000"/>
              <a:headEnd/>
              <a:tailEnd/>
            </a:ln>
          </xdr:spPr>
        </xdr:sp>
        <xdr:grpSp>
          <xdr:nvGrpSpPr>
            <xdr:cNvPr id="12311" name="Group 1047"/>
            <xdr:cNvGrpSpPr>
              <a:grpSpLocks/>
            </xdr:cNvGrpSpPr>
          </xdr:nvGrpSpPr>
          <xdr:grpSpPr bwMode="auto">
            <a:xfrm>
              <a:off x="5465640" y="6362212"/>
              <a:ext cx="143852" cy="104775"/>
              <a:chOff x="719" y="713"/>
              <a:chExt cx="15" cy="11"/>
            </a:xfrm>
          </xdr:grpSpPr>
          <xdr:grpSp>
            <xdr:nvGrpSpPr>
              <xdr:cNvPr id="12800" name="Group 1048"/>
              <xdr:cNvGrpSpPr>
                <a:grpSpLocks/>
              </xdr:cNvGrpSpPr>
            </xdr:nvGrpSpPr>
            <xdr:grpSpPr bwMode="auto">
              <a:xfrm>
                <a:off x="719" y="713"/>
                <a:ext cx="5" cy="11"/>
                <a:chOff x="719" y="713"/>
                <a:chExt cx="5" cy="10"/>
              </a:xfrm>
            </xdr:grpSpPr>
            <xdr:sp macro="" textlink="">
              <xdr:nvSpPr>
                <xdr:cNvPr id="12802" name="Rectangle 1049"/>
                <xdr:cNvSpPr>
                  <a:spLocks noChangeArrowheads="1"/>
                </xdr:cNvSpPr>
              </xdr:nvSpPr>
              <xdr:spPr bwMode="auto">
                <a:xfrm>
                  <a:off x="719" y="713"/>
                  <a:ext cx="5" cy="10"/>
                </a:xfrm>
                <a:prstGeom prst="rect">
                  <a:avLst/>
                </a:prstGeom>
                <a:solidFill>
                  <a:srgbClr val="FFFFFF"/>
                </a:solidFill>
                <a:ln w="9525">
                  <a:solidFill>
                    <a:srgbClr val="000000"/>
                  </a:solidFill>
                  <a:miter lim="800000"/>
                  <a:headEnd/>
                  <a:tailEnd/>
                </a:ln>
              </xdr:spPr>
            </xdr:sp>
            <xdr:sp macro="" textlink="">
              <xdr:nvSpPr>
                <xdr:cNvPr id="12803" name="Line 1050"/>
                <xdr:cNvSpPr>
                  <a:spLocks noChangeShapeType="1"/>
                </xdr:cNvSpPr>
              </xdr:nvSpPr>
              <xdr:spPr bwMode="auto">
                <a:xfrm>
                  <a:off x="719" y="716"/>
                  <a:ext cx="5" cy="0"/>
                </a:xfrm>
                <a:prstGeom prst="line">
                  <a:avLst/>
                </a:prstGeom>
                <a:noFill/>
                <a:ln w="9525">
                  <a:solidFill>
                    <a:srgbClr val="000000"/>
                  </a:solidFill>
                  <a:round/>
                  <a:headEnd/>
                  <a:tailEnd/>
                </a:ln>
              </xdr:spPr>
            </xdr:sp>
            <xdr:sp macro="" textlink="">
              <xdr:nvSpPr>
                <xdr:cNvPr id="12804" name="Line 1051"/>
                <xdr:cNvSpPr>
                  <a:spLocks noChangeShapeType="1"/>
                </xdr:cNvSpPr>
              </xdr:nvSpPr>
              <xdr:spPr bwMode="auto">
                <a:xfrm>
                  <a:off x="719" y="721"/>
                  <a:ext cx="5" cy="0"/>
                </a:xfrm>
                <a:prstGeom prst="line">
                  <a:avLst/>
                </a:prstGeom>
                <a:noFill/>
                <a:ln w="9525">
                  <a:solidFill>
                    <a:srgbClr val="000000"/>
                  </a:solidFill>
                  <a:round/>
                  <a:headEnd/>
                  <a:tailEnd/>
                </a:ln>
              </xdr:spPr>
            </xdr:sp>
          </xdr:grpSp>
          <xdr:sp macro="" textlink="">
            <xdr:nvSpPr>
              <xdr:cNvPr id="12801" name="Rectangle 1052" descr="Dark upward diagonal"/>
              <xdr:cNvSpPr>
                <a:spLocks noChangeArrowheads="1"/>
              </xdr:cNvSpPr>
            </xdr:nvSpPr>
            <xdr:spPr bwMode="auto">
              <a:xfrm flipV="1">
                <a:off x="724" y="717"/>
                <a:ext cx="10" cy="3"/>
              </a:xfrm>
              <a:prstGeom prst="rect">
                <a:avLst/>
              </a:prstGeom>
              <a:pattFill prst="dkUpDiag">
                <a:fgClr>
                  <a:srgbClr val="000000"/>
                </a:fgClr>
                <a:bgClr>
                  <a:srgbClr val="FFFFFF"/>
                </a:bgClr>
              </a:pattFill>
              <a:ln w="9525">
                <a:solidFill>
                  <a:srgbClr val="000000"/>
                </a:solidFill>
                <a:miter lim="800000"/>
                <a:headEnd/>
                <a:tailEnd/>
              </a:ln>
            </xdr:spPr>
          </xdr:sp>
        </xdr:grpSp>
        <xdr:grpSp>
          <xdr:nvGrpSpPr>
            <xdr:cNvPr id="12312" name="Group 1053"/>
            <xdr:cNvGrpSpPr>
              <a:grpSpLocks/>
            </xdr:cNvGrpSpPr>
          </xdr:nvGrpSpPr>
          <xdr:grpSpPr bwMode="auto">
            <a:xfrm>
              <a:off x="5475165" y="7708412"/>
              <a:ext cx="143852" cy="101600"/>
              <a:chOff x="719" y="713"/>
              <a:chExt cx="15" cy="11"/>
            </a:xfrm>
          </xdr:grpSpPr>
          <xdr:grpSp>
            <xdr:nvGrpSpPr>
              <xdr:cNvPr id="12795" name="Group 1054"/>
              <xdr:cNvGrpSpPr>
                <a:grpSpLocks/>
              </xdr:cNvGrpSpPr>
            </xdr:nvGrpSpPr>
            <xdr:grpSpPr bwMode="auto">
              <a:xfrm>
                <a:off x="719" y="713"/>
                <a:ext cx="5" cy="11"/>
                <a:chOff x="719" y="713"/>
                <a:chExt cx="5" cy="10"/>
              </a:xfrm>
            </xdr:grpSpPr>
            <xdr:sp macro="" textlink="">
              <xdr:nvSpPr>
                <xdr:cNvPr id="12797" name="Rectangle 1055"/>
                <xdr:cNvSpPr>
                  <a:spLocks noChangeArrowheads="1"/>
                </xdr:cNvSpPr>
              </xdr:nvSpPr>
              <xdr:spPr bwMode="auto">
                <a:xfrm>
                  <a:off x="719" y="713"/>
                  <a:ext cx="5" cy="10"/>
                </a:xfrm>
                <a:prstGeom prst="rect">
                  <a:avLst/>
                </a:prstGeom>
                <a:solidFill>
                  <a:srgbClr val="FFFFFF"/>
                </a:solidFill>
                <a:ln w="9525">
                  <a:solidFill>
                    <a:srgbClr val="000000"/>
                  </a:solidFill>
                  <a:miter lim="800000"/>
                  <a:headEnd/>
                  <a:tailEnd/>
                </a:ln>
              </xdr:spPr>
            </xdr:sp>
            <xdr:sp macro="" textlink="">
              <xdr:nvSpPr>
                <xdr:cNvPr id="12798" name="Line 1056"/>
                <xdr:cNvSpPr>
                  <a:spLocks noChangeShapeType="1"/>
                </xdr:cNvSpPr>
              </xdr:nvSpPr>
              <xdr:spPr bwMode="auto">
                <a:xfrm>
                  <a:off x="719" y="716"/>
                  <a:ext cx="5" cy="0"/>
                </a:xfrm>
                <a:prstGeom prst="line">
                  <a:avLst/>
                </a:prstGeom>
                <a:noFill/>
                <a:ln w="9525">
                  <a:solidFill>
                    <a:srgbClr val="000000"/>
                  </a:solidFill>
                  <a:round/>
                  <a:headEnd/>
                  <a:tailEnd/>
                </a:ln>
              </xdr:spPr>
            </xdr:sp>
            <xdr:sp macro="" textlink="">
              <xdr:nvSpPr>
                <xdr:cNvPr id="12799" name="Line 1057"/>
                <xdr:cNvSpPr>
                  <a:spLocks noChangeShapeType="1"/>
                </xdr:cNvSpPr>
              </xdr:nvSpPr>
              <xdr:spPr bwMode="auto">
                <a:xfrm>
                  <a:off x="719" y="721"/>
                  <a:ext cx="5" cy="0"/>
                </a:xfrm>
                <a:prstGeom prst="line">
                  <a:avLst/>
                </a:prstGeom>
                <a:noFill/>
                <a:ln w="9525">
                  <a:solidFill>
                    <a:srgbClr val="000000"/>
                  </a:solidFill>
                  <a:round/>
                  <a:headEnd/>
                  <a:tailEnd/>
                </a:ln>
              </xdr:spPr>
            </xdr:sp>
          </xdr:grpSp>
          <xdr:sp macro="" textlink="">
            <xdr:nvSpPr>
              <xdr:cNvPr id="12796" name="Rectangle 1058" descr="Dark upward diagonal"/>
              <xdr:cNvSpPr>
                <a:spLocks noChangeArrowheads="1"/>
              </xdr:cNvSpPr>
            </xdr:nvSpPr>
            <xdr:spPr bwMode="auto">
              <a:xfrm flipV="1">
                <a:off x="724" y="717"/>
                <a:ext cx="10" cy="3"/>
              </a:xfrm>
              <a:prstGeom prst="rect">
                <a:avLst/>
              </a:prstGeom>
              <a:pattFill prst="dkUpDiag">
                <a:fgClr>
                  <a:srgbClr val="000000"/>
                </a:fgClr>
                <a:bgClr>
                  <a:srgbClr val="FFFFFF"/>
                </a:bgClr>
              </a:pattFill>
              <a:ln w="9525">
                <a:solidFill>
                  <a:srgbClr val="000000"/>
                </a:solidFill>
                <a:miter lim="800000"/>
                <a:headEnd/>
                <a:tailEnd/>
              </a:ln>
            </xdr:spPr>
          </xdr:sp>
        </xdr:grpSp>
        <xdr:grpSp>
          <xdr:nvGrpSpPr>
            <xdr:cNvPr id="12313" name="Group 1059"/>
            <xdr:cNvGrpSpPr>
              <a:grpSpLocks/>
            </xdr:cNvGrpSpPr>
          </xdr:nvGrpSpPr>
          <xdr:grpSpPr bwMode="auto">
            <a:xfrm>
              <a:off x="5465640" y="7006737"/>
              <a:ext cx="48602" cy="104775"/>
              <a:chOff x="719" y="713"/>
              <a:chExt cx="5" cy="10"/>
            </a:xfrm>
          </xdr:grpSpPr>
          <xdr:sp macro="" textlink="">
            <xdr:nvSpPr>
              <xdr:cNvPr id="12792" name="Rectangle 1060"/>
              <xdr:cNvSpPr>
                <a:spLocks noChangeArrowheads="1"/>
              </xdr:cNvSpPr>
            </xdr:nvSpPr>
            <xdr:spPr bwMode="auto">
              <a:xfrm>
                <a:off x="719" y="713"/>
                <a:ext cx="5" cy="10"/>
              </a:xfrm>
              <a:prstGeom prst="rect">
                <a:avLst/>
              </a:prstGeom>
              <a:solidFill>
                <a:srgbClr val="FFFFFF"/>
              </a:solidFill>
              <a:ln w="9525">
                <a:solidFill>
                  <a:srgbClr val="000000"/>
                </a:solidFill>
                <a:miter lim="800000"/>
                <a:headEnd/>
                <a:tailEnd/>
              </a:ln>
            </xdr:spPr>
          </xdr:sp>
          <xdr:sp macro="" textlink="">
            <xdr:nvSpPr>
              <xdr:cNvPr id="12793" name="Line 1061"/>
              <xdr:cNvSpPr>
                <a:spLocks noChangeShapeType="1"/>
              </xdr:cNvSpPr>
            </xdr:nvSpPr>
            <xdr:spPr bwMode="auto">
              <a:xfrm>
                <a:off x="719" y="716"/>
                <a:ext cx="5" cy="0"/>
              </a:xfrm>
              <a:prstGeom prst="line">
                <a:avLst/>
              </a:prstGeom>
              <a:noFill/>
              <a:ln w="9525">
                <a:solidFill>
                  <a:srgbClr val="000000"/>
                </a:solidFill>
                <a:round/>
                <a:headEnd/>
                <a:tailEnd/>
              </a:ln>
            </xdr:spPr>
          </xdr:sp>
          <xdr:sp macro="" textlink="">
            <xdr:nvSpPr>
              <xdr:cNvPr id="12794" name="Line 1062"/>
              <xdr:cNvSpPr>
                <a:spLocks noChangeShapeType="1"/>
              </xdr:cNvSpPr>
            </xdr:nvSpPr>
            <xdr:spPr bwMode="auto">
              <a:xfrm>
                <a:off x="719" y="721"/>
                <a:ext cx="5" cy="0"/>
              </a:xfrm>
              <a:prstGeom prst="line">
                <a:avLst/>
              </a:prstGeom>
              <a:noFill/>
              <a:ln w="9525">
                <a:solidFill>
                  <a:srgbClr val="000000"/>
                </a:solidFill>
                <a:round/>
                <a:headEnd/>
                <a:tailEnd/>
              </a:ln>
            </xdr:spPr>
          </xdr:sp>
        </xdr:grpSp>
        <xdr:grpSp>
          <xdr:nvGrpSpPr>
            <xdr:cNvPr id="12314" name="Group 1063"/>
            <xdr:cNvGrpSpPr>
              <a:grpSpLocks/>
            </xdr:cNvGrpSpPr>
          </xdr:nvGrpSpPr>
          <xdr:grpSpPr bwMode="auto">
            <a:xfrm>
              <a:off x="5027490" y="5577987"/>
              <a:ext cx="161925" cy="168275"/>
              <a:chOff x="646" y="934"/>
              <a:chExt cx="17" cy="18"/>
            </a:xfrm>
          </xdr:grpSpPr>
          <xdr:sp macro="" textlink="">
            <xdr:nvSpPr>
              <xdr:cNvPr id="12787" name="Freeform 1064"/>
              <xdr:cNvSpPr>
                <a:spLocks/>
              </xdr:cNvSpPr>
            </xdr:nvSpPr>
            <xdr:spPr bwMode="auto">
              <a:xfrm>
                <a:off x="650" y="934"/>
                <a:ext cx="13" cy="16"/>
              </a:xfrm>
              <a:custGeom>
                <a:avLst/>
                <a:gdLst>
                  <a:gd name="T0" fmla="*/ 0 w 59"/>
                  <a:gd name="T1" fmla="*/ 0 h 76"/>
                  <a:gd name="T2" fmla="*/ 0 w 59"/>
                  <a:gd name="T3" fmla="*/ 0 h 76"/>
                  <a:gd name="T4" fmla="*/ 0 w 59"/>
                  <a:gd name="T5" fmla="*/ 0 h 76"/>
                  <a:gd name="T6" fmla="*/ 0 w 59"/>
                  <a:gd name="T7" fmla="*/ 0 h 76"/>
                  <a:gd name="T8" fmla="*/ 0 w 59"/>
                  <a:gd name="T9" fmla="*/ 0 h 76"/>
                  <a:gd name="T10" fmla="*/ 0 w 59"/>
                  <a:gd name="T11" fmla="*/ 0 h 76"/>
                  <a:gd name="T12" fmla="*/ 0 w 59"/>
                  <a:gd name="T13" fmla="*/ 0 h 76"/>
                  <a:gd name="T14" fmla="*/ 0 60000 65536"/>
                  <a:gd name="T15" fmla="*/ 0 60000 65536"/>
                  <a:gd name="T16" fmla="*/ 0 60000 65536"/>
                  <a:gd name="T17" fmla="*/ 0 60000 65536"/>
                  <a:gd name="T18" fmla="*/ 0 60000 65536"/>
                  <a:gd name="T19" fmla="*/ 0 60000 65536"/>
                  <a:gd name="T20" fmla="*/ 0 60000 65536"/>
                  <a:gd name="T21" fmla="*/ 0 w 59"/>
                  <a:gd name="T22" fmla="*/ 0 h 76"/>
                  <a:gd name="T23" fmla="*/ 59 w 59"/>
                  <a:gd name="T24" fmla="*/ 76 h 76"/>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9" h="76">
                    <a:moveTo>
                      <a:pt x="45" y="76"/>
                    </a:moveTo>
                    <a:lnTo>
                      <a:pt x="59" y="58"/>
                    </a:lnTo>
                    <a:lnTo>
                      <a:pt x="45" y="18"/>
                    </a:lnTo>
                    <a:lnTo>
                      <a:pt x="13" y="0"/>
                    </a:lnTo>
                    <a:lnTo>
                      <a:pt x="0" y="23"/>
                    </a:lnTo>
                    <a:lnTo>
                      <a:pt x="13" y="58"/>
                    </a:lnTo>
                    <a:lnTo>
                      <a:pt x="45" y="76"/>
                    </a:lnTo>
                    <a:close/>
                  </a:path>
                </a:pathLst>
              </a:custGeom>
              <a:solidFill>
                <a:srgbClr val="FFFFFF"/>
              </a:solidFill>
              <a:ln w="9525">
                <a:solidFill>
                  <a:srgbClr val="000000"/>
                </a:solidFill>
                <a:round/>
                <a:headEnd/>
                <a:tailEnd/>
              </a:ln>
            </xdr:spPr>
          </xdr:sp>
          <xdr:sp macro="" textlink="">
            <xdr:nvSpPr>
              <xdr:cNvPr id="12788" name="Freeform 1065"/>
              <xdr:cNvSpPr>
                <a:spLocks/>
              </xdr:cNvSpPr>
            </xdr:nvSpPr>
            <xdr:spPr bwMode="auto">
              <a:xfrm>
                <a:off x="646" y="936"/>
                <a:ext cx="13" cy="16"/>
              </a:xfrm>
              <a:custGeom>
                <a:avLst/>
                <a:gdLst>
                  <a:gd name="T0" fmla="*/ 0 w 59"/>
                  <a:gd name="T1" fmla="*/ 0 h 76"/>
                  <a:gd name="T2" fmla="*/ 0 w 59"/>
                  <a:gd name="T3" fmla="*/ 0 h 76"/>
                  <a:gd name="T4" fmla="*/ 0 w 59"/>
                  <a:gd name="T5" fmla="*/ 0 h 76"/>
                  <a:gd name="T6" fmla="*/ 0 w 59"/>
                  <a:gd name="T7" fmla="*/ 0 h 76"/>
                  <a:gd name="T8" fmla="*/ 0 w 59"/>
                  <a:gd name="T9" fmla="*/ 0 h 76"/>
                  <a:gd name="T10" fmla="*/ 0 w 59"/>
                  <a:gd name="T11" fmla="*/ 0 h 76"/>
                  <a:gd name="T12" fmla="*/ 0 w 59"/>
                  <a:gd name="T13" fmla="*/ 0 h 76"/>
                  <a:gd name="T14" fmla="*/ 0 60000 65536"/>
                  <a:gd name="T15" fmla="*/ 0 60000 65536"/>
                  <a:gd name="T16" fmla="*/ 0 60000 65536"/>
                  <a:gd name="T17" fmla="*/ 0 60000 65536"/>
                  <a:gd name="T18" fmla="*/ 0 60000 65536"/>
                  <a:gd name="T19" fmla="*/ 0 60000 65536"/>
                  <a:gd name="T20" fmla="*/ 0 60000 65536"/>
                  <a:gd name="T21" fmla="*/ 0 w 59"/>
                  <a:gd name="T22" fmla="*/ 0 h 76"/>
                  <a:gd name="T23" fmla="*/ 59 w 59"/>
                  <a:gd name="T24" fmla="*/ 76 h 76"/>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9" h="76">
                    <a:moveTo>
                      <a:pt x="45" y="76"/>
                    </a:moveTo>
                    <a:lnTo>
                      <a:pt x="59" y="58"/>
                    </a:lnTo>
                    <a:lnTo>
                      <a:pt x="45" y="18"/>
                    </a:lnTo>
                    <a:lnTo>
                      <a:pt x="13" y="0"/>
                    </a:lnTo>
                    <a:lnTo>
                      <a:pt x="0" y="23"/>
                    </a:lnTo>
                    <a:lnTo>
                      <a:pt x="13" y="58"/>
                    </a:lnTo>
                    <a:lnTo>
                      <a:pt x="45" y="76"/>
                    </a:lnTo>
                    <a:close/>
                  </a:path>
                </a:pathLst>
              </a:custGeom>
              <a:solidFill>
                <a:srgbClr val="FFFFFF"/>
              </a:solidFill>
              <a:ln w="9525">
                <a:solidFill>
                  <a:srgbClr val="000000"/>
                </a:solidFill>
                <a:round/>
                <a:headEnd/>
                <a:tailEnd/>
              </a:ln>
            </xdr:spPr>
          </xdr:sp>
          <xdr:sp macro="" textlink="">
            <xdr:nvSpPr>
              <xdr:cNvPr id="12789" name="Freeform 1066"/>
              <xdr:cNvSpPr>
                <a:spLocks/>
              </xdr:cNvSpPr>
            </xdr:nvSpPr>
            <xdr:spPr bwMode="auto">
              <a:xfrm>
                <a:off x="649" y="934"/>
                <a:ext cx="11" cy="6"/>
              </a:xfrm>
              <a:custGeom>
                <a:avLst/>
                <a:gdLst>
                  <a:gd name="T0" fmla="*/ 0 w 11"/>
                  <a:gd name="T1" fmla="*/ 2 h 6"/>
                  <a:gd name="T2" fmla="*/ 4 w 11"/>
                  <a:gd name="T3" fmla="*/ 0 h 6"/>
                  <a:gd name="T4" fmla="*/ 11 w 11"/>
                  <a:gd name="T5" fmla="*/ 4 h 6"/>
                  <a:gd name="T6" fmla="*/ 7 w 11"/>
                  <a:gd name="T7" fmla="*/ 6 h 6"/>
                  <a:gd name="T8" fmla="*/ 0 w 11"/>
                  <a:gd name="T9" fmla="*/ 2 h 6"/>
                  <a:gd name="T10" fmla="*/ 0 60000 65536"/>
                  <a:gd name="T11" fmla="*/ 0 60000 65536"/>
                  <a:gd name="T12" fmla="*/ 0 60000 65536"/>
                  <a:gd name="T13" fmla="*/ 0 60000 65536"/>
                  <a:gd name="T14" fmla="*/ 0 60000 65536"/>
                  <a:gd name="T15" fmla="*/ 0 w 11"/>
                  <a:gd name="T16" fmla="*/ 0 h 6"/>
                  <a:gd name="T17" fmla="*/ 11 w 11"/>
                  <a:gd name="T18" fmla="*/ 6 h 6"/>
                </a:gdLst>
                <a:ahLst/>
                <a:cxnLst>
                  <a:cxn ang="T10">
                    <a:pos x="T0" y="T1"/>
                  </a:cxn>
                  <a:cxn ang="T11">
                    <a:pos x="T2" y="T3"/>
                  </a:cxn>
                  <a:cxn ang="T12">
                    <a:pos x="T4" y="T5"/>
                  </a:cxn>
                  <a:cxn ang="T13">
                    <a:pos x="T6" y="T7"/>
                  </a:cxn>
                  <a:cxn ang="T14">
                    <a:pos x="T8" y="T9"/>
                  </a:cxn>
                </a:cxnLst>
                <a:rect l="T15" t="T16" r="T17" b="T18"/>
                <a:pathLst>
                  <a:path w="11" h="6">
                    <a:moveTo>
                      <a:pt x="0" y="2"/>
                    </a:moveTo>
                    <a:lnTo>
                      <a:pt x="4" y="0"/>
                    </a:lnTo>
                    <a:lnTo>
                      <a:pt x="11" y="4"/>
                    </a:lnTo>
                    <a:lnTo>
                      <a:pt x="7" y="6"/>
                    </a:lnTo>
                    <a:lnTo>
                      <a:pt x="0" y="2"/>
                    </a:lnTo>
                    <a:close/>
                  </a:path>
                </a:pathLst>
              </a:custGeom>
              <a:solidFill>
                <a:srgbClr val="FFFFFF"/>
              </a:solidFill>
              <a:ln w="9525">
                <a:solidFill>
                  <a:srgbClr val="000000"/>
                </a:solidFill>
                <a:round/>
                <a:headEnd/>
                <a:tailEnd/>
              </a:ln>
            </xdr:spPr>
          </xdr:sp>
          <xdr:sp macro="" textlink="">
            <xdr:nvSpPr>
              <xdr:cNvPr id="12790" name="Freeform 1067"/>
              <xdr:cNvSpPr>
                <a:spLocks/>
              </xdr:cNvSpPr>
            </xdr:nvSpPr>
            <xdr:spPr bwMode="auto">
              <a:xfrm>
                <a:off x="656" y="938"/>
                <a:ext cx="7" cy="10"/>
              </a:xfrm>
              <a:custGeom>
                <a:avLst/>
                <a:gdLst>
                  <a:gd name="T0" fmla="*/ 3 w 7"/>
                  <a:gd name="T1" fmla="*/ 10 h 10"/>
                  <a:gd name="T2" fmla="*/ 7 w 7"/>
                  <a:gd name="T3" fmla="*/ 8 h 10"/>
                  <a:gd name="T4" fmla="*/ 4 w 7"/>
                  <a:gd name="T5" fmla="*/ 0 h 10"/>
                  <a:gd name="T6" fmla="*/ 0 w 7"/>
                  <a:gd name="T7" fmla="*/ 2 h 10"/>
                  <a:gd name="T8" fmla="*/ 3 w 7"/>
                  <a:gd name="T9" fmla="*/ 10 h 10"/>
                  <a:gd name="T10" fmla="*/ 0 60000 65536"/>
                  <a:gd name="T11" fmla="*/ 0 60000 65536"/>
                  <a:gd name="T12" fmla="*/ 0 60000 65536"/>
                  <a:gd name="T13" fmla="*/ 0 60000 65536"/>
                  <a:gd name="T14" fmla="*/ 0 60000 65536"/>
                  <a:gd name="T15" fmla="*/ 0 w 7"/>
                  <a:gd name="T16" fmla="*/ 0 h 10"/>
                  <a:gd name="T17" fmla="*/ 7 w 7"/>
                  <a:gd name="T18" fmla="*/ 10 h 10"/>
                </a:gdLst>
                <a:ahLst/>
                <a:cxnLst>
                  <a:cxn ang="T10">
                    <a:pos x="T0" y="T1"/>
                  </a:cxn>
                  <a:cxn ang="T11">
                    <a:pos x="T2" y="T3"/>
                  </a:cxn>
                  <a:cxn ang="T12">
                    <a:pos x="T4" y="T5"/>
                  </a:cxn>
                  <a:cxn ang="T13">
                    <a:pos x="T6" y="T7"/>
                  </a:cxn>
                  <a:cxn ang="T14">
                    <a:pos x="T8" y="T9"/>
                  </a:cxn>
                </a:cxnLst>
                <a:rect l="T15" t="T16" r="T17" b="T18"/>
                <a:pathLst>
                  <a:path w="7" h="10">
                    <a:moveTo>
                      <a:pt x="3" y="10"/>
                    </a:moveTo>
                    <a:lnTo>
                      <a:pt x="7" y="8"/>
                    </a:lnTo>
                    <a:lnTo>
                      <a:pt x="4" y="0"/>
                    </a:lnTo>
                    <a:lnTo>
                      <a:pt x="0" y="2"/>
                    </a:lnTo>
                    <a:lnTo>
                      <a:pt x="3" y="10"/>
                    </a:lnTo>
                    <a:close/>
                  </a:path>
                </a:pathLst>
              </a:custGeom>
              <a:solidFill>
                <a:srgbClr val="FFFFFF"/>
              </a:solidFill>
              <a:ln w="9525">
                <a:solidFill>
                  <a:srgbClr val="000000"/>
                </a:solidFill>
                <a:round/>
                <a:headEnd/>
                <a:tailEnd/>
              </a:ln>
            </xdr:spPr>
          </xdr:sp>
          <xdr:sp macro="" textlink="">
            <xdr:nvSpPr>
              <xdr:cNvPr id="12791" name="Freeform 1068"/>
              <xdr:cNvSpPr>
                <a:spLocks/>
              </xdr:cNvSpPr>
            </xdr:nvSpPr>
            <xdr:spPr bwMode="auto">
              <a:xfrm>
                <a:off x="656" y="946"/>
                <a:ext cx="7" cy="6"/>
              </a:xfrm>
              <a:custGeom>
                <a:avLst/>
                <a:gdLst>
                  <a:gd name="T0" fmla="*/ 3 w 7"/>
                  <a:gd name="T1" fmla="*/ 2 h 6"/>
                  <a:gd name="T2" fmla="*/ 7 w 7"/>
                  <a:gd name="T3" fmla="*/ 0 h 6"/>
                  <a:gd name="T4" fmla="*/ 4 w 7"/>
                  <a:gd name="T5" fmla="*/ 4 h 6"/>
                  <a:gd name="T6" fmla="*/ 0 w 7"/>
                  <a:gd name="T7" fmla="*/ 6 h 6"/>
                  <a:gd name="T8" fmla="*/ 3 w 7"/>
                  <a:gd name="T9" fmla="*/ 2 h 6"/>
                  <a:gd name="T10" fmla="*/ 0 60000 65536"/>
                  <a:gd name="T11" fmla="*/ 0 60000 65536"/>
                  <a:gd name="T12" fmla="*/ 0 60000 65536"/>
                  <a:gd name="T13" fmla="*/ 0 60000 65536"/>
                  <a:gd name="T14" fmla="*/ 0 60000 65536"/>
                  <a:gd name="T15" fmla="*/ 0 w 7"/>
                  <a:gd name="T16" fmla="*/ 0 h 6"/>
                  <a:gd name="T17" fmla="*/ 7 w 7"/>
                  <a:gd name="T18" fmla="*/ 6 h 6"/>
                </a:gdLst>
                <a:ahLst/>
                <a:cxnLst>
                  <a:cxn ang="T10">
                    <a:pos x="T0" y="T1"/>
                  </a:cxn>
                  <a:cxn ang="T11">
                    <a:pos x="T2" y="T3"/>
                  </a:cxn>
                  <a:cxn ang="T12">
                    <a:pos x="T4" y="T5"/>
                  </a:cxn>
                  <a:cxn ang="T13">
                    <a:pos x="T6" y="T7"/>
                  </a:cxn>
                  <a:cxn ang="T14">
                    <a:pos x="T8" y="T9"/>
                  </a:cxn>
                </a:cxnLst>
                <a:rect l="T15" t="T16" r="T17" b="T18"/>
                <a:pathLst>
                  <a:path w="7" h="6">
                    <a:moveTo>
                      <a:pt x="3" y="2"/>
                    </a:moveTo>
                    <a:lnTo>
                      <a:pt x="7" y="0"/>
                    </a:lnTo>
                    <a:lnTo>
                      <a:pt x="4" y="4"/>
                    </a:lnTo>
                    <a:lnTo>
                      <a:pt x="0" y="6"/>
                    </a:lnTo>
                    <a:lnTo>
                      <a:pt x="3" y="2"/>
                    </a:lnTo>
                    <a:close/>
                  </a:path>
                </a:pathLst>
              </a:custGeom>
              <a:solidFill>
                <a:srgbClr val="FFFFFF"/>
              </a:solidFill>
              <a:ln w="9525">
                <a:solidFill>
                  <a:srgbClr val="000000"/>
                </a:solidFill>
                <a:round/>
                <a:headEnd/>
                <a:tailEnd/>
              </a:ln>
            </xdr:spPr>
          </xdr:sp>
        </xdr:grpSp>
        <xdr:grpSp>
          <xdr:nvGrpSpPr>
            <xdr:cNvPr id="12315" name="Group 1069"/>
            <xdr:cNvGrpSpPr>
              <a:grpSpLocks/>
            </xdr:cNvGrpSpPr>
          </xdr:nvGrpSpPr>
          <xdr:grpSpPr bwMode="auto">
            <a:xfrm>
              <a:off x="4283563" y="5187462"/>
              <a:ext cx="161925" cy="168275"/>
              <a:chOff x="646" y="934"/>
              <a:chExt cx="17" cy="18"/>
            </a:xfrm>
          </xdr:grpSpPr>
          <xdr:sp macro="" textlink="">
            <xdr:nvSpPr>
              <xdr:cNvPr id="12782" name="Freeform 1070"/>
              <xdr:cNvSpPr>
                <a:spLocks/>
              </xdr:cNvSpPr>
            </xdr:nvSpPr>
            <xdr:spPr bwMode="auto">
              <a:xfrm>
                <a:off x="650" y="934"/>
                <a:ext cx="13" cy="16"/>
              </a:xfrm>
              <a:custGeom>
                <a:avLst/>
                <a:gdLst>
                  <a:gd name="T0" fmla="*/ 0 w 59"/>
                  <a:gd name="T1" fmla="*/ 0 h 76"/>
                  <a:gd name="T2" fmla="*/ 0 w 59"/>
                  <a:gd name="T3" fmla="*/ 0 h 76"/>
                  <a:gd name="T4" fmla="*/ 0 w 59"/>
                  <a:gd name="T5" fmla="*/ 0 h 76"/>
                  <a:gd name="T6" fmla="*/ 0 w 59"/>
                  <a:gd name="T7" fmla="*/ 0 h 76"/>
                  <a:gd name="T8" fmla="*/ 0 w 59"/>
                  <a:gd name="T9" fmla="*/ 0 h 76"/>
                  <a:gd name="T10" fmla="*/ 0 w 59"/>
                  <a:gd name="T11" fmla="*/ 0 h 76"/>
                  <a:gd name="T12" fmla="*/ 0 w 59"/>
                  <a:gd name="T13" fmla="*/ 0 h 76"/>
                  <a:gd name="T14" fmla="*/ 0 60000 65536"/>
                  <a:gd name="T15" fmla="*/ 0 60000 65536"/>
                  <a:gd name="T16" fmla="*/ 0 60000 65536"/>
                  <a:gd name="T17" fmla="*/ 0 60000 65536"/>
                  <a:gd name="T18" fmla="*/ 0 60000 65536"/>
                  <a:gd name="T19" fmla="*/ 0 60000 65536"/>
                  <a:gd name="T20" fmla="*/ 0 60000 65536"/>
                  <a:gd name="T21" fmla="*/ 0 w 59"/>
                  <a:gd name="T22" fmla="*/ 0 h 76"/>
                  <a:gd name="T23" fmla="*/ 59 w 59"/>
                  <a:gd name="T24" fmla="*/ 76 h 76"/>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9" h="76">
                    <a:moveTo>
                      <a:pt x="45" y="76"/>
                    </a:moveTo>
                    <a:lnTo>
                      <a:pt x="59" y="58"/>
                    </a:lnTo>
                    <a:lnTo>
                      <a:pt x="45" y="18"/>
                    </a:lnTo>
                    <a:lnTo>
                      <a:pt x="13" y="0"/>
                    </a:lnTo>
                    <a:lnTo>
                      <a:pt x="0" y="23"/>
                    </a:lnTo>
                    <a:lnTo>
                      <a:pt x="13" y="58"/>
                    </a:lnTo>
                    <a:lnTo>
                      <a:pt x="45" y="76"/>
                    </a:lnTo>
                    <a:close/>
                  </a:path>
                </a:pathLst>
              </a:custGeom>
              <a:solidFill>
                <a:srgbClr val="FFFFFF"/>
              </a:solidFill>
              <a:ln w="9525">
                <a:solidFill>
                  <a:srgbClr val="000000"/>
                </a:solidFill>
                <a:round/>
                <a:headEnd/>
                <a:tailEnd/>
              </a:ln>
            </xdr:spPr>
          </xdr:sp>
          <xdr:sp macro="" textlink="">
            <xdr:nvSpPr>
              <xdr:cNvPr id="12783" name="Freeform 1071"/>
              <xdr:cNvSpPr>
                <a:spLocks/>
              </xdr:cNvSpPr>
            </xdr:nvSpPr>
            <xdr:spPr bwMode="auto">
              <a:xfrm>
                <a:off x="646" y="936"/>
                <a:ext cx="13" cy="16"/>
              </a:xfrm>
              <a:custGeom>
                <a:avLst/>
                <a:gdLst>
                  <a:gd name="T0" fmla="*/ 0 w 59"/>
                  <a:gd name="T1" fmla="*/ 0 h 76"/>
                  <a:gd name="T2" fmla="*/ 0 w 59"/>
                  <a:gd name="T3" fmla="*/ 0 h 76"/>
                  <a:gd name="T4" fmla="*/ 0 w 59"/>
                  <a:gd name="T5" fmla="*/ 0 h 76"/>
                  <a:gd name="T6" fmla="*/ 0 w 59"/>
                  <a:gd name="T7" fmla="*/ 0 h 76"/>
                  <a:gd name="T8" fmla="*/ 0 w 59"/>
                  <a:gd name="T9" fmla="*/ 0 h 76"/>
                  <a:gd name="T10" fmla="*/ 0 w 59"/>
                  <a:gd name="T11" fmla="*/ 0 h 76"/>
                  <a:gd name="T12" fmla="*/ 0 w 59"/>
                  <a:gd name="T13" fmla="*/ 0 h 76"/>
                  <a:gd name="T14" fmla="*/ 0 60000 65536"/>
                  <a:gd name="T15" fmla="*/ 0 60000 65536"/>
                  <a:gd name="T16" fmla="*/ 0 60000 65536"/>
                  <a:gd name="T17" fmla="*/ 0 60000 65536"/>
                  <a:gd name="T18" fmla="*/ 0 60000 65536"/>
                  <a:gd name="T19" fmla="*/ 0 60000 65536"/>
                  <a:gd name="T20" fmla="*/ 0 60000 65536"/>
                  <a:gd name="T21" fmla="*/ 0 w 59"/>
                  <a:gd name="T22" fmla="*/ 0 h 76"/>
                  <a:gd name="T23" fmla="*/ 59 w 59"/>
                  <a:gd name="T24" fmla="*/ 76 h 76"/>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9" h="76">
                    <a:moveTo>
                      <a:pt x="45" y="76"/>
                    </a:moveTo>
                    <a:lnTo>
                      <a:pt x="59" y="58"/>
                    </a:lnTo>
                    <a:lnTo>
                      <a:pt x="45" y="18"/>
                    </a:lnTo>
                    <a:lnTo>
                      <a:pt x="13" y="0"/>
                    </a:lnTo>
                    <a:lnTo>
                      <a:pt x="0" y="23"/>
                    </a:lnTo>
                    <a:lnTo>
                      <a:pt x="13" y="58"/>
                    </a:lnTo>
                    <a:lnTo>
                      <a:pt x="45" y="76"/>
                    </a:lnTo>
                    <a:close/>
                  </a:path>
                </a:pathLst>
              </a:custGeom>
              <a:solidFill>
                <a:srgbClr val="FFFFFF"/>
              </a:solidFill>
              <a:ln w="9525">
                <a:solidFill>
                  <a:srgbClr val="000000"/>
                </a:solidFill>
                <a:round/>
                <a:headEnd/>
                <a:tailEnd/>
              </a:ln>
            </xdr:spPr>
          </xdr:sp>
          <xdr:sp macro="" textlink="">
            <xdr:nvSpPr>
              <xdr:cNvPr id="12784" name="Freeform 1072"/>
              <xdr:cNvSpPr>
                <a:spLocks/>
              </xdr:cNvSpPr>
            </xdr:nvSpPr>
            <xdr:spPr bwMode="auto">
              <a:xfrm>
                <a:off x="649" y="934"/>
                <a:ext cx="11" cy="6"/>
              </a:xfrm>
              <a:custGeom>
                <a:avLst/>
                <a:gdLst>
                  <a:gd name="T0" fmla="*/ 0 w 11"/>
                  <a:gd name="T1" fmla="*/ 2 h 6"/>
                  <a:gd name="T2" fmla="*/ 4 w 11"/>
                  <a:gd name="T3" fmla="*/ 0 h 6"/>
                  <a:gd name="T4" fmla="*/ 11 w 11"/>
                  <a:gd name="T5" fmla="*/ 4 h 6"/>
                  <a:gd name="T6" fmla="*/ 7 w 11"/>
                  <a:gd name="T7" fmla="*/ 6 h 6"/>
                  <a:gd name="T8" fmla="*/ 0 w 11"/>
                  <a:gd name="T9" fmla="*/ 2 h 6"/>
                  <a:gd name="T10" fmla="*/ 0 60000 65536"/>
                  <a:gd name="T11" fmla="*/ 0 60000 65536"/>
                  <a:gd name="T12" fmla="*/ 0 60000 65536"/>
                  <a:gd name="T13" fmla="*/ 0 60000 65536"/>
                  <a:gd name="T14" fmla="*/ 0 60000 65536"/>
                  <a:gd name="T15" fmla="*/ 0 w 11"/>
                  <a:gd name="T16" fmla="*/ 0 h 6"/>
                  <a:gd name="T17" fmla="*/ 11 w 11"/>
                  <a:gd name="T18" fmla="*/ 6 h 6"/>
                </a:gdLst>
                <a:ahLst/>
                <a:cxnLst>
                  <a:cxn ang="T10">
                    <a:pos x="T0" y="T1"/>
                  </a:cxn>
                  <a:cxn ang="T11">
                    <a:pos x="T2" y="T3"/>
                  </a:cxn>
                  <a:cxn ang="T12">
                    <a:pos x="T4" y="T5"/>
                  </a:cxn>
                  <a:cxn ang="T13">
                    <a:pos x="T6" y="T7"/>
                  </a:cxn>
                  <a:cxn ang="T14">
                    <a:pos x="T8" y="T9"/>
                  </a:cxn>
                </a:cxnLst>
                <a:rect l="T15" t="T16" r="T17" b="T18"/>
                <a:pathLst>
                  <a:path w="11" h="6">
                    <a:moveTo>
                      <a:pt x="0" y="2"/>
                    </a:moveTo>
                    <a:lnTo>
                      <a:pt x="4" y="0"/>
                    </a:lnTo>
                    <a:lnTo>
                      <a:pt x="11" y="4"/>
                    </a:lnTo>
                    <a:lnTo>
                      <a:pt x="7" y="6"/>
                    </a:lnTo>
                    <a:lnTo>
                      <a:pt x="0" y="2"/>
                    </a:lnTo>
                    <a:close/>
                  </a:path>
                </a:pathLst>
              </a:custGeom>
              <a:solidFill>
                <a:srgbClr val="FFFFFF"/>
              </a:solidFill>
              <a:ln w="9525">
                <a:solidFill>
                  <a:srgbClr val="000000"/>
                </a:solidFill>
                <a:round/>
                <a:headEnd/>
                <a:tailEnd/>
              </a:ln>
            </xdr:spPr>
          </xdr:sp>
          <xdr:sp macro="" textlink="">
            <xdr:nvSpPr>
              <xdr:cNvPr id="12785" name="Freeform 1073"/>
              <xdr:cNvSpPr>
                <a:spLocks/>
              </xdr:cNvSpPr>
            </xdr:nvSpPr>
            <xdr:spPr bwMode="auto">
              <a:xfrm>
                <a:off x="656" y="938"/>
                <a:ext cx="7" cy="10"/>
              </a:xfrm>
              <a:custGeom>
                <a:avLst/>
                <a:gdLst>
                  <a:gd name="T0" fmla="*/ 3 w 7"/>
                  <a:gd name="T1" fmla="*/ 10 h 10"/>
                  <a:gd name="T2" fmla="*/ 7 w 7"/>
                  <a:gd name="T3" fmla="*/ 8 h 10"/>
                  <a:gd name="T4" fmla="*/ 4 w 7"/>
                  <a:gd name="T5" fmla="*/ 0 h 10"/>
                  <a:gd name="T6" fmla="*/ 0 w 7"/>
                  <a:gd name="T7" fmla="*/ 2 h 10"/>
                  <a:gd name="T8" fmla="*/ 3 w 7"/>
                  <a:gd name="T9" fmla="*/ 10 h 10"/>
                  <a:gd name="T10" fmla="*/ 0 60000 65536"/>
                  <a:gd name="T11" fmla="*/ 0 60000 65536"/>
                  <a:gd name="T12" fmla="*/ 0 60000 65536"/>
                  <a:gd name="T13" fmla="*/ 0 60000 65536"/>
                  <a:gd name="T14" fmla="*/ 0 60000 65536"/>
                  <a:gd name="T15" fmla="*/ 0 w 7"/>
                  <a:gd name="T16" fmla="*/ 0 h 10"/>
                  <a:gd name="T17" fmla="*/ 7 w 7"/>
                  <a:gd name="T18" fmla="*/ 10 h 10"/>
                </a:gdLst>
                <a:ahLst/>
                <a:cxnLst>
                  <a:cxn ang="T10">
                    <a:pos x="T0" y="T1"/>
                  </a:cxn>
                  <a:cxn ang="T11">
                    <a:pos x="T2" y="T3"/>
                  </a:cxn>
                  <a:cxn ang="T12">
                    <a:pos x="T4" y="T5"/>
                  </a:cxn>
                  <a:cxn ang="T13">
                    <a:pos x="T6" y="T7"/>
                  </a:cxn>
                  <a:cxn ang="T14">
                    <a:pos x="T8" y="T9"/>
                  </a:cxn>
                </a:cxnLst>
                <a:rect l="T15" t="T16" r="T17" b="T18"/>
                <a:pathLst>
                  <a:path w="7" h="10">
                    <a:moveTo>
                      <a:pt x="3" y="10"/>
                    </a:moveTo>
                    <a:lnTo>
                      <a:pt x="7" y="8"/>
                    </a:lnTo>
                    <a:lnTo>
                      <a:pt x="4" y="0"/>
                    </a:lnTo>
                    <a:lnTo>
                      <a:pt x="0" y="2"/>
                    </a:lnTo>
                    <a:lnTo>
                      <a:pt x="3" y="10"/>
                    </a:lnTo>
                    <a:close/>
                  </a:path>
                </a:pathLst>
              </a:custGeom>
              <a:solidFill>
                <a:srgbClr val="FFFFFF"/>
              </a:solidFill>
              <a:ln w="9525">
                <a:solidFill>
                  <a:srgbClr val="000000"/>
                </a:solidFill>
                <a:round/>
                <a:headEnd/>
                <a:tailEnd/>
              </a:ln>
            </xdr:spPr>
          </xdr:sp>
          <xdr:sp macro="" textlink="">
            <xdr:nvSpPr>
              <xdr:cNvPr id="12786" name="Freeform 1074"/>
              <xdr:cNvSpPr>
                <a:spLocks/>
              </xdr:cNvSpPr>
            </xdr:nvSpPr>
            <xdr:spPr bwMode="auto">
              <a:xfrm>
                <a:off x="656" y="946"/>
                <a:ext cx="7" cy="6"/>
              </a:xfrm>
              <a:custGeom>
                <a:avLst/>
                <a:gdLst>
                  <a:gd name="T0" fmla="*/ 3 w 7"/>
                  <a:gd name="T1" fmla="*/ 2 h 6"/>
                  <a:gd name="T2" fmla="*/ 7 w 7"/>
                  <a:gd name="T3" fmla="*/ 0 h 6"/>
                  <a:gd name="T4" fmla="*/ 4 w 7"/>
                  <a:gd name="T5" fmla="*/ 4 h 6"/>
                  <a:gd name="T6" fmla="*/ 0 w 7"/>
                  <a:gd name="T7" fmla="*/ 6 h 6"/>
                  <a:gd name="T8" fmla="*/ 3 w 7"/>
                  <a:gd name="T9" fmla="*/ 2 h 6"/>
                  <a:gd name="T10" fmla="*/ 0 60000 65536"/>
                  <a:gd name="T11" fmla="*/ 0 60000 65536"/>
                  <a:gd name="T12" fmla="*/ 0 60000 65536"/>
                  <a:gd name="T13" fmla="*/ 0 60000 65536"/>
                  <a:gd name="T14" fmla="*/ 0 60000 65536"/>
                  <a:gd name="T15" fmla="*/ 0 w 7"/>
                  <a:gd name="T16" fmla="*/ 0 h 6"/>
                  <a:gd name="T17" fmla="*/ 7 w 7"/>
                  <a:gd name="T18" fmla="*/ 6 h 6"/>
                </a:gdLst>
                <a:ahLst/>
                <a:cxnLst>
                  <a:cxn ang="T10">
                    <a:pos x="T0" y="T1"/>
                  </a:cxn>
                  <a:cxn ang="T11">
                    <a:pos x="T2" y="T3"/>
                  </a:cxn>
                  <a:cxn ang="T12">
                    <a:pos x="T4" y="T5"/>
                  </a:cxn>
                  <a:cxn ang="T13">
                    <a:pos x="T6" y="T7"/>
                  </a:cxn>
                  <a:cxn ang="T14">
                    <a:pos x="T8" y="T9"/>
                  </a:cxn>
                </a:cxnLst>
                <a:rect l="T15" t="T16" r="T17" b="T18"/>
                <a:pathLst>
                  <a:path w="7" h="6">
                    <a:moveTo>
                      <a:pt x="3" y="2"/>
                    </a:moveTo>
                    <a:lnTo>
                      <a:pt x="7" y="0"/>
                    </a:lnTo>
                    <a:lnTo>
                      <a:pt x="4" y="4"/>
                    </a:lnTo>
                    <a:lnTo>
                      <a:pt x="0" y="6"/>
                    </a:lnTo>
                    <a:lnTo>
                      <a:pt x="3" y="2"/>
                    </a:lnTo>
                    <a:close/>
                  </a:path>
                </a:pathLst>
              </a:custGeom>
              <a:solidFill>
                <a:srgbClr val="FFFFFF"/>
              </a:solidFill>
              <a:ln w="9525">
                <a:solidFill>
                  <a:srgbClr val="000000"/>
                </a:solidFill>
                <a:round/>
                <a:headEnd/>
                <a:tailEnd/>
              </a:ln>
            </xdr:spPr>
          </xdr:sp>
        </xdr:grpSp>
        <xdr:grpSp>
          <xdr:nvGrpSpPr>
            <xdr:cNvPr id="12316" name="Group 1075"/>
            <xdr:cNvGrpSpPr>
              <a:grpSpLocks/>
            </xdr:cNvGrpSpPr>
          </xdr:nvGrpSpPr>
          <xdr:grpSpPr bwMode="auto">
            <a:xfrm>
              <a:off x="4331188" y="3730137"/>
              <a:ext cx="161925" cy="168275"/>
              <a:chOff x="646" y="934"/>
              <a:chExt cx="17" cy="18"/>
            </a:xfrm>
          </xdr:grpSpPr>
          <xdr:sp macro="" textlink="">
            <xdr:nvSpPr>
              <xdr:cNvPr id="12777" name="Freeform 1076"/>
              <xdr:cNvSpPr>
                <a:spLocks/>
              </xdr:cNvSpPr>
            </xdr:nvSpPr>
            <xdr:spPr bwMode="auto">
              <a:xfrm>
                <a:off x="650" y="934"/>
                <a:ext cx="13" cy="16"/>
              </a:xfrm>
              <a:custGeom>
                <a:avLst/>
                <a:gdLst>
                  <a:gd name="T0" fmla="*/ 0 w 59"/>
                  <a:gd name="T1" fmla="*/ 0 h 76"/>
                  <a:gd name="T2" fmla="*/ 0 w 59"/>
                  <a:gd name="T3" fmla="*/ 0 h 76"/>
                  <a:gd name="T4" fmla="*/ 0 w 59"/>
                  <a:gd name="T5" fmla="*/ 0 h 76"/>
                  <a:gd name="T6" fmla="*/ 0 w 59"/>
                  <a:gd name="T7" fmla="*/ 0 h 76"/>
                  <a:gd name="T8" fmla="*/ 0 w 59"/>
                  <a:gd name="T9" fmla="*/ 0 h 76"/>
                  <a:gd name="T10" fmla="*/ 0 w 59"/>
                  <a:gd name="T11" fmla="*/ 0 h 76"/>
                  <a:gd name="T12" fmla="*/ 0 w 59"/>
                  <a:gd name="T13" fmla="*/ 0 h 76"/>
                  <a:gd name="T14" fmla="*/ 0 60000 65536"/>
                  <a:gd name="T15" fmla="*/ 0 60000 65536"/>
                  <a:gd name="T16" fmla="*/ 0 60000 65536"/>
                  <a:gd name="T17" fmla="*/ 0 60000 65536"/>
                  <a:gd name="T18" fmla="*/ 0 60000 65536"/>
                  <a:gd name="T19" fmla="*/ 0 60000 65536"/>
                  <a:gd name="T20" fmla="*/ 0 60000 65536"/>
                  <a:gd name="T21" fmla="*/ 0 w 59"/>
                  <a:gd name="T22" fmla="*/ 0 h 76"/>
                  <a:gd name="T23" fmla="*/ 59 w 59"/>
                  <a:gd name="T24" fmla="*/ 76 h 76"/>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9" h="76">
                    <a:moveTo>
                      <a:pt x="45" y="76"/>
                    </a:moveTo>
                    <a:lnTo>
                      <a:pt x="59" y="58"/>
                    </a:lnTo>
                    <a:lnTo>
                      <a:pt x="45" y="18"/>
                    </a:lnTo>
                    <a:lnTo>
                      <a:pt x="13" y="0"/>
                    </a:lnTo>
                    <a:lnTo>
                      <a:pt x="0" y="23"/>
                    </a:lnTo>
                    <a:lnTo>
                      <a:pt x="13" y="58"/>
                    </a:lnTo>
                    <a:lnTo>
                      <a:pt x="45" y="76"/>
                    </a:lnTo>
                    <a:close/>
                  </a:path>
                </a:pathLst>
              </a:custGeom>
              <a:solidFill>
                <a:srgbClr val="FFFFFF"/>
              </a:solidFill>
              <a:ln w="9525">
                <a:solidFill>
                  <a:srgbClr val="000000"/>
                </a:solidFill>
                <a:round/>
                <a:headEnd/>
                <a:tailEnd/>
              </a:ln>
            </xdr:spPr>
          </xdr:sp>
          <xdr:sp macro="" textlink="">
            <xdr:nvSpPr>
              <xdr:cNvPr id="12778" name="Freeform 1077"/>
              <xdr:cNvSpPr>
                <a:spLocks/>
              </xdr:cNvSpPr>
            </xdr:nvSpPr>
            <xdr:spPr bwMode="auto">
              <a:xfrm>
                <a:off x="646" y="936"/>
                <a:ext cx="13" cy="16"/>
              </a:xfrm>
              <a:custGeom>
                <a:avLst/>
                <a:gdLst>
                  <a:gd name="T0" fmla="*/ 0 w 59"/>
                  <a:gd name="T1" fmla="*/ 0 h 76"/>
                  <a:gd name="T2" fmla="*/ 0 w 59"/>
                  <a:gd name="T3" fmla="*/ 0 h 76"/>
                  <a:gd name="T4" fmla="*/ 0 w 59"/>
                  <a:gd name="T5" fmla="*/ 0 h 76"/>
                  <a:gd name="T6" fmla="*/ 0 w 59"/>
                  <a:gd name="T7" fmla="*/ 0 h 76"/>
                  <a:gd name="T8" fmla="*/ 0 w 59"/>
                  <a:gd name="T9" fmla="*/ 0 h 76"/>
                  <a:gd name="T10" fmla="*/ 0 w 59"/>
                  <a:gd name="T11" fmla="*/ 0 h 76"/>
                  <a:gd name="T12" fmla="*/ 0 w 59"/>
                  <a:gd name="T13" fmla="*/ 0 h 76"/>
                  <a:gd name="T14" fmla="*/ 0 60000 65536"/>
                  <a:gd name="T15" fmla="*/ 0 60000 65536"/>
                  <a:gd name="T16" fmla="*/ 0 60000 65536"/>
                  <a:gd name="T17" fmla="*/ 0 60000 65536"/>
                  <a:gd name="T18" fmla="*/ 0 60000 65536"/>
                  <a:gd name="T19" fmla="*/ 0 60000 65536"/>
                  <a:gd name="T20" fmla="*/ 0 60000 65536"/>
                  <a:gd name="T21" fmla="*/ 0 w 59"/>
                  <a:gd name="T22" fmla="*/ 0 h 76"/>
                  <a:gd name="T23" fmla="*/ 59 w 59"/>
                  <a:gd name="T24" fmla="*/ 76 h 76"/>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9" h="76">
                    <a:moveTo>
                      <a:pt x="45" y="76"/>
                    </a:moveTo>
                    <a:lnTo>
                      <a:pt x="59" y="58"/>
                    </a:lnTo>
                    <a:lnTo>
                      <a:pt x="45" y="18"/>
                    </a:lnTo>
                    <a:lnTo>
                      <a:pt x="13" y="0"/>
                    </a:lnTo>
                    <a:lnTo>
                      <a:pt x="0" y="23"/>
                    </a:lnTo>
                    <a:lnTo>
                      <a:pt x="13" y="58"/>
                    </a:lnTo>
                    <a:lnTo>
                      <a:pt x="45" y="76"/>
                    </a:lnTo>
                    <a:close/>
                  </a:path>
                </a:pathLst>
              </a:custGeom>
              <a:solidFill>
                <a:srgbClr val="FFFFFF"/>
              </a:solidFill>
              <a:ln w="9525">
                <a:solidFill>
                  <a:srgbClr val="000000"/>
                </a:solidFill>
                <a:round/>
                <a:headEnd/>
                <a:tailEnd/>
              </a:ln>
            </xdr:spPr>
          </xdr:sp>
          <xdr:sp macro="" textlink="">
            <xdr:nvSpPr>
              <xdr:cNvPr id="12779" name="Freeform 1078"/>
              <xdr:cNvSpPr>
                <a:spLocks/>
              </xdr:cNvSpPr>
            </xdr:nvSpPr>
            <xdr:spPr bwMode="auto">
              <a:xfrm>
                <a:off x="649" y="934"/>
                <a:ext cx="11" cy="6"/>
              </a:xfrm>
              <a:custGeom>
                <a:avLst/>
                <a:gdLst>
                  <a:gd name="T0" fmla="*/ 0 w 11"/>
                  <a:gd name="T1" fmla="*/ 2 h 6"/>
                  <a:gd name="T2" fmla="*/ 4 w 11"/>
                  <a:gd name="T3" fmla="*/ 0 h 6"/>
                  <a:gd name="T4" fmla="*/ 11 w 11"/>
                  <a:gd name="T5" fmla="*/ 4 h 6"/>
                  <a:gd name="T6" fmla="*/ 7 w 11"/>
                  <a:gd name="T7" fmla="*/ 6 h 6"/>
                  <a:gd name="T8" fmla="*/ 0 w 11"/>
                  <a:gd name="T9" fmla="*/ 2 h 6"/>
                  <a:gd name="T10" fmla="*/ 0 60000 65536"/>
                  <a:gd name="T11" fmla="*/ 0 60000 65536"/>
                  <a:gd name="T12" fmla="*/ 0 60000 65536"/>
                  <a:gd name="T13" fmla="*/ 0 60000 65536"/>
                  <a:gd name="T14" fmla="*/ 0 60000 65536"/>
                  <a:gd name="T15" fmla="*/ 0 w 11"/>
                  <a:gd name="T16" fmla="*/ 0 h 6"/>
                  <a:gd name="T17" fmla="*/ 11 w 11"/>
                  <a:gd name="T18" fmla="*/ 6 h 6"/>
                </a:gdLst>
                <a:ahLst/>
                <a:cxnLst>
                  <a:cxn ang="T10">
                    <a:pos x="T0" y="T1"/>
                  </a:cxn>
                  <a:cxn ang="T11">
                    <a:pos x="T2" y="T3"/>
                  </a:cxn>
                  <a:cxn ang="T12">
                    <a:pos x="T4" y="T5"/>
                  </a:cxn>
                  <a:cxn ang="T13">
                    <a:pos x="T6" y="T7"/>
                  </a:cxn>
                  <a:cxn ang="T14">
                    <a:pos x="T8" y="T9"/>
                  </a:cxn>
                </a:cxnLst>
                <a:rect l="T15" t="T16" r="T17" b="T18"/>
                <a:pathLst>
                  <a:path w="11" h="6">
                    <a:moveTo>
                      <a:pt x="0" y="2"/>
                    </a:moveTo>
                    <a:lnTo>
                      <a:pt x="4" y="0"/>
                    </a:lnTo>
                    <a:lnTo>
                      <a:pt x="11" y="4"/>
                    </a:lnTo>
                    <a:lnTo>
                      <a:pt x="7" y="6"/>
                    </a:lnTo>
                    <a:lnTo>
                      <a:pt x="0" y="2"/>
                    </a:lnTo>
                    <a:close/>
                  </a:path>
                </a:pathLst>
              </a:custGeom>
              <a:solidFill>
                <a:srgbClr val="FFFFFF"/>
              </a:solidFill>
              <a:ln w="9525">
                <a:solidFill>
                  <a:srgbClr val="000000"/>
                </a:solidFill>
                <a:round/>
                <a:headEnd/>
                <a:tailEnd/>
              </a:ln>
            </xdr:spPr>
          </xdr:sp>
          <xdr:sp macro="" textlink="">
            <xdr:nvSpPr>
              <xdr:cNvPr id="12780" name="Freeform 1079"/>
              <xdr:cNvSpPr>
                <a:spLocks/>
              </xdr:cNvSpPr>
            </xdr:nvSpPr>
            <xdr:spPr bwMode="auto">
              <a:xfrm>
                <a:off x="656" y="938"/>
                <a:ext cx="7" cy="10"/>
              </a:xfrm>
              <a:custGeom>
                <a:avLst/>
                <a:gdLst>
                  <a:gd name="T0" fmla="*/ 3 w 7"/>
                  <a:gd name="T1" fmla="*/ 10 h 10"/>
                  <a:gd name="T2" fmla="*/ 7 w 7"/>
                  <a:gd name="T3" fmla="*/ 8 h 10"/>
                  <a:gd name="T4" fmla="*/ 4 w 7"/>
                  <a:gd name="T5" fmla="*/ 0 h 10"/>
                  <a:gd name="T6" fmla="*/ 0 w 7"/>
                  <a:gd name="T7" fmla="*/ 2 h 10"/>
                  <a:gd name="T8" fmla="*/ 3 w 7"/>
                  <a:gd name="T9" fmla="*/ 10 h 10"/>
                  <a:gd name="T10" fmla="*/ 0 60000 65536"/>
                  <a:gd name="T11" fmla="*/ 0 60000 65536"/>
                  <a:gd name="T12" fmla="*/ 0 60000 65536"/>
                  <a:gd name="T13" fmla="*/ 0 60000 65536"/>
                  <a:gd name="T14" fmla="*/ 0 60000 65536"/>
                  <a:gd name="T15" fmla="*/ 0 w 7"/>
                  <a:gd name="T16" fmla="*/ 0 h 10"/>
                  <a:gd name="T17" fmla="*/ 7 w 7"/>
                  <a:gd name="T18" fmla="*/ 10 h 10"/>
                </a:gdLst>
                <a:ahLst/>
                <a:cxnLst>
                  <a:cxn ang="T10">
                    <a:pos x="T0" y="T1"/>
                  </a:cxn>
                  <a:cxn ang="T11">
                    <a:pos x="T2" y="T3"/>
                  </a:cxn>
                  <a:cxn ang="T12">
                    <a:pos x="T4" y="T5"/>
                  </a:cxn>
                  <a:cxn ang="T13">
                    <a:pos x="T6" y="T7"/>
                  </a:cxn>
                  <a:cxn ang="T14">
                    <a:pos x="T8" y="T9"/>
                  </a:cxn>
                </a:cxnLst>
                <a:rect l="T15" t="T16" r="T17" b="T18"/>
                <a:pathLst>
                  <a:path w="7" h="10">
                    <a:moveTo>
                      <a:pt x="3" y="10"/>
                    </a:moveTo>
                    <a:lnTo>
                      <a:pt x="7" y="8"/>
                    </a:lnTo>
                    <a:lnTo>
                      <a:pt x="4" y="0"/>
                    </a:lnTo>
                    <a:lnTo>
                      <a:pt x="0" y="2"/>
                    </a:lnTo>
                    <a:lnTo>
                      <a:pt x="3" y="10"/>
                    </a:lnTo>
                    <a:close/>
                  </a:path>
                </a:pathLst>
              </a:custGeom>
              <a:solidFill>
                <a:srgbClr val="FFFFFF"/>
              </a:solidFill>
              <a:ln w="9525">
                <a:solidFill>
                  <a:srgbClr val="000000"/>
                </a:solidFill>
                <a:round/>
                <a:headEnd/>
                <a:tailEnd/>
              </a:ln>
            </xdr:spPr>
          </xdr:sp>
          <xdr:sp macro="" textlink="">
            <xdr:nvSpPr>
              <xdr:cNvPr id="12781" name="Freeform 1080"/>
              <xdr:cNvSpPr>
                <a:spLocks/>
              </xdr:cNvSpPr>
            </xdr:nvSpPr>
            <xdr:spPr bwMode="auto">
              <a:xfrm>
                <a:off x="656" y="946"/>
                <a:ext cx="7" cy="6"/>
              </a:xfrm>
              <a:custGeom>
                <a:avLst/>
                <a:gdLst>
                  <a:gd name="T0" fmla="*/ 3 w 7"/>
                  <a:gd name="T1" fmla="*/ 2 h 6"/>
                  <a:gd name="T2" fmla="*/ 7 w 7"/>
                  <a:gd name="T3" fmla="*/ 0 h 6"/>
                  <a:gd name="T4" fmla="*/ 4 w 7"/>
                  <a:gd name="T5" fmla="*/ 4 h 6"/>
                  <a:gd name="T6" fmla="*/ 0 w 7"/>
                  <a:gd name="T7" fmla="*/ 6 h 6"/>
                  <a:gd name="T8" fmla="*/ 3 w 7"/>
                  <a:gd name="T9" fmla="*/ 2 h 6"/>
                  <a:gd name="T10" fmla="*/ 0 60000 65536"/>
                  <a:gd name="T11" fmla="*/ 0 60000 65536"/>
                  <a:gd name="T12" fmla="*/ 0 60000 65536"/>
                  <a:gd name="T13" fmla="*/ 0 60000 65536"/>
                  <a:gd name="T14" fmla="*/ 0 60000 65536"/>
                  <a:gd name="T15" fmla="*/ 0 w 7"/>
                  <a:gd name="T16" fmla="*/ 0 h 6"/>
                  <a:gd name="T17" fmla="*/ 7 w 7"/>
                  <a:gd name="T18" fmla="*/ 6 h 6"/>
                </a:gdLst>
                <a:ahLst/>
                <a:cxnLst>
                  <a:cxn ang="T10">
                    <a:pos x="T0" y="T1"/>
                  </a:cxn>
                  <a:cxn ang="T11">
                    <a:pos x="T2" y="T3"/>
                  </a:cxn>
                  <a:cxn ang="T12">
                    <a:pos x="T4" y="T5"/>
                  </a:cxn>
                  <a:cxn ang="T13">
                    <a:pos x="T6" y="T7"/>
                  </a:cxn>
                  <a:cxn ang="T14">
                    <a:pos x="T8" y="T9"/>
                  </a:cxn>
                </a:cxnLst>
                <a:rect l="T15" t="T16" r="T17" b="T18"/>
                <a:pathLst>
                  <a:path w="7" h="6">
                    <a:moveTo>
                      <a:pt x="3" y="2"/>
                    </a:moveTo>
                    <a:lnTo>
                      <a:pt x="7" y="0"/>
                    </a:lnTo>
                    <a:lnTo>
                      <a:pt x="4" y="4"/>
                    </a:lnTo>
                    <a:lnTo>
                      <a:pt x="0" y="6"/>
                    </a:lnTo>
                    <a:lnTo>
                      <a:pt x="3" y="2"/>
                    </a:lnTo>
                    <a:close/>
                  </a:path>
                </a:pathLst>
              </a:custGeom>
              <a:solidFill>
                <a:srgbClr val="FFFFFF"/>
              </a:solidFill>
              <a:ln w="9525">
                <a:solidFill>
                  <a:srgbClr val="000000"/>
                </a:solidFill>
                <a:round/>
                <a:headEnd/>
                <a:tailEnd/>
              </a:ln>
            </xdr:spPr>
          </xdr:sp>
        </xdr:grpSp>
        <xdr:grpSp>
          <xdr:nvGrpSpPr>
            <xdr:cNvPr id="12317" name="Group 1081"/>
            <xdr:cNvGrpSpPr>
              <a:grpSpLocks/>
            </xdr:cNvGrpSpPr>
          </xdr:nvGrpSpPr>
          <xdr:grpSpPr bwMode="auto">
            <a:xfrm>
              <a:off x="3586285" y="4803287"/>
              <a:ext cx="162902" cy="168275"/>
              <a:chOff x="646" y="934"/>
              <a:chExt cx="17" cy="18"/>
            </a:xfrm>
          </xdr:grpSpPr>
          <xdr:sp macro="" textlink="">
            <xdr:nvSpPr>
              <xdr:cNvPr id="12772" name="Freeform 1082"/>
              <xdr:cNvSpPr>
                <a:spLocks/>
              </xdr:cNvSpPr>
            </xdr:nvSpPr>
            <xdr:spPr bwMode="auto">
              <a:xfrm>
                <a:off x="650" y="934"/>
                <a:ext cx="13" cy="16"/>
              </a:xfrm>
              <a:custGeom>
                <a:avLst/>
                <a:gdLst>
                  <a:gd name="T0" fmla="*/ 0 w 59"/>
                  <a:gd name="T1" fmla="*/ 0 h 76"/>
                  <a:gd name="T2" fmla="*/ 0 w 59"/>
                  <a:gd name="T3" fmla="*/ 0 h 76"/>
                  <a:gd name="T4" fmla="*/ 0 w 59"/>
                  <a:gd name="T5" fmla="*/ 0 h 76"/>
                  <a:gd name="T6" fmla="*/ 0 w 59"/>
                  <a:gd name="T7" fmla="*/ 0 h 76"/>
                  <a:gd name="T8" fmla="*/ 0 w 59"/>
                  <a:gd name="T9" fmla="*/ 0 h 76"/>
                  <a:gd name="T10" fmla="*/ 0 w 59"/>
                  <a:gd name="T11" fmla="*/ 0 h 76"/>
                  <a:gd name="T12" fmla="*/ 0 w 59"/>
                  <a:gd name="T13" fmla="*/ 0 h 76"/>
                  <a:gd name="T14" fmla="*/ 0 60000 65536"/>
                  <a:gd name="T15" fmla="*/ 0 60000 65536"/>
                  <a:gd name="T16" fmla="*/ 0 60000 65536"/>
                  <a:gd name="T17" fmla="*/ 0 60000 65536"/>
                  <a:gd name="T18" fmla="*/ 0 60000 65536"/>
                  <a:gd name="T19" fmla="*/ 0 60000 65536"/>
                  <a:gd name="T20" fmla="*/ 0 60000 65536"/>
                  <a:gd name="T21" fmla="*/ 0 w 59"/>
                  <a:gd name="T22" fmla="*/ 0 h 76"/>
                  <a:gd name="T23" fmla="*/ 59 w 59"/>
                  <a:gd name="T24" fmla="*/ 76 h 76"/>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9" h="76">
                    <a:moveTo>
                      <a:pt x="45" y="76"/>
                    </a:moveTo>
                    <a:lnTo>
                      <a:pt x="59" y="58"/>
                    </a:lnTo>
                    <a:lnTo>
                      <a:pt x="45" y="18"/>
                    </a:lnTo>
                    <a:lnTo>
                      <a:pt x="13" y="0"/>
                    </a:lnTo>
                    <a:lnTo>
                      <a:pt x="0" y="23"/>
                    </a:lnTo>
                    <a:lnTo>
                      <a:pt x="13" y="58"/>
                    </a:lnTo>
                    <a:lnTo>
                      <a:pt x="45" y="76"/>
                    </a:lnTo>
                    <a:close/>
                  </a:path>
                </a:pathLst>
              </a:custGeom>
              <a:solidFill>
                <a:srgbClr val="FFFFFF"/>
              </a:solidFill>
              <a:ln w="9525">
                <a:solidFill>
                  <a:srgbClr val="000000"/>
                </a:solidFill>
                <a:round/>
                <a:headEnd/>
                <a:tailEnd/>
              </a:ln>
            </xdr:spPr>
          </xdr:sp>
          <xdr:sp macro="" textlink="">
            <xdr:nvSpPr>
              <xdr:cNvPr id="12773" name="Freeform 1083"/>
              <xdr:cNvSpPr>
                <a:spLocks/>
              </xdr:cNvSpPr>
            </xdr:nvSpPr>
            <xdr:spPr bwMode="auto">
              <a:xfrm>
                <a:off x="646" y="936"/>
                <a:ext cx="13" cy="16"/>
              </a:xfrm>
              <a:custGeom>
                <a:avLst/>
                <a:gdLst>
                  <a:gd name="T0" fmla="*/ 0 w 59"/>
                  <a:gd name="T1" fmla="*/ 0 h 76"/>
                  <a:gd name="T2" fmla="*/ 0 w 59"/>
                  <a:gd name="T3" fmla="*/ 0 h 76"/>
                  <a:gd name="T4" fmla="*/ 0 w 59"/>
                  <a:gd name="T5" fmla="*/ 0 h 76"/>
                  <a:gd name="T6" fmla="*/ 0 w 59"/>
                  <a:gd name="T7" fmla="*/ 0 h 76"/>
                  <a:gd name="T8" fmla="*/ 0 w 59"/>
                  <a:gd name="T9" fmla="*/ 0 h 76"/>
                  <a:gd name="T10" fmla="*/ 0 w 59"/>
                  <a:gd name="T11" fmla="*/ 0 h 76"/>
                  <a:gd name="T12" fmla="*/ 0 w 59"/>
                  <a:gd name="T13" fmla="*/ 0 h 76"/>
                  <a:gd name="T14" fmla="*/ 0 60000 65536"/>
                  <a:gd name="T15" fmla="*/ 0 60000 65536"/>
                  <a:gd name="T16" fmla="*/ 0 60000 65536"/>
                  <a:gd name="T17" fmla="*/ 0 60000 65536"/>
                  <a:gd name="T18" fmla="*/ 0 60000 65536"/>
                  <a:gd name="T19" fmla="*/ 0 60000 65536"/>
                  <a:gd name="T20" fmla="*/ 0 60000 65536"/>
                  <a:gd name="T21" fmla="*/ 0 w 59"/>
                  <a:gd name="T22" fmla="*/ 0 h 76"/>
                  <a:gd name="T23" fmla="*/ 59 w 59"/>
                  <a:gd name="T24" fmla="*/ 76 h 76"/>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9" h="76">
                    <a:moveTo>
                      <a:pt x="45" y="76"/>
                    </a:moveTo>
                    <a:lnTo>
                      <a:pt x="59" y="58"/>
                    </a:lnTo>
                    <a:lnTo>
                      <a:pt x="45" y="18"/>
                    </a:lnTo>
                    <a:lnTo>
                      <a:pt x="13" y="0"/>
                    </a:lnTo>
                    <a:lnTo>
                      <a:pt x="0" y="23"/>
                    </a:lnTo>
                    <a:lnTo>
                      <a:pt x="13" y="58"/>
                    </a:lnTo>
                    <a:lnTo>
                      <a:pt x="45" y="76"/>
                    </a:lnTo>
                    <a:close/>
                  </a:path>
                </a:pathLst>
              </a:custGeom>
              <a:solidFill>
                <a:srgbClr val="FFFFFF"/>
              </a:solidFill>
              <a:ln w="9525">
                <a:solidFill>
                  <a:srgbClr val="000000"/>
                </a:solidFill>
                <a:round/>
                <a:headEnd/>
                <a:tailEnd/>
              </a:ln>
            </xdr:spPr>
          </xdr:sp>
          <xdr:sp macro="" textlink="">
            <xdr:nvSpPr>
              <xdr:cNvPr id="12774" name="Freeform 1084"/>
              <xdr:cNvSpPr>
                <a:spLocks/>
              </xdr:cNvSpPr>
            </xdr:nvSpPr>
            <xdr:spPr bwMode="auto">
              <a:xfrm>
                <a:off x="649" y="934"/>
                <a:ext cx="11" cy="6"/>
              </a:xfrm>
              <a:custGeom>
                <a:avLst/>
                <a:gdLst>
                  <a:gd name="T0" fmla="*/ 0 w 11"/>
                  <a:gd name="T1" fmla="*/ 2 h 6"/>
                  <a:gd name="T2" fmla="*/ 4 w 11"/>
                  <a:gd name="T3" fmla="*/ 0 h 6"/>
                  <a:gd name="T4" fmla="*/ 11 w 11"/>
                  <a:gd name="T5" fmla="*/ 4 h 6"/>
                  <a:gd name="T6" fmla="*/ 7 w 11"/>
                  <a:gd name="T7" fmla="*/ 6 h 6"/>
                  <a:gd name="T8" fmla="*/ 0 w 11"/>
                  <a:gd name="T9" fmla="*/ 2 h 6"/>
                  <a:gd name="T10" fmla="*/ 0 60000 65536"/>
                  <a:gd name="T11" fmla="*/ 0 60000 65536"/>
                  <a:gd name="T12" fmla="*/ 0 60000 65536"/>
                  <a:gd name="T13" fmla="*/ 0 60000 65536"/>
                  <a:gd name="T14" fmla="*/ 0 60000 65536"/>
                  <a:gd name="T15" fmla="*/ 0 w 11"/>
                  <a:gd name="T16" fmla="*/ 0 h 6"/>
                  <a:gd name="T17" fmla="*/ 11 w 11"/>
                  <a:gd name="T18" fmla="*/ 6 h 6"/>
                </a:gdLst>
                <a:ahLst/>
                <a:cxnLst>
                  <a:cxn ang="T10">
                    <a:pos x="T0" y="T1"/>
                  </a:cxn>
                  <a:cxn ang="T11">
                    <a:pos x="T2" y="T3"/>
                  </a:cxn>
                  <a:cxn ang="T12">
                    <a:pos x="T4" y="T5"/>
                  </a:cxn>
                  <a:cxn ang="T13">
                    <a:pos x="T6" y="T7"/>
                  </a:cxn>
                  <a:cxn ang="T14">
                    <a:pos x="T8" y="T9"/>
                  </a:cxn>
                </a:cxnLst>
                <a:rect l="T15" t="T16" r="T17" b="T18"/>
                <a:pathLst>
                  <a:path w="11" h="6">
                    <a:moveTo>
                      <a:pt x="0" y="2"/>
                    </a:moveTo>
                    <a:lnTo>
                      <a:pt x="4" y="0"/>
                    </a:lnTo>
                    <a:lnTo>
                      <a:pt x="11" y="4"/>
                    </a:lnTo>
                    <a:lnTo>
                      <a:pt x="7" y="6"/>
                    </a:lnTo>
                    <a:lnTo>
                      <a:pt x="0" y="2"/>
                    </a:lnTo>
                    <a:close/>
                  </a:path>
                </a:pathLst>
              </a:custGeom>
              <a:solidFill>
                <a:srgbClr val="FFFFFF"/>
              </a:solidFill>
              <a:ln w="9525">
                <a:solidFill>
                  <a:srgbClr val="000000"/>
                </a:solidFill>
                <a:round/>
                <a:headEnd/>
                <a:tailEnd/>
              </a:ln>
            </xdr:spPr>
          </xdr:sp>
          <xdr:sp macro="" textlink="">
            <xdr:nvSpPr>
              <xdr:cNvPr id="12775" name="Freeform 1085"/>
              <xdr:cNvSpPr>
                <a:spLocks/>
              </xdr:cNvSpPr>
            </xdr:nvSpPr>
            <xdr:spPr bwMode="auto">
              <a:xfrm>
                <a:off x="656" y="938"/>
                <a:ext cx="7" cy="10"/>
              </a:xfrm>
              <a:custGeom>
                <a:avLst/>
                <a:gdLst>
                  <a:gd name="T0" fmla="*/ 3 w 7"/>
                  <a:gd name="T1" fmla="*/ 10 h 10"/>
                  <a:gd name="T2" fmla="*/ 7 w 7"/>
                  <a:gd name="T3" fmla="*/ 8 h 10"/>
                  <a:gd name="T4" fmla="*/ 4 w 7"/>
                  <a:gd name="T5" fmla="*/ 0 h 10"/>
                  <a:gd name="T6" fmla="*/ 0 w 7"/>
                  <a:gd name="T7" fmla="*/ 2 h 10"/>
                  <a:gd name="T8" fmla="*/ 3 w 7"/>
                  <a:gd name="T9" fmla="*/ 10 h 10"/>
                  <a:gd name="T10" fmla="*/ 0 60000 65536"/>
                  <a:gd name="T11" fmla="*/ 0 60000 65536"/>
                  <a:gd name="T12" fmla="*/ 0 60000 65536"/>
                  <a:gd name="T13" fmla="*/ 0 60000 65536"/>
                  <a:gd name="T14" fmla="*/ 0 60000 65536"/>
                  <a:gd name="T15" fmla="*/ 0 w 7"/>
                  <a:gd name="T16" fmla="*/ 0 h 10"/>
                  <a:gd name="T17" fmla="*/ 7 w 7"/>
                  <a:gd name="T18" fmla="*/ 10 h 10"/>
                </a:gdLst>
                <a:ahLst/>
                <a:cxnLst>
                  <a:cxn ang="T10">
                    <a:pos x="T0" y="T1"/>
                  </a:cxn>
                  <a:cxn ang="T11">
                    <a:pos x="T2" y="T3"/>
                  </a:cxn>
                  <a:cxn ang="T12">
                    <a:pos x="T4" y="T5"/>
                  </a:cxn>
                  <a:cxn ang="T13">
                    <a:pos x="T6" y="T7"/>
                  </a:cxn>
                  <a:cxn ang="T14">
                    <a:pos x="T8" y="T9"/>
                  </a:cxn>
                </a:cxnLst>
                <a:rect l="T15" t="T16" r="T17" b="T18"/>
                <a:pathLst>
                  <a:path w="7" h="10">
                    <a:moveTo>
                      <a:pt x="3" y="10"/>
                    </a:moveTo>
                    <a:lnTo>
                      <a:pt x="7" y="8"/>
                    </a:lnTo>
                    <a:lnTo>
                      <a:pt x="4" y="0"/>
                    </a:lnTo>
                    <a:lnTo>
                      <a:pt x="0" y="2"/>
                    </a:lnTo>
                    <a:lnTo>
                      <a:pt x="3" y="10"/>
                    </a:lnTo>
                    <a:close/>
                  </a:path>
                </a:pathLst>
              </a:custGeom>
              <a:solidFill>
                <a:srgbClr val="FFFFFF"/>
              </a:solidFill>
              <a:ln w="9525">
                <a:solidFill>
                  <a:srgbClr val="000000"/>
                </a:solidFill>
                <a:round/>
                <a:headEnd/>
                <a:tailEnd/>
              </a:ln>
            </xdr:spPr>
          </xdr:sp>
          <xdr:sp macro="" textlink="">
            <xdr:nvSpPr>
              <xdr:cNvPr id="12776" name="Freeform 1086"/>
              <xdr:cNvSpPr>
                <a:spLocks/>
              </xdr:cNvSpPr>
            </xdr:nvSpPr>
            <xdr:spPr bwMode="auto">
              <a:xfrm>
                <a:off x="656" y="946"/>
                <a:ext cx="7" cy="6"/>
              </a:xfrm>
              <a:custGeom>
                <a:avLst/>
                <a:gdLst>
                  <a:gd name="T0" fmla="*/ 3 w 7"/>
                  <a:gd name="T1" fmla="*/ 2 h 6"/>
                  <a:gd name="T2" fmla="*/ 7 w 7"/>
                  <a:gd name="T3" fmla="*/ 0 h 6"/>
                  <a:gd name="T4" fmla="*/ 4 w 7"/>
                  <a:gd name="T5" fmla="*/ 4 h 6"/>
                  <a:gd name="T6" fmla="*/ 0 w 7"/>
                  <a:gd name="T7" fmla="*/ 6 h 6"/>
                  <a:gd name="T8" fmla="*/ 3 w 7"/>
                  <a:gd name="T9" fmla="*/ 2 h 6"/>
                  <a:gd name="T10" fmla="*/ 0 60000 65536"/>
                  <a:gd name="T11" fmla="*/ 0 60000 65536"/>
                  <a:gd name="T12" fmla="*/ 0 60000 65536"/>
                  <a:gd name="T13" fmla="*/ 0 60000 65536"/>
                  <a:gd name="T14" fmla="*/ 0 60000 65536"/>
                  <a:gd name="T15" fmla="*/ 0 w 7"/>
                  <a:gd name="T16" fmla="*/ 0 h 6"/>
                  <a:gd name="T17" fmla="*/ 7 w 7"/>
                  <a:gd name="T18" fmla="*/ 6 h 6"/>
                </a:gdLst>
                <a:ahLst/>
                <a:cxnLst>
                  <a:cxn ang="T10">
                    <a:pos x="T0" y="T1"/>
                  </a:cxn>
                  <a:cxn ang="T11">
                    <a:pos x="T2" y="T3"/>
                  </a:cxn>
                  <a:cxn ang="T12">
                    <a:pos x="T4" y="T5"/>
                  </a:cxn>
                  <a:cxn ang="T13">
                    <a:pos x="T6" y="T7"/>
                  </a:cxn>
                  <a:cxn ang="T14">
                    <a:pos x="T8" y="T9"/>
                  </a:cxn>
                </a:cxnLst>
                <a:rect l="T15" t="T16" r="T17" b="T18"/>
                <a:pathLst>
                  <a:path w="7" h="6">
                    <a:moveTo>
                      <a:pt x="3" y="2"/>
                    </a:moveTo>
                    <a:lnTo>
                      <a:pt x="7" y="0"/>
                    </a:lnTo>
                    <a:lnTo>
                      <a:pt x="4" y="4"/>
                    </a:lnTo>
                    <a:lnTo>
                      <a:pt x="0" y="6"/>
                    </a:lnTo>
                    <a:lnTo>
                      <a:pt x="3" y="2"/>
                    </a:lnTo>
                    <a:close/>
                  </a:path>
                </a:pathLst>
              </a:custGeom>
              <a:solidFill>
                <a:srgbClr val="FFFFFF"/>
              </a:solidFill>
              <a:ln w="9525">
                <a:solidFill>
                  <a:srgbClr val="000000"/>
                </a:solidFill>
                <a:round/>
                <a:headEnd/>
                <a:tailEnd/>
              </a:ln>
            </xdr:spPr>
          </xdr:sp>
        </xdr:grpSp>
        <xdr:grpSp>
          <xdr:nvGrpSpPr>
            <xdr:cNvPr id="12318" name="Group 1087"/>
            <xdr:cNvGrpSpPr>
              <a:grpSpLocks/>
            </xdr:cNvGrpSpPr>
          </xdr:nvGrpSpPr>
          <xdr:grpSpPr bwMode="auto">
            <a:xfrm>
              <a:off x="2861408" y="4393712"/>
              <a:ext cx="161925" cy="168275"/>
              <a:chOff x="646" y="934"/>
              <a:chExt cx="17" cy="18"/>
            </a:xfrm>
          </xdr:grpSpPr>
          <xdr:sp macro="" textlink="">
            <xdr:nvSpPr>
              <xdr:cNvPr id="12767" name="Freeform 1088"/>
              <xdr:cNvSpPr>
                <a:spLocks/>
              </xdr:cNvSpPr>
            </xdr:nvSpPr>
            <xdr:spPr bwMode="auto">
              <a:xfrm>
                <a:off x="650" y="934"/>
                <a:ext cx="13" cy="16"/>
              </a:xfrm>
              <a:custGeom>
                <a:avLst/>
                <a:gdLst>
                  <a:gd name="T0" fmla="*/ 0 w 59"/>
                  <a:gd name="T1" fmla="*/ 0 h 76"/>
                  <a:gd name="T2" fmla="*/ 0 w 59"/>
                  <a:gd name="T3" fmla="*/ 0 h 76"/>
                  <a:gd name="T4" fmla="*/ 0 w 59"/>
                  <a:gd name="T5" fmla="*/ 0 h 76"/>
                  <a:gd name="T6" fmla="*/ 0 w 59"/>
                  <a:gd name="T7" fmla="*/ 0 h 76"/>
                  <a:gd name="T8" fmla="*/ 0 w 59"/>
                  <a:gd name="T9" fmla="*/ 0 h 76"/>
                  <a:gd name="T10" fmla="*/ 0 w 59"/>
                  <a:gd name="T11" fmla="*/ 0 h 76"/>
                  <a:gd name="T12" fmla="*/ 0 w 59"/>
                  <a:gd name="T13" fmla="*/ 0 h 76"/>
                  <a:gd name="T14" fmla="*/ 0 60000 65536"/>
                  <a:gd name="T15" fmla="*/ 0 60000 65536"/>
                  <a:gd name="T16" fmla="*/ 0 60000 65536"/>
                  <a:gd name="T17" fmla="*/ 0 60000 65536"/>
                  <a:gd name="T18" fmla="*/ 0 60000 65536"/>
                  <a:gd name="T19" fmla="*/ 0 60000 65536"/>
                  <a:gd name="T20" fmla="*/ 0 60000 65536"/>
                  <a:gd name="T21" fmla="*/ 0 w 59"/>
                  <a:gd name="T22" fmla="*/ 0 h 76"/>
                  <a:gd name="T23" fmla="*/ 59 w 59"/>
                  <a:gd name="T24" fmla="*/ 76 h 76"/>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9" h="76">
                    <a:moveTo>
                      <a:pt x="45" y="76"/>
                    </a:moveTo>
                    <a:lnTo>
                      <a:pt x="59" y="58"/>
                    </a:lnTo>
                    <a:lnTo>
                      <a:pt x="45" y="18"/>
                    </a:lnTo>
                    <a:lnTo>
                      <a:pt x="13" y="0"/>
                    </a:lnTo>
                    <a:lnTo>
                      <a:pt x="0" y="23"/>
                    </a:lnTo>
                    <a:lnTo>
                      <a:pt x="13" y="58"/>
                    </a:lnTo>
                    <a:lnTo>
                      <a:pt x="45" y="76"/>
                    </a:lnTo>
                    <a:close/>
                  </a:path>
                </a:pathLst>
              </a:custGeom>
              <a:solidFill>
                <a:srgbClr val="FFFFFF"/>
              </a:solidFill>
              <a:ln w="9525">
                <a:solidFill>
                  <a:srgbClr val="000000"/>
                </a:solidFill>
                <a:round/>
                <a:headEnd/>
                <a:tailEnd/>
              </a:ln>
            </xdr:spPr>
          </xdr:sp>
          <xdr:sp macro="" textlink="">
            <xdr:nvSpPr>
              <xdr:cNvPr id="12768" name="Freeform 1089"/>
              <xdr:cNvSpPr>
                <a:spLocks/>
              </xdr:cNvSpPr>
            </xdr:nvSpPr>
            <xdr:spPr bwMode="auto">
              <a:xfrm>
                <a:off x="646" y="936"/>
                <a:ext cx="13" cy="16"/>
              </a:xfrm>
              <a:custGeom>
                <a:avLst/>
                <a:gdLst>
                  <a:gd name="T0" fmla="*/ 0 w 59"/>
                  <a:gd name="T1" fmla="*/ 0 h 76"/>
                  <a:gd name="T2" fmla="*/ 0 w 59"/>
                  <a:gd name="T3" fmla="*/ 0 h 76"/>
                  <a:gd name="T4" fmla="*/ 0 w 59"/>
                  <a:gd name="T5" fmla="*/ 0 h 76"/>
                  <a:gd name="T6" fmla="*/ 0 w 59"/>
                  <a:gd name="T7" fmla="*/ 0 h 76"/>
                  <a:gd name="T8" fmla="*/ 0 w 59"/>
                  <a:gd name="T9" fmla="*/ 0 h 76"/>
                  <a:gd name="T10" fmla="*/ 0 w 59"/>
                  <a:gd name="T11" fmla="*/ 0 h 76"/>
                  <a:gd name="T12" fmla="*/ 0 w 59"/>
                  <a:gd name="T13" fmla="*/ 0 h 76"/>
                  <a:gd name="T14" fmla="*/ 0 60000 65536"/>
                  <a:gd name="T15" fmla="*/ 0 60000 65536"/>
                  <a:gd name="T16" fmla="*/ 0 60000 65536"/>
                  <a:gd name="T17" fmla="*/ 0 60000 65536"/>
                  <a:gd name="T18" fmla="*/ 0 60000 65536"/>
                  <a:gd name="T19" fmla="*/ 0 60000 65536"/>
                  <a:gd name="T20" fmla="*/ 0 60000 65536"/>
                  <a:gd name="T21" fmla="*/ 0 w 59"/>
                  <a:gd name="T22" fmla="*/ 0 h 76"/>
                  <a:gd name="T23" fmla="*/ 59 w 59"/>
                  <a:gd name="T24" fmla="*/ 76 h 76"/>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9" h="76">
                    <a:moveTo>
                      <a:pt x="45" y="76"/>
                    </a:moveTo>
                    <a:lnTo>
                      <a:pt x="59" y="58"/>
                    </a:lnTo>
                    <a:lnTo>
                      <a:pt x="45" y="18"/>
                    </a:lnTo>
                    <a:lnTo>
                      <a:pt x="13" y="0"/>
                    </a:lnTo>
                    <a:lnTo>
                      <a:pt x="0" y="23"/>
                    </a:lnTo>
                    <a:lnTo>
                      <a:pt x="13" y="58"/>
                    </a:lnTo>
                    <a:lnTo>
                      <a:pt x="45" y="76"/>
                    </a:lnTo>
                    <a:close/>
                  </a:path>
                </a:pathLst>
              </a:custGeom>
              <a:solidFill>
                <a:srgbClr val="FFFFFF"/>
              </a:solidFill>
              <a:ln w="9525">
                <a:solidFill>
                  <a:srgbClr val="000000"/>
                </a:solidFill>
                <a:round/>
                <a:headEnd/>
                <a:tailEnd/>
              </a:ln>
            </xdr:spPr>
          </xdr:sp>
          <xdr:sp macro="" textlink="">
            <xdr:nvSpPr>
              <xdr:cNvPr id="12769" name="Freeform 1090"/>
              <xdr:cNvSpPr>
                <a:spLocks/>
              </xdr:cNvSpPr>
            </xdr:nvSpPr>
            <xdr:spPr bwMode="auto">
              <a:xfrm>
                <a:off x="649" y="934"/>
                <a:ext cx="11" cy="6"/>
              </a:xfrm>
              <a:custGeom>
                <a:avLst/>
                <a:gdLst>
                  <a:gd name="T0" fmla="*/ 0 w 11"/>
                  <a:gd name="T1" fmla="*/ 2 h 6"/>
                  <a:gd name="T2" fmla="*/ 4 w 11"/>
                  <a:gd name="T3" fmla="*/ 0 h 6"/>
                  <a:gd name="T4" fmla="*/ 11 w 11"/>
                  <a:gd name="T5" fmla="*/ 4 h 6"/>
                  <a:gd name="T6" fmla="*/ 7 w 11"/>
                  <a:gd name="T7" fmla="*/ 6 h 6"/>
                  <a:gd name="T8" fmla="*/ 0 w 11"/>
                  <a:gd name="T9" fmla="*/ 2 h 6"/>
                  <a:gd name="T10" fmla="*/ 0 60000 65536"/>
                  <a:gd name="T11" fmla="*/ 0 60000 65536"/>
                  <a:gd name="T12" fmla="*/ 0 60000 65536"/>
                  <a:gd name="T13" fmla="*/ 0 60000 65536"/>
                  <a:gd name="T14" fmla="*/ 0 60000 65536"/>
                  <a:gd name="T15" fmla="*/ 0 w 11"/>
                  <a:gd name="T16" fmla="*/ 0 h 6"/>
                  <a:gd name="T17" fmla="*/ 11 w 11"/>
                  <a:gd name="T18" fmla="*/ 6 h 6"/>
                </a:gdLst>
                <a:ahLst/>
                <a:cxnLst>
                  <a:cxn ang="T10">
                    <a:pos x="T0" y="T1"/>
                  </a:cxn>
                  <a:cxn ang="T11">
                    <a:pos x="T2" y="T3"/>
                  </a:cxn>
                  <a:cxn ang="T12">
                    <a:pos x="T4" y="T5"/>
                  </a:cxn>
                  <a:cxn ang="T13">
                    <a:pos x="T6" y="T7"/>
                  </a:cxn>
                  <a:cxn ang="T14">
                    <a:pos x="T8" y="T9"/>
                  </a:cxn>
                </a:cxnLst>
                <a:rect l="T15" t="T16" r="T17" b="T18"/>
                <a:pathLst>
                  <a:path w="11" h="6">
                    <a:moveTo>
                      <a:pt x="0" y="2"/>
                    </a:moveTo>
                    <a:lnTo>
                      <a:pt x="4" y="0"/>
                    </a:lnTo>
                    <a:lnTo>
                      <a:pt x="11" y="4"/>
                    </a:lnTo>
                    <a:lnTo>
                      <a:pt x="7" y="6"/>
                    </a:lnTo>
                    <a:lnTo>
                      <a:pt x="0" y="2"/>
                    </a:lnTo>
                    <a:close/>
                  </a:path>
                </a:pathLst>
              </a:custGeom>
              <a:solidFill>
                <a:srgbClr val="FFFFFF"/>
              </a:solidFill>
              <a:ln w="9525">
                <a:solidFill>
                  <a:srgbClr val="000000"/>
                </a:solidFill>
                <a:round/>
                <a:headEnd/>
                <a:tailEnd/>
              </a:ln>
            </xdr:spPr>
          </xdr:sp>
          <xdr:sp macro="" textlink="">
            <xdr:nvSpPr>
              <xdr:cNvPr id="12770" name="Freeform 1091"/>
              <xdr:cNvSpPr>
                <a:spLocks/>
              </xdr:cNvSpPr>
            </xdr:nvSpPr>
            <xdr:spPr bwMode="auto">
              <a:xfrm>
                <a:off x="656" y="938"/>
                <a:ext cx="7" cy="10"/>
              </a:xfrm>
              <a:custGeom>
                <a:avLst/>
                <a:gdLst>
                  <a:gd name="T0" fmla="*/ 3 w 7"/>
                  <a:gd name="T1" fmla="*/ 10 h 10"/>
                  <a:gd name="T2" fmla="*/ 7 w 7"/>
                  <a:gd name="T3" fmla="*/ 8 h 10"/>
                  <a:gd name="T4" fmla="*/ 4 w 7"/>
                  <a:gd name="T5" fmla="*/ 0 h 10"/>
                  <a:gd name="T6" fmla="*/ 0 w 7"/>
                  <a:gd name="T7" fmla="*/ 2 h 10"/>
                  <a:gd name="T8" fmla="*/ 3 w 7"/>
                  <a:gd name="T9" fmla="*/ 10 h 10"/>
                  <a:gd name="T10" fmla="*/ 0 60000 65536"/>
                  <a:gd name="T11" fmla="*/ 0 60000 65536"/>
                  <a:gd name="T12" fmla="*/ 0 60000 65536"/>
                  <a:gd name="T13" fmla="*/ 0 60000 65536"/>
                  <a:gd name="T14" fmla="*/ 0 60000 65536"/>
                  <a:gd name="T15" fmla="*/ 0 w 7"/>
                  <a:gd name="T16" fmla="*/ 0 h 10"/>
                  <a:gd name="T17" fmla="*/ 7 w 7"/>
                  <a:gd name="T18" fmla="*/ 10 h 10"/>
                </a:gdLst>
                <a:ahLst/>
                <a:cxnLst>
                  <a:cxn ang="T10">
                    <a:pos x="T0" y="T1"/>
                  </a:cxn>
                  <a:cxn ang="T11">
                    <a:pos x="T2" y="T3"/>
                  </a:cxn>
                  <a:cxn ang="T12">
                    <a:pos x="T4" y="T5"/>
                  </a:cxn>
                  <a:cxn ang="T13">
                    <a:pos x="T6" y="T7"/>
                  </a:cxn>
                  <a:cxn ang="T14">
                    <a:pos x="T8" y="T9"/>
                  </a:cxn>
                </a:cxnLst>
                <a:rect l="T15" t="T16" r="T17" b="T18"/>
                <a:pathLst>
                  <a:path w="7" h="10">
                    <a:moveTo>
                      <a:pt x="3" y="10"/>
                    </a:moveTo>
                    <a:lnTo>
                      <a:pt x="7" y="8"/>
                    </a:lnTo>
                    <a:lnTo>
                      <a:pt x="4" y="0"/>
                    </a:lnTo>
                    <a:lnTo>
                      <a:pt x="0" y="2"/>
                    </a:lnTo>
                    <a:lnTo>
                      <a:pt x="3" y="10"/>
                    </a:lnTo>
                    <a:close/>
                  </a:path>
                </a:pathLst>
              </a:custGeom>
              <a:solidFill>
                <a:srgbClr val="FFFFFF"/>
              </a:solidFill>
              <a:ln w="9525">
                <a:solidFill>
                  <a:srgbClr val="000000"/>
                </a:solidFill>
                <a:round/>
                <a:headEnd/>
                <a:tailEnd/>
              </a:ln>
            </xdr:spPr>
          </xdr:sp>
          <xdr:sp macro="" textlink="">
            <xdr:nvSpPr>
              <xdr:cNvPr id="12771" name="Freeform 1092"/>
              <xdr:cNvSpPr>
                <a:spLocks/>
              </xdr:cNvSpPr>
            </xdr:nvSpPr>
            <xdr:spPr bwMode="auto">
              <a:xfrm>
                <a:off x="656" y="946"/>
                <a:ext cx="7" cy="6"/>
              </a:xfrm>
              <a:custGeom>
                <a:avLst/>
                <a:gdLst>
                  <a:gd name="T0" fmla="*/ 3 w 7"/>
                  <a:gd name="T1" fmla="*/ 2 h 6"/>
                  <a:gd name="T2" fmla="*/ 7 w 7"/>
                  <a:gd name="T3" fmla="*/ 0 h 6"/>
                  <a:gd name="T4" fmla="*/ 4 w 7"/>
                  <a:gd name="T5" fmla="*/ 4 h 6"/>
                  <a:gd name="T6" fmla="*/ 0 w 7"/>
                  <a:gd name="T7" fmla="*/ 6 h 6"/>
                  <a:gd name="T8" fmla="*/ 3 w 7"/>
                  <a:gd name="T9" fmla="*/ 2 h 6"/>
                  <a:gd name="T10" fmla="*/ 0 60000 65536"/>
                  <a:gd name="T11" fmla="*/ 0 60000 65536"/>
                  <a:gd name="T12" fmla="*/ 0 60000 65536"/>
                  <a:gd name="T13" fmla="*/ 0 60000 65536"/>
                  <a:gd name="T14" fmla="*/ 0 60000 65536"/>
                  <a:gd name="T15" fmla="*/ 0 w 7"/>
                  <a:gd name="T16" fmla="*/ 0 h 6"/>
                  <a:gd name="T17" fmla="*/ 7 w 7"/>
                  <a:gd name="T18" fmla="*/ 6 h 6"/>
                </a:gdLst>
                <a:ahLst/>
                <a:cxnLst>
                  <a:cxn ang="T10">
                    <a:pos x="T0" y="T1"/>
                  </a:cxn>
                  <a:cxn ang="T11">
                    <a:pos x="T2" y="T3"/>
                  </a:cxn>
                  <a:cxn ang="T12">
                    <a:pos x="T4" y="T5"/>
                  </a:cxn>
                  <a:cxn ang="T13">
                    <a:pos x="T6" y="T7"/>
                  </a:cxn>
                  <a:cxn ang="T14">
                    <a:pos x="T8" y="T9"/>
                  </a:cxn>
                </a:cxnLst>
                <a:rect l="T15" t="T16" r="T17" b="T18"/>
                <a:pathLst>
                  <a:path w="7" h="6">
                    <a:moveTo>
                      <a:pt x="3" y="2"/>
                    </a:moveTo>
                    <a:lnTo>
                      <a:pt x="7" y="0"/>
                    </a:lnTo>
                    <a:lnTo>
                      <a:pt x="4" y="4"/>
                    </a:lnTo>
                    <a:lnTo>
                      <a:pt x="0" y="6"/>
                    </a:lnTo>
                    <a:lnTo>
                      <a:pt x="3" y="2"/>
                    </a:lnTo>
                    <a:close/>
                  </a:path>
                </a:pathLst>
              </a:custGeom>
              <a:solidFill>
                <a:srgbClr val="FFFFFF"/>
              </a:solidFill>
              <a:ln w="9525">
                <a:solidFill>
                  <a:srgbClr val="000000"/>
                </a:solidFill>
                <a:round/>
                <a:headEnd/>
                <a:tailEnd/>
              </a:ln>
            </xdr:spPr>
          </xdr:sp>
        </xdr:grpSp>
        <xdr:grpSp>
          <xdr:nvGrpSpPr>
            <xdr:cNvPr id="12319" name="Group 1093"/>
            <xdr:cNvGrpSpPr>
              <a:grpSpLocks/>
            </xdr:cNvGrpSpPr>
          </xdr:nvGrpSpPr>
          <xdr:grpSpPr bwMode="auto">
            <a:xfrm>
              <a:off x="3614860" y="3355487"/>
              <a:ext cx="162902" cy="168275"/>
              <a:chOff x="646" y="934"/>
              <a:chExt cx="17" cy="18"/>
            </a:xfrm>
          </xdr:grpSpPr>
          <xdr:sp macro="" textlink="">
            <xdr:nvSpPr>
              <xdr:cNvPr id="12762" name="Freeform 1094"/>
              <xdr:cNvSpPr>
                <a:spLocks/>
              </xdr:cNvSpPr>
            </xdr:nvSpPr>
            <xdr:spPr bwMode="auto">
              <a:xfrm>
                <a:off x="650" y="934"/>
                <a:ext cx="13" cy="16"/>
              </a:xfrm>
              <a:custGeom>
                <a:avLst/>
                <a:gdLst>
                  <a:gd name="T0" fmla="*/ 0 w 59"/>
                  <a:gd name="T1" fmla="*/ 0 h 76"/>
                  <a:gd name="T2" fmla="*/ 0 w 59"/>
                  <a:gd name="T3" fmla="*/ 0 h 76"/>
                  <a:gd name="T4" fmla="*/ 0 w 59"/>
                  <a:gd name="T5" fmla="*/ 0 h 76"/>
                  <a:gd name="T6" fmla="*/ 0 w 59"/>
                  <a:gd name="T7" fmla="*/ 0 h 76"/>
                  <a:gd name="T8" fmla="*/ 0 w 59"/>
                  <a:gd name="T9" fmla="*/ 0 h 76"/>
                  <a:gd name="T10" fmla="*/ 0 w 59"/>
                  <a:gd name="T11" fmla="*/ 0 h 76"/>
                  <a:gd name="T12" fmla="*/ 0 w 59"/>
                  <a:gd name="T13" fmla="*/ 0 h 76"/>
                  <a:gd name="T14" fmla="*/ 0 60000 65536"/>
                  <a:gd name="T15" fmla="*/ 0 60000 65536"/>
                  <a:gd name="T16" fmla="*/ 0 60000 65536"/>
                  <a:gd name="T17" fmla="*/ 0 60000 65536"/>
                  <a:gd name="T18" fmla="*/ 0 60000 65536"/>
                  <a:gd name="T19" fmla="*/ 0 60000 65536"/>
                  <a:gd name="T20" fmla="*/ 0 60000 65536"/>
                  <a:gd name="T21" fmla="*/ 0 w 59"/>
                  <a:gd name="T22" fmla="*/ 0 h 76"/>
                  <a:gd name="T23" fmla="*/ 59 w 59"/>
                  <a:gd name="T24" fmla="*/ 76 h 76"/>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9" h="76">
                    <a:moveTo>
                      <a:pt x="45" y="76"/>
                    </a:moveTo>
                    <a:lnTo>
                      <a:pt x="59" y="58"/>
                    </a:lnTo>
                    <a:lnTo>
                      <a:pt x="45" y="18"/>
                    </a:lnTo>
                    <a:lnTo>
                      <a:pt x="13" y="0"/>
                    </a:lnTo>
                    <a:lnTo>
                      <a:pt x="0" y="23"/>
                    </a:lnTo>
                    <a:lnTo>
                      <a:pt x="13" y="58"/>
                    </a:lnTo>
                    <a:lnTo>
                      <a:pt x="45" y="76"/>
                    </a:lnTo>
                    <a:close/>
                  </a:path>
                </a:pathLst>
              </a:custGeom>
              <a:solidFill>
                <a:srgbClr val="FFFFFF"/>
              </a:solidFill>
              <a:ln w="9525">
                <a:solidFill>
                  <a:srgbClr val="000000"/>
                </a:solidFill>
                <a:round/>
                <a:headEnd/>
                <a:tailEnd/>
              </a:ln>
            </xdr:spPr>
          </xdr:sp>
          <xdr:sp macro="" textlink="">
            <xdr:nvSpPr>
              <xdr:cNvPr id="12763" name="Freeform 1095"/>
              <xdr:cNvSpPr>
                <a:spLocks/>
              </xdr:cNvSpPr>
            </xdr:nvSpPr>
            <xdr:spPr bwMode="auto">
              <a:xfrm>
                <a:off x="646" y="936"/>
                <a:ext cx="13" cy="16"/>
              </a:xfrm>
              <a:custGeom>
                <a:avLst/>
                <a:gdLst>
                  <a:gd name="T0" fmla="*/ 0 w 59"/>
                  <a:gd name="T1" fmla="*/ 0 h 76"/>
                  <a:gd name="T2" fmla="*/ 0 w 59"/>
                  <a:gd name="T3" fmla="*/ 0 h 76"/>
                  <a:gd name="T4" fmla="*/ 0 w 59"/>
                  <a:gd name="T5" fmla="*/ 0 h 76"/>
                  <a:gd name="T6" fmla="*/ 0 w 59"/>
                  <a:gd name="T7" fmla="*/ 0 h 76"/>
                  <a:gd name="T8" fmla="*/ 0 w 59"/>
                  <a:gd name="T9" fmla="*/ 0 h 76"/>
                  <a:gd name="T10" fmla="*/ 0 w 59"/>
                  <a:gd name="T11" fmla="*/ 0 h 76"/>
                  <a:gd name="T12" fmla="*/ 0 w 59"/>
                  <a:gd name="T13" fmla="*/ 0 h 76"/>
                  <a:gd name="T14" fmla="*/ 0 60000 65536"/>
                  <a:gd name="T15" fmla="*/ 0 60000 65536"/>
                  <a:gd name="T16" fmla="*/ 0 60000 65536"/>
                  <a:gd name="T17" fmla="*/ 0 60000 65536"/>
                  <a:gd name="T18" fmla="*/ 0 60000 65536"/>
                  <a:gd name="T19" fmla="*/ 0 60000 65536"/>
                  <a:gd name="T20" fmla="*/ 0 60000 65536"/>
                  <a:gd name="T21" fmla="*/ 0 w 59"/>
                  <a:gd name="T22" fmla="*/ 0 h 76"/>
                  <a:gd name="T23" fmla="*/ 59 w 59"/>
                  <a:gd name="T24" fmla="*/ 76 h 76"/>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9" h="76">
                    <a:moveTo>
                      <a:pt x="45" y="76"/>
                    </a:moveTo>
                    <a:lnTo>
                      <a:pt x="59" y="58"/>
                    </a:lnTo>
                    <a:lnTo>
                      <a:pt x="45" y="18"/>
                    </a:lnTo>
                    <a:lnTo>
                      <a:pt x="13" y="0"/>
                    </a:lnTo>
                    <a:lnTo>
                      <a:pt x="0" y="23"/>
                    </a:lnTo>
                    <a:lnTo>
                      <a:pt x="13" y="58"/>
                    </a:lnTo>
                    <a:lnTo>
                      <a:pt x="45" y="76"/>
                    </a:lnTo>
                    <a:close/>
                  </a:path>
                </a:pathLst>
              </a:custGeom>
              <a:solidFill>
                <a:srgbClr val="FFFFFF"/>
              </a:solidFill>
              <a:ln w="9525">
                <a:solidFill>
                  <a:srgbClr val="000000"/>
                </a:solidFill>
                <a:round/>
                <a:headEnd/>
                <a:tailEnd/>
              </a:ln>
            </xdr:spPr>
          </xdr:sp>
          <xdr:sp macro="" textlink="">
            <xdr:nvSpPr>
              <xdr:cNvPr id="12764" name="Freeform 1096"/>
              <xdr:cNvSpPr>
                <a:spLocks/>
              </xdr:cNvSpPr>
            </xdr:nvSpPr>
            <xdr:spPr bwMode="auto">
              <a:xfrm>
                <a:off x="649" y="934"/>
                <a:ext cx="11" cy="6"/>
              </a:xfrm>
              <a:custGeom>
                <a:avLst/>
                <a:gdLst>
                  <a:gd name="T0" fmla="*/ 0 w 11"/>
                  <a:gd name="T1" fmla="*/ 2 h 6"/>
                  <a:gd name="T2" fmla="*/ 4 w 11"/>
                  <a:gd name="T3" fmla="*/ 0 h 6"/>
                  <a:gd name="T4" fmla="*/ 11 w 11"/>
                  <a:gd name="T5" fmla="*/ 4 h 6"/>
                  <a:gd name="T6" fmla="*/ 7 w 11"/>
                  <a:gd name="T7" fmla="*/ 6 h 6"/>
                  <a:gd name="T8" fmla="*/ 0 w 11"/>
                  <a:gd name="T9" fmla="*/ 2 h 6"/>
                  <a:gd name="T10" fmla="*/ 0 60000 65536"/>
                  <a:gd name="T11" fmla="*/ 0 60000 65536"/>
                  <a:gd name="T12" fmla="*/ 0 60000 65536"/>
                  <a:gd name="T13" fmla="*/ 0 60000 65536"/>
                  <a:gd name="T14" fmla="*/ 0 60000 65536"/>
                  <a:gd name="T15" fmla="*/ 0 w 11"/>
                  <a:gd name="T16" fmla="*/ 0 h 6"/>
                  <a:gd name="T17" fmla="*/ 11 w 11"/>
                  <a:gd name="T18" fmla="*/ 6 h 6"/>
                </a:gdLst>
                <a:ahLst/>
                <a:cxnLst>
                  <a:cxn ang="T10">
                    <a:pos x="T0" y="T1"/>
                  </a:cxn>
                  <a:cxn ang="T11">
                    <a:pos x="T2" y="T3"/>
                  </a:cxn>
                  <a:cxn ang="T12">
                    <a:pos x="T4" y="T5"/>
                  </a:cxn>
                  <a:cxn ang="T13">
                    <a:pos x="T6" y="T7"/>
                  </a:cxn>
                  <a:cxn ang="T14">
                    <a:pos x="T8" y="T9"/>
                  </a:cxn>
                </a:cxnLst>
                <a:rect l="T15" t="T16" r="T17" b="T18"/>
                <a:pathLst>
                  <a:path w="11" h="6">
                    <a:moveTo>
                      <a:pt x="0" y="2"/>
                    </a:moveTo>
                    <a:lnTo>
                      <a:pt x="4" y="0"/>
                    </a:lnTo>
                    <a:lnTo>
                      <a:pt x="11" y="4"/>
                    </a:lnTo>
                    <a:lnTo>
                      <a:pt x="7" y="6"/>
                    </a:lnTo>
                    <a:lnTo>
                      <a:pt x="0" y="2"/>
                    </a:lnTo>
                    <a:close/>
                  </a:path>
                </a:pathLst>
              </a:custGeom>
              <a:solidFill>
                <a:srgbClr val="FFFFFF"/>
              </a:solidFill>
              <a:ln w="9525">
                <a:solidFill>
                  <a:srgbClr val="000000"/>
                </a:solidFill>
                <a:round/>
                <a:headEnd/>
                <a:tailEnd/>
              </a:ln>
            </xdr:spPr>
          </xdr:sp>
          <xdr:sp macro="" textlink="">
            <xdr:nvSpPr>
              <xdr:cNvPr id="12765" name="Freeform 1097"/>
              <xdr:cNvSpPr>
                <a:spLocks/>
              </xdr:cNvSpPr>
            </xdr:nvSpPr>
            <xdr:spPr bwMode="auto">
              <a:xfrm>
                <a:off x="656" y="938"/>
                <a:ext cx="7" cy="10"/>
              </a:xfrm>
              <a:custGeom>
                <a:avLst/>
                <a:gdLst>
                  <a:gd name="T0" fmla="*/ 3 w 7"/>
                  <a:gd name="T1" fmla="*/ 10 h 10"/>
                  <a:gd name="T2" fmla="*/ 7 w 7"/>
                  <a:gd name="T3" fmla="*/ 8 h 10"/>
                  <a:gd name="T4" fmla="*/ 4 w 7"/>
                  <a:gd name="T5" fmla="*/ 0 h 10"/>
                  <a:gd name="T6" fmla="*/ 0 w 7"/>
                  <a:gd name="T7" fmla="*/ 2 h 10"/>
                  <a:gd name="T8" fmla="*/ 3 w 7"/>
                  <a:gd name="T9" fmla="*/ 10 h 10"/>
                  <a:gd name="T10" fmla="*/ 0 60000 65536"/>
                  <a:gd name="T11" fmla="*/ 0 60000 65536"/>
                  <a:gd name="T12" fmla="*/ 0 60000 65536"/>
                  <a:gd name="T13" fmla="*/ 0 60000 65536"/>
                  <a:gd name="T14" fmla="*/ 0 60000 65536"/>
                  <a:gd name="T15" fmla="*/ 0 w 7"/>
                  <a:gd name="T16" fmla="*/ 0 h 10"/>
                  <a:gd name="T17" fmla="*/ 7 w 7"/>
                  <a:gd name="T18" fmla="*/ 10 h 10"/>
                </a:gdLst>
                <a:ahLst/>
                <a:cxnLst>
                  <a:cxn ang="T10">
                    <a:pos x="T0" y="T1"/>
                  </a:cxn>
                  <a:cxn ang="T11">
                    <a:pos x="T2" y="T3"/>
                  </a:cxn>
                  <a:cxn ang="T12">
                    <a:pos x="T4" y="T5"/>
                  </a:cxn>
                  <a:cxn ang="T13">
                    <a:pos x="T6" y="T7"/>
                  </a:cxn>
                  <a:cxn ang="T14">
                    <a:pos x="T8" y="T9"/>
                  </a:cxn>
                </a:cxnLst>
                <a:rect l="T15" t="T16" r="T17" b="T18"/>
                <a:pathLst>
                  <a:path w="7" h="10">
                    <a:moveTo>
                      <a:pt x="3" y="10"/>
                    </a:moveTo>
                    <a:lnTo>
                      <a:pt x="7" y="8"/>
                    </a:lnTo>
                    <a:lnTo>
                      <a:pt x="4" y="0"/>
                    </a:lnTo>
                    <a:lnTo>
                      <a:pt x="0" y="2"/>
                    </a:lnTo>
                    <a:lnTo>
                      <a:pt x="3" y="10"/>
                    </a:lnTo>
                    <a:close/>
                  </a:path>
                </a:pathLst>
              </a:custGeom>
              <a:solidFill>
                <a:srgbClr val="FFFFFF"/>
              </a:solidFill>
              <a:ln w="9525">
                <a:solidFill>
                  <a:srgbClr val="000000"/>
                </a:solidFill>
                <a:round/>
                <a:headEnd/>
                <a:tailEnd/>
              </a:ln>
            </xdr:spPr>
          </xdr:sp>
          <xdr:sp macro="" textlink="">
            <xdr:nvSpPr>
              <xdr:cNvPr id="12766" name="Freeform 1098"/>
              <xdr:cNvSpPr>
                <a:spLocks/>
              </xdr:cNvSpPr>
            </xdr:nvSpPr>
            <xdr:spPr bwMode="auto">
              <a:xfrm>
                <a:off x="656" y="946"/>
                <a:ext cx="7" cy="6"/>
              </a:xfrm>
              <a:custGeom>
                <a:avLst/>
                <a:gdLst>
                  <a:gd name="T0" fmla="*/ 3 w 7"/>
                  <a:gd name="T1" fmla="*/ 2 h 6"/>
                  <a:gd name="T2" fmla="*/ 7 w 7"/>
                  <a:gd name="T3" fmla="*/ 0 h 6"/>
                  <a:gd name="T4" fmla="*/ 4 w 7"/>
                  <a:gd name="T5" fmla="*/ 4 h 6"/>
                  <a:gd name="T6" fmla="*/ 0 w 7"/>
                  <a:gd name="T7" fmla="*/ 6 h 6"/>
                  <a:gd name="T8" fmla="*/ 3 w 7"/>
                  <a:gd name="T9" fmla="*/ 2 h 6"/>
                  <a:gd name="T10" fmla="*/ 0 60000 65536"/>
                  <a:gd name="T11" fmla="*/ 0 60000 65536"/>
                  <a:gd name="T12" fmla="*/ 0 60000 65536"/>
                  <a:gd name="T13" fmla="*/ 0 60000 65536"/>
                  <a:gd name="T14" fmla="*/ 0 60000 65536"/>
                  <a:gd name="T15" fmla="*/ 0 w 7"/>
                  <a:gd name="T16" fmla="*/ 0 h 6"/>
                  <a:gd name="T17" fmla="*/ 7 w 7"/>
                  <a:gd name="T18" fmla="*/ 6 h 6"/>
                </a:gdLst>
                <a:ahLst/>
                <a:cxnLst>
                  <a:cxn ang="T10">
                    <a:pos x="T0" y="T1"/>
                  </a:cxn>
                  <a:cxn ang="T11">
                    <a:pos x="T2" y="T3"/>
                  </a:cxn>
                  <a:cxn ang="T12">
                    <a:pos x="T4" y="T5"/>
                  </a:cxn>
                  <a:cxn ang="T13">
                    <a:pos x="T6" y="T7"/>
                  </a:cxn>
                  <a:cxn ang="T14">
                    <a:pos x="T8" y="T9"/>
                  </a:cxn>
                </a:cxnLst>
                <a:rect l="T15" t="T16" r="T17" b="T18"/>
                <a:pathLst>
                  <a:path w="7" h="6">
                    <a:moveTo>
                      <a:pt x="3" y="2"/>
                    </a:moveTo>
                    <a:lnTo>
                      <a:pt x="7" y="0"/>
                    </a:lnTo>
                    <a:lnTo>
                      <a:pt x="4" y="4"/>
                    </a:lnTo>
                    <a:lnTo>
                      <a:pt x="0" y="6"/>
                    </a:lnTo>
                    <a:lnTo>
                      <a:pt x="3" y="2"/>
                    </a:lnTo>
                    <a:close/>
                  </a:path>
                </a:pathLst>
              </a:custGeom>
              <a:solidFill>
                <a:srgbClr val="FFFFFF"/>
              </a:solidFill>
              <a:ln w="9525">
                <a:solidFill>
                  <a:srgbClr val="000000"/>
                </a:solidFill>
                <a:round/>
                <a:headEnd/>
                <a:tailEnd/>
              </a:ln>
            </xdr:spPr>
          </xdr:sp>
        </xdr:grpSp>
        <xdr:grpSp>
          <xdr:nvGrpSpPr>
            <xdr:cNvPr id="12320" name="Group 1099"/>
            <xdr:cNvGrpSpPr>
              <a:grpSpLocks/>
            </xdr:cNvGrpSpPr>
          </xdr:nvGrpSpPr>
          <xdr:grpSpPr bwMode="auto">
            <a:xfrm>
              <a:off x="2909033" y="2984012"/>
              <a:ext cx="162902" cy="168275"/>
              <a:chOff x="646" y="934"/>
              <a:chExt cx="17" cy="18"/>
            </a:xfrm>
          </xdr:grpSpPr>
          <xdr:sp macro="" textlink="">
            <xdr:nvSpPr>
              <xdr:cNvPr id="12757" name="Freeform 1100"/>
              <xdr:cNvSpPr>
                <a:spLocks/>
              </xdr:cNvSpPr>
            </xdr:nvSpPr>
            <xdr:spPr bwMode="auto">
              <a:xfrm>
                <a:off x="650" y="934"/>
                <a:ext cx="13" cy="16"/>
              </a:xfrm>
              <a:custGeom>
                <a:avLst/>
                <a:gdLst>
                  <a:gd name="T0" fmla="*/ 0 w 59"/>
                  <a:gd name="T1" fmla="*/ 0 h 76"/>
                  <a:gd name="T2" fmla="*/ 0 w 59"/>
                  <a:gd name="T3" fmla="*/ 0 h 76"/>
                  <a:gd name="T4" fmla="*/ 0 w 59"/>
                  <a:gd name="T5" fmla="*/ 0 h 76"/>
                  <a:gd name="T6" fmla="*/ 0 w 59"/>
                  <a:gd name="T7" fmla="*/ 0 h 76"/>
                  <a:gd name="T8" fmla="*/ 0 w 59"/>
                  <a:gd name="T9" fmla="*/ 0 h 76"/>
                  <a:gd name="T10" fmla="*/ 0 w 59"/>
                  <a:gd name="T11" fmla="*/ 0 h 76"/>
                  <a:gd name="T12" fmla="*/ 0 w 59"/>
                  <a:gd name="T13" fmla="*/ 0 h 76"/>
                  <a:gd name="T14" fmla="*/ 0 60000 65536"/>
                  <a:gd name="T15" fmla="*/ 0 60000 65536"/>
                  <a:gd name="T16" fmla="*/ 0 60000 65536"/>
                  <a:gd name="T17" fmla="*/ 0 60000 65536"/>
                  <a:gd name="T18" fmla="*/ 0 60000 65536"/>
                  <a:gd name="T19" fmla="*/ 0 60000 65536"/>
                  <a:gd name="T20" fmla="*/ 0 60000 65536"/>
                  <a:gd name="T21" fmla="*/ 0 w 59"/>
                  <a:gd name="T22" fmla="*/ 0 h 76"/>
                  <a:gd name="T23" fmla="*/ 59 w 59"/>
                  <a:gd name="T24" fmla="*/ 76 h 76"/>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9" h="76">
                    <a:moveTo>
                      <a:pt x="45" y="76"/>
                    </a:moveTo>
                    <a:lnTo>
                      <a:pt x="59" y="58"/>
                    </a:lnTo>
                    <a:lnTo>
                      <a:pt x="45" y="18"/>
                    </a:lnTo>
                    <a:lnTo>
                      <a:pt x="13" y="0"/>
                    </a:lnTo>
                    <a:lnTo>
                      <a:pt x="0" y="23"/>
                    </a:lnTo>
                    <a:lnTo>
                      <a:pt x="13" y="58"/>
                    </a:lnTo>
                    <a:lnTo>
                      <a:pt x="45" y="76"/>
                    </a:lnTo>
                    <a:close/>
                  </a:path>
                </a:pathLst>
              </a:custGeom>
              <a:solidFill>
                <a:srgbClr val="FFFFFF"/>
              </a:solidFill>
              <a:ln w="9525">
                <a:solidFill>
                  <a:srgbClr val="000000"/>
                </a:solidFill>
                <a:round/>
                <a:headEnd/>
                <a:tailEnd/>
              </a:ln>
            </xdr:spPr>
          </xdr:sp>
          <xdr:sp macro="" textlink="">
            <xdr:nvSpPr>
              <xdr:cNvPr id="12758" name="Freeform 1101"/>
              <xdr:cNvSpPr>
                <a:spLocks/>
              </xdr:cNvSpPr>
            </xdr:nvSpPr>
            <xdr:spPr bwMode="auto">
              <a:xfrm>
                <a:off x="646" y="936"/>
                <a:ext cx="13" cy="16"/>
              </a:xfrm>
              <a:custGeom>
                <a:avLst/>
                <a:gdLst>
                  <a:gd name="T0" fmla="*/ 0 w 59"/>
                  <a:gd name="T1" fmla="*/ 0 h 76"/>
                  <a:gd name="T2" fmla="*/ 0 w 59"/>
                  <a:gd name="T3" fmla="*/ 0 h 76"/>
                  <a:gd name="T4" fmla="*/ 0 w 59"/>
                  <a:gd name="T5" fmla="*/ 0 h 76"/>
                  <a:gd name="T6" fmla="*/ 0 w 59"/>
                  <a:gd name="T7" fmla="*/ 0 h 76"/>
                  <a:gd name="T8" fmla="*/ 0 w 59"/>
                  <a:gd name="T9" fmla="*/ 0 h 76"/>
                  <a:gd name="T10" fmla="*/ 0 w 59"/>
                  <a:gd name="T11" fmla="*/ 0 h 76"/>
                  <a:gd name="T12" fmla="*/ 0 w 59"/>
                  <a:gd name="T13" fmla="*/ 0 h 76"/>
                  <a:gd name="T14" fmla="*/ 0 60000 65536"/>
                  <a:gd name="T15" fmla="*/ 0 60000 65536"/>
                  <a:gd name="T16" fmla="*/ 0 60000 65536"/>
                  <a:gd name="T17" fmla="*/ 0 60000 65536"/>
                  <a:gd name="T18" fmla="*/ 0 60000 65536"/>
                  <a:gd name="T19" fmla="*/ 0 60000 65536"/>
                  <a:gd name="T20" fmla="*/ 0 60000 65536"/>
                  <a:gd name="T21" fmla="*/ 0 w 59"/>
                  <a:gd name="T22" fmla="*/ 0 h 76"/>
                  <a:gd name="T23" fmla="*/ 59 w 59"/>
                  <a:gd name="T24" fmla="*/ 76 h 76"/>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9" h="76">
                    <a:moveTo>
                      <a:pt x="45" y="76"/>
                    </a:moveTo>
                    <a:lnTo>
                      <a:pt x="59" y="58"/>
                    </a:lnTo>
                    <a:lnTo>
                      <a:pt x="45" y="18"/>
                    </a:lnTo>
                    <a:lnTo>
                      <a:pt x="13" y="0"/>
                    </a:lnTo>
                    <a:lnTo>
                      <a:pt x="0" y="23"/>
                    </a:lnTo>
                    <a:lnTo>
                      <a:pt x="13" y="58"/>
                    </a:lnTo>
                    <a:lnTo>
                      <a:pt x="45" y="76"/>
                    </a:lnTo>
                    <a:close/>
                  </a:path>
                </a:pathLst>
              </a:custGeom>
              <a:solidFill>
                <a:srgbClr val="FFFFFF"/>
              </a:solidFill>
              <a:ln w="9525">
                <a:solidFill>
                  <a:srgbClr val="000000"/>
                </a:solidFill>
                <a:round/>
                <a:headEnd/>
                <a:tailEnd/>
              </a:ln>
            </xdr:spPr>
          </xdr:sp>
          <xdr:sp macro="" textlink="">
            <xdr:nvSpPr>
              <xdr:cNvPr id="12759" name="Freeform 1102"/>
              <xdr:cNvSpPr>
                <a:spLocks/>
              </xdr:cNvSpPr>
            </xdr:nvSpPr>
            <xdr:spPr bwMode="auto">
              <a:xfrm>
                <a:off x="649" y="934"/>
                <a:ext cx="11" cy="6"/>
              </a:xfrm>
              <a:custGeom>
                <a:avLst/>
                <a:gdLst>
                  <a:gd name="T0" fmla="*/ 0 w 11"/>
                  <a:gd name="T1" fmla="*/ 2 h 6"/>
                  <a:gd name="T2" fmla="*/ 4 w 11"/>
                  <a:gd name="T3" fmla="*/ 0 h 6"/>
                  <a:gd name="T4" fmla="*/ 11 w 11"/>
                  <a:gd name="T5" fmla="*/ 4 h 6"/>
                  <a:gd name="T6" fmla="*/ 7 w 11"/>
                  <a:gd name="T7" fmla="*/ 6 h 6"/>
                  <a:gd name="T8" fmla="*/ 0 w 11"/>
                  <a:gd name="T9" fmla="*/ 2 h 6"/>
                  <a:gd name="T10" fmla="*/ 0 60000 65536"/>
                  <a:gd name="T11" fmla="*/ 0 60000 65536"/>
                  <a:gd name="T12" fmla="*/ 0 60000 65536"/>
                  <a:gd name="T13" fmla="*/ 0 60000 65536"/>
                  <a:gd name="T14" fmla="*/ 0 60000 65536"/>
                  <a:gd name="T15" fmla="*/ 0 w 11"/>
                  <a:gd name="T16" fmla="*/ 0 h 6"/>
                  <a:gd name="T17" fmla="*/ 11 w 11"/>
                  <a:gd name="T18" fmla="*/ 6 h 6"/>
                </a:gdLst>
                <a:ahLst/>
                <a:cxnLst>
                  <a:cxn ang="T10">
                    <a:pos x="T0" y="T1"/>
                  </a:cxn>
                  <a:cxn ang="T11">
                    <a:pos x="T2" y="T3"/>
                  </a:cxn>
                  <a:cxn ang="T12">
                    <a:pos x="T4" y="T5"/>
                  </a:cxn>
                  <a:cxn ang="T13">
                    <a:pos x="T6" y="T7"/>
                  </a:cxn>
                  <a:cxn ang="T14">
                    <a:pos x="T8" y="T9"/>
                  </a:cxn>
                </a:cxnLst>
                <a:rect l="T15" t="T16" r="T17" b="T18"/>
                <a:pathLst>
                  <a:path w="11" h="6">
                    <a:moveTo>
                      <a:pt x="0" y="2"/>
                    </a:moveTo>
                    <a:lnTo>
                      <a:pt x="4" y="0"/>
                    </a:lnTo>
                    <a:lnTo>
                      <a:pt x="11" y="4"/>
                    </a:lnTo>
                    <a:lnTo>
                      <a:pt x="7" y="6"/>
                    </a:lnTo>
                    <a:lnTo>
                      <a:pt x="0" y="2"/>
                    </a:lnTo>
                    <a:close/>
                  </a:path>
                </a:pathLst>
              </a:custGeom>
              <a:solidFill>
                <a:srgbClr val="FFFFFF"/>
              </a:solidFill>
              <a:ln w="9525">
                <a:solidFill>
                  <a:srgbClr val="000000"/>
                </a:solidFill>
                <a:round/>
                <a:headEnd/>
                <a:tailEnd/>
              </a:ln>
            </xdr:spPr>
          </xdr:sp>
          <xdr:sp macro="" textlink="">
            <xdr:nvSpPr>
              <xdr:cNvPr id="12760" name="Freeform 1103"/>
              <xdr:cNvSpPr>
                <a:spLocks/>
              </xdr:cNvSpPr>
            </xdr:nvSpPr>
            <xdr:spPr bwMode="auto">
              <a:xfrm>
                <a:off x="656" y="938"/>
                <a:ext cx="7" cy="10"/>
              </a:xfrm>
              <a:custGeom>
                <a:avLst/>
                <a:gdLst>
                  <a:gd name="T0" fmla="*/ 3 w 7"/>
                  <a:gd name="T1" fmla="*/ 10 h 10"/>
                  <a:gd name="T2" fmla="*/ 7 w 7"/>
                  <a:gd name="T3" fmla="*/ 8 h 10"/>
                  <a:gd name="T4" fmla="*/ 4 w 7"/>
                  <a:gd name="T5" fmla="*/ 0 h 10"/>
                  <a:gd name="T6" fmla="*/ 0 w 7"/>
                  <a:gd name="T7" fmla="*/ 2 h 10"/>
                  <a:gd name="T8" fmla="*/ 3 w 7"/>
                  <a:gd name="T9" fmla="*/ 10 h 10"/>
                  <a:gd name="T10" fmla="*/ 0 60000 65536"/>
                  <a:gd name="T11" fmla="*/ 0 60000 65536"/>
                  <a:gd name="T12" fmla="*/ 0 60000 65536"/>
                  <a:gd name="T13" fmla="*/ 0 60000 65536"/>
                  <a:gd name="T14" fmla="*/ 0 60000 65536"/>
                  <a:gd name="T15" fmla="*/ 0 w 7"/>
                  <a:gd name="T16" fmla="*/ 0 h 10"/>
                  <a:gd name="T17" fmla="*/ 7 w 7"/>
                  <a:gd name="T18" fmla="*/ 10 h 10"/>
                </a:gdLst>
                <a:ahLst/>
                <a:cxnLst>
                  <a:cxn ang="T10">
                    <a:pos x="T0" y="T1"/>
                  </a:cxn>
                  <a:cxn ang="T11">
                    <a:pos x="T2" y="T3"/>
                  </a:cxn>
                  <a:cxn ang="T12">
                    <a:pos x="T4" y="T5"/>
                  </a:cxn>
                  <a:cxn ang="T13">
                    <a:pos x="T6" y="T7"/>
                  </a:cxn>
                  <a:cxn ang="T14">
                    <a:pos x="T8" y="T9"/>
                  </a:cxn>
                </a:cxnLst>
                <a:rect l="T15" t="T16" r="T17" b="T18"/>
                <a:pathLst>
                  <a:path w="7" h="10">
                    <a:moveTo>
                      <a:pt x="3" y="10"/>
                    </a:moveTo>
                    <a:lnTo>
                      <a:pt x="7" y="8"/>
                    </a:lnTo>
                    <a:lnTo>
                      <a:pt x="4" y="0"/>
                    </a:lnTo>
                    <a:lnTo>
                      <a:pt x="0" y="2"/>
                    </a:lnTo>
                    <a:lnTo>
                      <a:pt x="3" y="10"/>
                    </a:lnTo>
                    <a:close/>
                  </a:path>
                </a:pathLst>
              </a:custGeom>
              <a:solidFill>
                <a:srgbClr val="FFFFFF"/>
              </a:solidFill>
              <a:ln w="9525">
                <a:solidFill>
                  <a:srgbClr val="000000"/>
                </a:solidFill>
                <a:round/>
                <a:headEnd/>
                <a:tailEnd/>
              </a:ln>
            </xdr:spPr>
          </xdr:sp>
          <xdr:sp macro="" textlink="">
            <xdr:nvSpPr>
              <xdr:cNvPr id="12761" name="Freeform 1104"/>
              <xdr:cNvSpPr>
                <a:spLocks/>
              </xdr:cNvSpPr>
            </xdr:nvSpPr>
            <xdr:spPr bwMode="auto">
              <a:xfrm>
                <a:off x="656" y="946"/>
                <a:ext cx="7" cy="6"/>
              </a:xfrm>
              <a:custGeom>
                <a:avLst/>
                <a:gdLst>
                  <a:gd name="T0" fmla="*/ 3 w 7"/>
                  <a:gd name="T1" fmla="*/ 2 h 6"/>
                  <a:gd name="T2" fmla="*/ 7 w 7"/>
                  <a:gd name="T3" fmla="*/ 0 h 6"/>
                  <a:gd name="T4" fmla="*/ 4 w 7"/>
                  <a:gd name="T5" fmla="*/ 4 h 6"/>
                  <a:gd name="T6" fmla="*/ 0 w 7"/>
                  <a:gd name="T7" fmla="*/ 6 h 6"/>
                  <a:gd name="T8" fmla="*/ 3 w 7"/>
                  <a:gd name="T9" fmla="*/ 2 h 6"/>
                  <a:gd name="T10" fmla="*/ 0 60000 65536"/>
                  <a:gd name="T11" fmla="*/ 0 60000 65536"/>
                  <a:gd name="T12" fmla="*/ 0 60000 65536"/>
                  <a:gd name="T13" fmla="*/ 0 60000 65536"/>
                  <a:gd name="T14" fmla="*/ 0 60000 65536"/>
                  <a:gd name="T15" fmla="*/ 0 w 7"/>
                  <a:gd name="T16" fmla="*/ 0 h 6"/>
                  <a:gd name="T17" fmla="*/ 7 w 7"/>
                  <a:gd name="T18" fmla="*/ 6 h 6"/>
                </a:gdLst>
                <a:ahLst/>
                <a:cxnLst>
                  <a:cxn ang="T10">
                    <a:pos x="T0" y="T1"/>
                  </a:cxn>
                  <a:cxn ang="T11">
                    <a:pos x="T2" y="T3"/>
                  </a:cxn>
                  <a:cxn ang="T12">
                    <a:pos x="T4" y="T5"/>
                  </a:cxn>
                  <a:cxn ang="T13">
                    <a:pos x="T6" y="T7"/>
                  </a:cxn>
                  <a:cxn ang="T14">
                    <a:pos x="T8" y="T9"/>
                  </a:cxn>
                </a:cxnLst>
                <a:rect l="T15" t="T16" r="T17" b="T18"/>
                <a:pathLst>
                  <a:path w="7" h="6">
                    <a:moveTo>
                      <a:pt x="3" y="2"/>
                    </a:moveTo>
                    <a:lnTo>
                      <a:pt x="7" y="0"/>
                    </a:lnTo>
                    <a:lnTo>
                      <a:pt x="4" y="4"/>
                    </a:lnTo>
                    <a:lnTo>
                      <a:pt x="0" y="6"/>
                    </a:lnTo>
                    <a:lnTo>
                      <a:pt x="3" y="2"/>
                    </a:lnTo>
                    <a:close/>
                  </a:path>
                </a:pathLst>
              </a:custGeom>
              <a:solidFill>
                <a:srgbClr val="FFFFFF"/>
              </a:solidFill>
              <a:ln w="9525">
                <a:solidFill>
                  <a:srgbClr val="000000"/>
                </a:solidFill>
                <a:round/>
                <a:headEnd/>
                <a:tailEnd/>
              </a:ln>
            </xdr:spPr>
          </xdr:sp>
        </xdr:grpSp>
        <xdr:grpSp>
          <xdr:nvGrpSpPr>
            <xdr:cNvPr id="12321" name="Group 1105"/>
            <xdr:cNvGrpSpPr>
              <a:grpSpLocks/>
            </xdr:cNvGrpSpPr>
          </xdr:nvGrpSpPr>
          <xdr:grpSpPr bwMode="auto">
            <a:xfrm>
              <a:off x="2155581" y="3291987"/>
              <a:ext cx="161925" cy="168275"/>
              <a:chOff x="646" y="934"/>
              <a:chExt cx="17" cy="18"/>
            </a:xfrm>
          </xdr:grpSpPr>
          <xdr:sp macro="" textlink="">
            <xdr:nvSpPr>
              <xdr:cNvPr id="12752" name="Freeform 1106"/>
              <xdr:cNvSpPr>
                <a:spLocks/>
              </xdr:cNvSpPr>
            </xdr:nvSpPr>
            <xdr:spPr bwMode="auto">
              <a:xfrm>
                <a:off x="650" y="934"/>
                <a:ext cx="13" cy="16"/>
              </a:xfrm>
              <a:custGeom>
                <a:avLst/>
                <a:gdLst>
                  <a:gd name="T0" fmla="*/ 0 w 59"/>
                  <a:gd name="T1" fmla="*/ 0 h 76"/>
                  <a:gd name="T2" fmla="*/ 0 w 59"/>
                  <a:gd name="T3" fmla="*/ 0 h 76"/>
                  <a:gd name="T4" fmla="*/ 0 w 59"/>
                  <a:gd name="T5" fmla="*/ 0 h 76"/>
                  <a:gd name="T6" fmla="*/ 0 w 59"/>
                  <a:gd name="T7" fmla="*/ 0 h 76"/>
                  <a:gd name="T8" fmla="*/ 0 w 59"/>
                  <a:gd name="T9" fmla="*/ 0 h 76"/>
                  <a:gd name="T10" fmla="*/ 0 w 59"/>
                  <a:gd name="T11" fmla="*/ 0 h 76"/>
                  <a:gd name="T12" fmla="*/ 0 w 59"/>
                  <a:gd name="T13" fmla="*/ 0 h 76"/>
                  <a:gd name="T14" fmla="*/ 0 60000 65536"/>
                  <a:gd name="T15" fmla="*/ 0 60000 65536"/>
                  <a:gd name="T16" fmla="*/ 0 60000 65536"/>
                  <a:gd name="T17" fmla="*/ 0 60000 65536"/>
                  <a:gd name="T18" fmla="*/ 0 60000 65536"/>
                  <a:gd name="T19" fmla="*/ 0 60000 65536"/>
                  <a:gd name="T20" fmla="*/ 0 60000 65536"/>
                  <a:gd name="T21" fmla="*/ 0 w 59"/>
                  <a:gd name="T22" fmla="*/ 0 h 76"/>
                  <a:gd name="T23" fmla="*/ 59 w 59"/>
                  <a:gd name="T24" fmla="*/ 76 h 76"/>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9" h="76">
                    <a:moveTo>
                      <a:pt x="45" y="76"/>
                    </a:moveTo>
                    <a:lnTo>
                      <a:pt x="59" y="58"/>
                    </a:lnTo>
                    <a:lnTo>
                      <a:pt x="45" y="18"/>
                    </a:lnTo>
                    <a:lnTo>
                      <a:pt x="13" y="0"/>
                    </a:lnTo>
                    <a:lnTo>
                      <a:pt x="0" y="23"/>
                    </a:lnTo>
                    <a:lnTo>
                      <a:pt x="13" y="58"/>
                    </a:lnTo>
                    <a:lnTo>
                      <a:pt x="45" y="76"/>
                    </a:lnTo>
                    <a:close/>
                  </a:path>
                </a:pathLst>
              </a:custGeom>
              <a:solidFill>
                <a:srgbClr val="FFFFFF"/>
              </a:solidFill>
              <a:ln w="9525">
                <a:solidFill>
                  <a:srgbClr val="000000"/>
                </a:solidFill>
                <a:round/>
                <a:headEnd/>
                <a:tailEnd/>
              </a:ln>
            </xdr:spPr>
          </xdr:sp>
          <xdr:sp macro="" textlink="">
            <xdr:nvSpPr>
              <xdr:cNvPr id="12753" name="Freeform 1107"/>
              <xdr:cNvSpPr>
                <a:spLocks/>
              </xdr:cNvSpPr>
            </xdr:nvSpPr>
            <xdr:spPr bwMode="auto">
              <a:xfrm>
                <a:off x="646" y="936"/>
                <a:ext cx="13" cy="16"/>
              </a:xfrm>
              <a:custGeom>
                <a:avLst/>
                <a:gdLst>
                  <a:gd name="T0" fmla="*/ 0 w 59"/>
                  <a:gd name="T1" fmla="*/ 0 h 76"/>
                  <a:gd name="T2" fmla="*/ 0 w 59"/>
                  <a:gd name="T3" fmla="*/ 0 h 76"/>
                  <a:gd name="T4" fmla="*/ 0 w 59"/>
                  <a:gd name="T5" fmla="*/ 0 h 76"/>
                  <a:gd name="T6" fmla="*/ 0 w 59"/>
                  <a:gd name="T7" fmla="*/ 0 h 76"/>
                  <a:gd name="T8" fmla="*/ 0 w 59"/>
                  <a:gd name="T9" fmla="*/ 0 h 76"/>
                  <a:gd name="T10" fmla="*/ 0 w 59"/>
                  <a:gd name="T11" fmla="*/ 0 h 76"/>
                  <a:gd name="T12" fmla="*/ 0 w 59"/>
                  <a:gd name="T13" fmla="*/ 0 h 76"/>
                  <a:gd name="T14" fmla="*/ 0 60000 65536"/>
                  <a:gd name="T15" fmla="*/ 0 60000 65536"/>
                  <a:gd name="T16" fmla="*/ 0 60000 65536"/>
                  <a:gd name="T17" fmla="*/ 0 60000 65536"/>
                  <a:gd name="T18" fmla="*/ 0 60000 65536"/>
                  <a:gd name="T19" fmla="*/ 0 60000 65536"/>
                  <a:gd name="T20" fmla="*/ 0 60000 65536"/>
                  <a:gd name="T21" fmla="*/ 0 w 59"/>
                  <a:gd name="T22" fmla="*/ 0 h 76"/>
                  <a:gd name="T23" fmla="*/ 59 w 59"/>
                  <a:gd name="T24" fmla="*/ 76 h 76"/>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9" h="76">
                    <a:moveTo>
                      <a:pt x="45" y="76"/>
                    </a:moveTo>
                    <a:lnTo>
                      <a:pt x="59" y="58"/>
                    </a:lnTo>
                    <a:lnTo>
                      <a:pt x="45" y="18"/>
                    </a:lnTo>
                    <a:lnTo>
                      <a:pt x="13" y="0"/>
                    </a:lnTo>
                    <a:lnTo>
                      <a:pt x="0" y="23"/>
                    </a:lnTo>
                    <a:lnTo>
                      <a:pt x="13" y="58"/>
                    </a:lnTo>
                    <a:lnTo>
                      <a:pt x="45" y="76"/>
                    </a:lnTo>
                    <a:close/>
                  </a:path>
                </a:pathLst>
              </a:custGeom>
              <a:solidFill>
                <a:srgbClr val="FFFFFF"/>
              </a:solidFill>
              <a:ln w="9525">
                <a:solidFill>
                  <a:srgbClr val="000000"/>
                </a:solidFill>
                <a:round/>
                <a:headEnd/>
                <a:tailEnd/>
              </a:ln>
            </xdr:spPr>
          </xdr:sp>
          <xdr:sp macro="" textlink="">
            <xdr:nvSpPr>
              <xdr:cNvPr id="12754" name="Freeform 1108"/>
              <xdr:cNvSpPr>
                <a:spLocks/>
              </xdr:cNvSpPr>
            </xdr:nvSpPr>
            <xdr:spPr bwMode="auto">
              <a:xfrm>
                <a:off x="649" y="934"/>
                <a:ext cx="11" cy="6"/>
              </a:xfrm>
              <a:custGeom>
                <a:avLst/>
                <a:gdLst>
                  <a:gd name="T0" fmla="*/ 0 w 11"/>
                  <a:gd name="T1" fmla="*/ 2 h 6"/>
                  <a:gd name="T2" fmla="*/ 4 w 11"/>
                  <a:gd name="T3" fmla="*/ 0 h 6"/>
                  <a:gd name="T4" fmla="*/ 11 w 11"/>
                  <a:gd name="T5" fmla="*/ 4 h 6"/>
                  <a:gd name="T6" fmla="*/ 7 w 11"/>
                  <a:gd name="T7" fmla="*/ 6 h 6"/>
                  <a:gd name="T8" fmla="*/ 0 w 11"/>
                  <a:gd name="T9" fmla="*/ 2 h 6"/>
                  <a:gd name="T10" fmla="*/ 0 60000 65536"/>
                  <a:gd name="T11" fmla="*/ 0 60000 65536"/>
                  <a:gd name="T12" fmla="*/ 0 60000 65536"/>
                  <a:gd name="T13" fmla="*/ 0 60000 65536"/>
                  <a:gd name="T14" fmla="*/ 0 60000 65536"/>
                  <a:gd name="T15" fmla="*/ 0 w 11"/>
                  <a:gd name="T16" fmla="*/ 0 h 6"/>
                  <a:gd name="T17" fmla="*/ 11 w 11"/>
                  <a:gd name="T18" fmla="*/ 6 h 6"/>
                </a:gdLst>
                <a:ahLst/>
                <a:cxnLst>
                  <a:cxn ang="T10">
                    <a:pos x="T0" y="T1"/>
                  </a:cxn>
                  <a:cxn ang="T11">
                    <a:pos x="T2" y="T3"/>
                  </a:cxn>
                  <a:cxn ang="T12">
                    <a:pos x="T4" y="T5"/>
                  </a:cxn>
                  <a:cxn ang="T13">
                    <a:pos x="T6" y="T7"/>
                  </a:cxn>
                  <a:cxn ang="T14">
                    <a:pos x="T8" y="T9"/>
                  </a:cxn>
                </a:cxnLst>
                <a:rect l="T15" t="T16" r="T17" b="T18"/>
                <a:pathLst>
                  <a:path w="11" h="6">
                    <a:moveTo>
                      <a:pt x="0" y="2"/>
                    </a:moveTo>
                    <a:lnTo>
                      <a:pt x="4" y="0"/>
                    </a:lnTo>
                    <a:lnTo>
                      <a:pt x="11" y="4"/>
                    </a:lnTo>
                    <a:lnTo>
                      <a:pt x="7" y="6"/>
                    </a:lnTo>
                    <a:lnTo>
                      <a:pt x="0" y="2"/>
                    </a:lnTo>
                    <a:close/>
                  </a:path>
                </a:pathLst>
              </a:custGeom>
              <a:solidFill>
                <a:srgbClr val="FFFFFF"/>
              </a:solidFill>
              <a:ln w="9525">
                <a:solidFill>
                  <a:srgbClr val="000000"/>
                </a:solidFill>
                <a:round/>
                <a:headEnd/>
                <a:tailEnd/>
              </a:ln>
            </xdr:spPr>
          </xdr:sp>
          <xdr:sp macro="" textlink="">
            <xdr:nvSpPr>
              <xdr:cNvPr id="12755" name="Freeform 1109"/>
              <xdr:cNvSpPr>
                <a:spLocks/>
              </xdr:cNvSpPr>
            </xdr:nvSpPr>
            <xdr:spPr bwMode="auto">
              <a:xfrm>
                <a:off x="656" y="938"/>
                <a:ext cx="7" cy="10"/>
              </a:xfrm>
              <a:custGeom>
                <a:avLst/>
                <a:gdLst>
                  <a:gd name="T0" fmla="*/ 3 w 7"/>
                  <a:gd name="T1" fmla="*/ 10 h 10"/>
                  <a:gd name="T2" fmla="*/ 7 w 7"/>
                  <a:gd name="T3" fmla="*/ 8 h 10"/>
                  <a:gd name="T4" fmla="*/ 4 w 7"/>
                  <a:gd name="T5" fmla="*/ 0 h 10"/>
                  <a:gd name="T6" fmla="*/ 0 w 7"/>
                  <a:gd name="T7" fmla="*/ 2 h 10"/>
                  <a:gd name="T8" fmla="*/ 3 w 7"/>
                  <a:gd name="T9" fmla="*/ 10 h 10"/>
                  <a:gd name="T10" fmla="*/ 0 60000 65536"/>
                  <a:gd name="T11" fmla="*/ 0 60000 65536"/>
                  <a:gd name="T12" fmla="*/ 0 60000 65536"/>
                  <a:gd name="T13" fmla="*/ 0 60000 65536"/>
                  <a:gd name="T14" fmla="*/ 0 60000 65536"/>
                  <a:gd name="T15" fmla="*/ 0 w 7"/>
                  <a:gd name="T16" fmla="*/ 0 h 10"/>
                  <a:gd name="T17" fmla="*/ 7 w 7"/>
                  <a:gd name="T18" fmla="*/ 10 h 10"/>
                </a:gdLst>
                <a:ahLst/>
                <a:cxnLst>
                  <a:cxn ang="T10">
                    <a:pos x="T0" y="T1"/>
                  </a:cxn>
                  <a:cxn ang="T11">
                    <a:pos x="T2" y="T3"/>
                  </a:cxn>
                  <a:cxn ang="T12">
                    <a:pos x="T4" y="T5"/>
                  </a:cxn>
                  <a:cxn ang="T13">
                    <a:pos x="T6" y="T7"/>
                  </a:cxn>
                  <a:cxn ang="T14">
                    <a:pos x="T8" y="T9"/>
                  </a:cxn>
                </a:cxnLst>
                <a:rect l="T15" t="T16" r="T17" b="T18"/>
                <a:pathLst>
                  <a:path w="7" h="10">
                    <a:moveTo>
                      <a:pt x="3" y="10"/>
                    </a:moveTo>
                    <a:lnTo>
                      <a:pt x="7" y="8"/>
                    </a:lnTo>
                    <a:lnTo>
                      <a:pt x="4" y="0"/>
                    </a:lnTo>
                    <a:lnTo>
                      <a:pt x="0" y="2"/>
                    </a:lnTo>
                    <a:lnTo>
                      <a:pt x="3" y="10"/>
                    </a:lnTo>
                    <a:close/>
                  </a:path>
                </a:pathLst>
              </a:custGeom>
              <a:solidFill>
                <a:srgbClr val="FFFFFF"/>
              </a:solidFill>
              <a:ln w="9525">
                <a:solidFill>
                  <a:srgbClr val="000000"/>
                </a:solidFill>
                <a:round/>
                <a:headEnd/>
                <a:tailEnd/>
              </a:ln>
            </xdr:spPr>
          </xdr:sp>
          <xdr:sp macro="" textlink="">
            <xdr:nvSpPr>
              <xdr:cNvPr id="12756" name="Freeform 1110"/>
              <xdr:cNvSpPr>
                <a:spLocks/>
              </xdr:cNvSpPr>
            </xdr:nvSpPr>
            <xdr:spPr bwMode="auto">
              <a:xfrm>
                <a:off x="656" y="946"/>
                <a:ext cx="7" cy="6"/>
              </a:xfrm>
              <a:custGeom>
                <a:avLst/>
                <a:gdLst>
                  <a:gd name="T0" fmla="*/ 3 w 7"/>
                  <a:gd name="T1" fmla="*/ 2 h 6"/>
                  <a:gd name="T2" fmla="*/ 7 w 7"/>
                  <a:gd name="T3" fmla="*/ 0 h 6"/>
                  <a:gd name="T4" fmla="*/ 4 w 7"/>
                  <a:gd name="T5" fmla="*/ 4 h 6"/>
                  <a:gd name="T6" fmla="*/ 0 w 7"/>
                  <a:gd name="T7" fmla="*/ 6 h 6"/>
                  <a:gd name="T8" fmla="*/ 3 w 7"/>
                  <a:gd name="T9" fmla="*/ 2 h 6"/>
                  <a:gd name="T10" fmla="*/ 0 60000 65536"/>
                  <a:gd name="T11" fmla="*/ 0 60000 65536"/>
                  <a:gd name="T12" fmla="*/ 0 60000 65536"/>
                  <a:gd name="T13" fmla="*/ 0 60000 65536"/>
                  <a:gd name="T14" fmla="*/ 0 60000 65536"/>
                  <a:gd name="T15" fmla="*/ 0 w 7"/>
                  <a:gd name="T16" fmla="*/ 0 h 6"/>
                  <a:gd name="T17" fmla="*/ 7 w 7"/>
                  <a:gd name="T18" fmla="*/ 6 h 6"/>
                </a:gdLst>
                <a:ahLst/>
                <a:cxnLst>
                  <a:cxn ang="T10">
                    <a:pos x="T0" y="T1"/>
                  </a:cxn>
                  <a:cxn ang="T11">
                    <a:pos x="T2" y="T3"/>
                  </a:cxn>
                  <a:cxn ang="T12">
                    <a:pos x="T4" y="T5"/>
                  </a:cxn>
                  <a:cxn ang="T13">
                    <a:pos x="T6" y="T7"/>
                  </a:cxn>
                  <a:cxn ang="T14">
                    <a:pos x="T8" y="T9"/>
                  </a:cxn>
                </a:cxnLst>
                <a:rect l="T15" t="T16" r="T17" b="T18"/>
                <a:pathLst>
                  <a:path w="7" h="6">
                    <a:moveTo>
                      <a:pt x="3" y="2"/>
                    </a:moveTo>
                    <a:lnTo>
                      <a:pt x="7" y="0"/>
                    </a:lnTo>
                    <a:lnTo>
                      <a:pt x="4" y="4"/>
                    </a:lnTo>
                    <a:lnTo>
                      <a:pt x="0" y="6"/>
                    </a:lnTo>
                    <a:lnTo>
                      <a:pt x="3" y="2"/>
                    </a:lnTo>
                    <a:close/>
                  </a:path>
                </a:pathLst>
              </a:custGeom>
              <a:solidFill>
                <a:srgbClr val="FFFFFF"/>
              </a:solidFill>
              <a:ln w="9525">
                <a:solidFill>
                  <a:srgbClr val="000000"/>
                </a:solidFill>
                <a:round/>
                <a:headEnd/>
                <a:tailEnd/>
              </a:ln>
            </xdr:spPr>
          </xdr:sp>
        </xdr:grpSp>
        <xdr:grpSp>
          <xdr:nvGrpSpPr>
            <xdr:cNvPr id="12322" name="Group 1111"/>
            <xdr:cNvGrpSpPr>
              <a:grpSpLocks/>
            </xdr:cNvGrpSpPr>
          </xdr:nvGrpSpPr>
          <xdr:grpSpPr bwMode="auto">
            <a:xfrm>
              <a:off x="2184156" y="4028587"/>
              <a:ext cx="161925" cy="168275"/>
              <a:chOff x="646" y="934"/>
              <a:chExt cx="17" cy="18"/>
            </a:xfrm>
          </xdr:grpSpPr>
          <xdr:sp macro="" textlink="">
            <xdr:nvSpPr>
              <xdr:cNvPr id="12747" name="Freeform 1112"/>
              <xdr:cNvSpPr>
                <a:spLocks/>
              </xdr:cNvSpPr>
            </xdr:nvSpPr>
            <xdr:spPr bwMode="auto">
              <a:xfrm>
                <a:off x="650" y="934"/>
                <a:ext cx="13" cy="16"/>
              </a:xfrm>
              <a:custGeom>
                <a:avLst/>
                <a:gdLst>
                  <a:gd name="T0" fmla="*/ 0 w 59"/>
                  <a:gd name="T1" fmla="*/ 0 h 76"/>
                  <a:gd name="T2" fmla="*/ 0 w 59"/>
                  <a:gd name="T3" fmla="*/ 0 h 76"/>
                  <a:gd name="T4" fmla="*/ 0 w 59"/>
                  <a:gd name="T5" fmla="*/ 0 h 76"/>
                  <a:gd name="T6" fmla="*/ 0 w 59"/>
                  <a:gd name="T7" fmla="*/ 0 h 76"/>
                  <a:gd name="T8" fmla="*/ 0 w 59"/>
                  <a:gd name="T9" fmla="*/ 0 h 76"/>
                  <a:gd name="T10" fmla="*/ 0 w 59"/>
                  <a:gd name="T11" fmla="*/ 0 h 76"/>
                  <a:gd name="T12" fmla="*/ 0 w 59"/>
                  <a:gd name="T13" fmla="*/ 0 h 76"/>
                  <a:gd name="T14" fmla="*/ 0 60000 65536"/>
                  <a:gd name="T15" fmla="*/ 0 60000 65536"/>
                  <a:gd name="T16" fmla="*/ 0 60000 65536"/>
                  <a:gd name="T17" fmla="*/ 0 60000 65536"/>
                  <a:gd name="T18" fmla="*/ 0 60000 65536"/>
                  <a:gd name="T19" fmla="*/ 0 60000 65536"/>
                  <a:gd name="T20" fmla="*/ 0 60000 65536"/>
                  <a:gd name="T21" fmla="*/ 0 w 59"/>
                  <a:gd name="T22" fmla="*/ 0 h 76"/>
                  <a:gd name="T23" fmla="*/ 59 w 59"/>
                  <a:gd name="T24" fmla="*/ 76 h 76"/>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9" h="76">
                    <a:moveTo>
                      <a:pt x="45" y="76"/>
                    </a:moveTo>
                    <a:lnTo>
                      <a:pt x="59" y="58"/>
                    </a:lnTo>
                    <a:lnTo>
                      <a:pt x="45" y="18"/>
                    </a:lnTo>
                    <a:lnTo>
                      <a:pt x="13" y="0"/>
                    </a:lnTo>
                    <a:lnTo>
                      <a:pt x="0" y="23"/>
                    </a:lnTo>
                    <a:lnTo>
                      <a:pt x="13" y="58"/>
                    </a:lnTo>
                    <a:lnTo>
                      <a:pt x="45" y="76"/>
                    </a:lnTo>
                    <a:close/>
                  </a:path>
                </a:pathLst>
              </a:custGeom>
              <a:solidFill>
                <a:srgbClr val="FFFFFF"/>
              </a:solidFill>
              <a:ln w="9525">
                <a:solidFill>
                  <a:srgbClr val="000000"/>
                </a:solidFill>
                <a:round/>
                <a:headEnd/>
                <a:tailEnd/>
              </a:ln>
            </xdr:spPr>
          </xdr:sp>
          <xdr:sp macro="" textlink="">
            <xdr:nvSpPr>
              <xdr:cNvPr id="12748" name="Freeform 1113"/>
              <xdr:cNvSpPr>
                <a:spLocks/>
              </xdr:cNvSpPr>
            </xdr:nvSpPr>
            <xdr:spPr bwMode="auto">
              <a:xfrm>
                <a:off x="646" y="936"/>
                <a:ext cx="13" cy="16"/>
              </a:xfrm>
              <a:custGeom>
                <a:avLst/>
                <a:gdLst>
                  <a:gd name="T0" fmla="*/ 0 w 59"/>
                  <a:gd name="T1" fmla="*/ 0 h 76"/>
                  <a:gd name="T2" fmla="*/ 0 w 59"/>
                  <a:gd name="T3" fmla="*/ 0 h 76"/>
                  <a:gd name="T4" fmla="*/ 0 w 59"/>
                  <a:gd name="T5" fmla="*/ 0 h 76"/>
                  <a:gd name="T6" fmla="*/ 0 w 59"/>
                  <a:gd name="T7" fmla="*/ 0 h 76"/>
                  <a:gd name="T8" fmla="*/ 0 w 59"/>
                  <a:gd name="T9" fmla="*/ 0 h 76"/>
                  <a:gd name="T10" fmla="*/ 0 w 59"/>
                  <a:gd name="T11" fmla="*/ 0 h 76"/>
                  <a:gd name="T12" fmla="*/ 0 w 59"/>
                  <a:gd name="T13" fmla="*/ 0 h 76"/>
                  <a:gd name="T14" fmla="*/ 0 60000 65536"/>
                  <a:gd name="T15" fmla="*/ 0 60000 65536"/>
                  <a:gd name="T16" fmla="*/ 0 60000 65536"/>
                  <a:gd name="T17" fmla="*/ 0 60000 65536"/>
                  <a:gd name="T18" fmla="*/ 0 60000 65536"/>
                  <a:gd name="T19" fmla="*/ 0 60000 65536"/>
                  <a:gd name="T20" fmla="*/ 0 60000 65536"/>
                  <a:gd name="T21" fmla="*/ 0 w 59"/>
                  <a:gd name="T22" fmla="*/ 0 h 76"/>
                  <a:gd name="T23" fmla="*/ 59 w 59"/>
                  <a:gd name="T24" fmla="*/ 76 h 76"/>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9" h="76">
                    <a:moveTo>
                      <a:pt x="45" y="76"/>
                    </a:moveTo>
                    <a:lnTo>
                      <a:pt x="59" y="58"/>
                    </a:lnTo>
                    <a:lnTo>
                      <a:pt x="45" y="18"/>
                    </a:lnTo>
                    <a:lnTo>
                      <a:pt x="13" y="0"/>
                    </a:lnTo>
                    <a:lnTo>
                      <a:pt x="0" y="23"/>
                    </a:lnTo>
                    <a:lnTo>
                      <a:pt x="13" y="58"/>
                    </a:lnTo>
                    <a:lnTo>
                      <a:pt x="45" y="76"/>
                    </a:lnTo>
                    <a:close/>
                  </a:path>
                </a:pathLst>
              </a:custGeom>
              <a:solidFill>
                <a:srgbClr val="FFFFFF"/>
              </a:solidFill>
              <a:ln w="9525">
                <a:solidFill>
                  <a:srgbClr val="000000"/>
                </a:solidFill>
                <a:round/>
                <a:headEnd/>
                <a:tailEnd/>
              </a:ln>
            </xdr:spPr>
          </xdr:sp>
          <xdr:sp macro="" textlink="">
            <xdr:nvSpPr>
              <xdr:cNvPr id="12749" name="Freeform 1114"/>
              <xdr:cNvSpPr>
                <a:spLocks/>
              </xdr:cNvSpPr>
            </xdr:nvSpPr>
            <xdr:spPr bwMode="auto">
              <a:xfrm>
                <a:off x="649" y="934"/>
                <a:ext cx="11" cy="6"/>
              </a:xfrm>
              <a:custGeom>
                <a:avLst/>
                <a:gdLst>
                  <a:gd name="T0" fmla="*/ 0 w 11"/>
                  <a:gd name="T1" fmla="*/ 2 h 6"/>
                  <a:gd name="T2" fmla="*/ 4 w 11"/>
                  <a:gd name="T3" fmla="*/ 0 h 6"/>
                  <a:gd name="T4" fmla="*/ 11 w 11"/>
                  <a:gd name="T5" fmla="*/ 4 h 6"/>
                  <a:gd name="T6" fmla="*/ 7 w 11"/>
                  <a:gd name="T7" fmla="*/ 6 h 6"/>
                  <a:gd name="T8" fmla="*/ 0 w 11"/>
                  <a:gd name="T9" fmla="*/ 2 h 6"/>
                  <a:gd name="T10" fmla="*/ 0 60000 65536"/>
                  <a:gd name="T11" fmla="*/ 0 60000 65536"/>
                  <a:gd name="T12" fmla="*/ 0 60000 65536"/>
                  <a:gd name="T13" fmla="*/ 0 60000 65536"/>
                  <a:gd name="T14" fmla="*/ 0 60000 65536"/>
                  <a:gd name="T15" fmla="*/ 0 w 11"/>
                  <a:gd name="T16" fmla="*/ 0 h 6"/>
                  <a:gd name="T17" fmla="*/ 11 w 11"/>
                  <a:gd name="T18" fmla="*/ 6 h 6"/>
                </a:gdLst>
                <a:ahLst/>
                <a:cxnLst>
                  <a:cxn ang="T10">
                    <a:pos x="T0" y="T1"/>
                  </a:cxn>
                  <a:cxn ang="T11">
                    <a:pos x="T2" y="T3"/>
                  </a:cxn>
                  <a:cxn ang="T12">
                    <a:pos x="T4" y="T5"/>
                  </a:cxn>
                  <a:cxn ang="T13">
                    <a:pos x="T6" y="T7"/>
                  </a:cxn>
                  <a:cxn ang="T14">
                    <a:pos x="T8" y="T9"/>
                  </a:cxn>
                </a:cxnLst>
                <a:rect l="T15" t="T16" r="T17" b="T18"/>
                <a:pathLst>
                  <a:path w="11" h="6">
                    <a:moveTo>
                      <a:pt x="0" y="2"/>
                    </a:moveTo>
                    <a:lnTo>
                      <a:pt x="4" y="0"/>
                    </a:lnTo>
                    <a:lnTo>
                      <a:pt x="11" y="4"/>
                    </a:lnTo>
                    <a:lnTo>
                      <a:pt x="7" y="6"/>
                    </a:lnTo>
                    <a:lnTo>
                      <a:pt x="0" y="2"/>
                    </a:lnTo>
                    <a:close/>
                  </a:path>
                </a:pathLst>
              </a:custGeom>
              <a:solidFill>
                <a:srgbClr val="FFFFFF"/>
              </a:solidFill>
              <a:ln w="9525">
                <a:solidFill>
                  <a:srgbClr val="000000"/>
                </a:solidFill>
                <a:round/>
                <a:headEnd/>
                <a:tailEnd/>
              </a:ln>
            </xdr:spPr>
          </xdr:sp>
          <xdr:sp macro="" textlink="">
            <xdr:nvSpPr>
              <xdr:cNvPr id="12750" name="Freeform 1115"/>
              <xdr:cNvSpPr>
                <a:spLocks/>
              </xdr:cNvSpPr>
            </xdr:nvSpPr>
            <xdr:spPr bwMode="auto">
              <a:xfrm>
                <a:off x="656" y="938"/>
                <a:ext cx="7" cy="10"/>
              </a:xfrm>
              <a:custGeom>
                <a:avLst/>
                <a:gdLst>
                  <a:gd name="T0" fmla="*/ 3 w 7"/>
                  <a:gd name="T1" fmla="*/ 10 h 10"/>
                  <a:gd name="T2" fmla="*/ 7 w 7"/>
                  <a:gd name="T3" fmla="*/ 8 h 10"/>
                  <a:gd name="T4" fmla="*/ 4 w 7"/>
                  <a:gd name="T5" fmla="*/ 0 h 10"/>
                  <a:gd name="T6" fmla="*/ 0 w 7"/>
                  <a:gd name="T7" fmla="*/ 2 h 10"/>
                  <a:gd name="T8" fmla="*/ 3 w 7"/>
                  <a:gd name="T9" fmla="*/ 10 h 10"/>
                  <a:gd name="T10" fmla="*/ 0 60000 65536"/>
                  <a:gd name="T11" fmla="*/ 0 60000 65536"/>
                  <a:gd name="T12" fmla="*/ 0 60000 65536"/>
                  <a:gd name="T13" fmla="*/ 0 60000 65536"/>
                  <a:gd name="T14" fmla="*/ 0 60000 65536"/>
                  <a:gd name="T15" fmla="*/ 0 w 7"/>
                  <a:gd name="T16" fmla="*/ 0 h 10"/>
                  <a:gd name="T17" fmla="*/ 7 w 7"/>
                  <a:gd name="T18" fmla="*/ 10 h 10"/>
                </a:gdLst>
                <a:ahLst/>
                <a:cxnLst>
                  <a:cxn ang="T10">
                    <a:pos x="T0" y="T1"/>
                  </a:cxn>
                  <a:cxn ang="T11">
                    <a:pos x="T2" y="T3"/>
                  </a:cxn>
                  <a:cxn ang="T12">
                    <a:pos x="T4" y="T5"/>
                  </a:cxn>
                  <a:cxn ang="T13">
                    <a:pos x="T6" y="T7"/>
                  </a:cxn>
                  <a:cxn ang="T14">
                    <a:pos x="T8" y="T9"/>
                  </a:cxn>
                </a:cxnLst>
                <a:rect l="T15" t="T16" r="T17" b="T18"/>
                <a:pathLst>
                  <a:path w="7" h="10">
                    <a:moveTo>
                      <a:pt x="3" y="10"/>
                    </a:moveTo>
                    <a:lnTo>
                      <a:pt x="7" y="8"/>
                    </a:lnTo>
                    <a:lnTo>
                      <a:pt x="4" y="0"/>
                    </a:lnTo>
                    <a:lnTo>
                      <a:pt x="0" y="2"/>
                    </a:lnTo>
                    <a:lnTo>
                      <a:pt x="3" y="10"/>
                    </a:lnTo>
                    <a:close/>
                  </a:path>
                </a:pathLst>
              </a:custGeom>
              <a:solidFill>
                <a:srgbClr val="FFFFFF"/>
              </a:solidFill>
              <a:ln w="9525">
                <a:solidFill>
                  <a:srgbClr val="000000"/>
                </a:solidFill>
                <a:round/>
                <a:headEnd/>
                <a:tailEnd/>
              </a:ln>
            </xdr:spPr>
          </xdr:sp>
          <xdr:sp macro="" textlink="">
            <xdr:nvSpPr>
              <xdr:cNvPr id="12751" name="Freeform 1116"/>
              <xdr:cNvSpPr>
                <a:spLocks/>
              </xdr:cNvSpPr>
            </xdr:nvSpPr>
            <xdr:spPr bwMode="auto">
              <a:xfrm>
                <a:off x="656" y="946"/>
                <a:ext cx="7" cy="6"/>
              </a:xfrm>
              <a:custGeom>
                <a:avLst/>
                <a:gdLst>
                  <a:gd name="T0" fmla="*/ 3 w 7"/>
                  <a:gd name="T1" fmla="*/ 2 h 6"/>
                  <a:gd name="T2" fmla="*/ 7 w 7"/>
                  <a:gd name="T3" fmla="*/ 0 h 6"/>
                  <a:gd name="T4" fmla="*/ 4 w 7"/>
                  <a:gd name="T5" fmla="*/ 4 h 6"/>
                  <a:gd name="T6" fmla="*/ 0 w 7"/>
                  <a:gd name="T7" fmla="*/ 6 h 6"/>
                  <a:gd name="T8" fmla="*/ 3 w 7"/>
                  <a:gd name="T9" fmla="*/ 2 h 6"/>
                  <a:gd name="T10" fmla="*/ 0 60000 65536"/>
                  <a:gd name="T11" fmla="*/ 0 60000 65536"/>
                  <a:gd name="T12" fmla="*/ 0 60000 65536"/>
                  <a:gd name="T13" fmla="*/ 0 60000 65536"/>
                  <a:gd name="T14" fmla="*/ 0 60000 65536"/>
                  <a:gd name="T15" fmla="*/ 0 w 7"/>
                  <a:gd name="T16" fmla="*/ 0 h 6"/>
                  <a:gd name="T17" fmla="*/ 7 w 7"/>
                  <a:gd name="T18" fmla="*/ 6 h 6"/>
                </a:gdLst>
                <a:ahLst/>
                <a:cxnLst>
                  <a:cxn ang="T10">
                    <a:pos x="T0" y="T1"/>
                  </a:cxn>
                  <a:cxn ang="T11">
                    <a:pos x="T2" y="T3"/>
                  </a:cxn>
                  <a:cxn ang="T12">
                    <a:pos x="T4" y="T5"/>
                  </a:cxn>
                  <a:cxn ang="T13">
                    <a:pos x="T6" y="T7"/>
                  </a:cxn>
                  <a:cxn ang="T14">
                    <a:pos x="T8" y="T9"/>
                  </a:cxn>
                </a:cxnLst>
                <a:rect l="T15" t="T16" r="T17" b="T18"/>
                <a:pathLst>
                  <a:path w="7" h="6">
                    <a:moveTo>
                      <a:pt x="3" y="2"/>
                    </a:moveTo>
                    <a:lnTo>
                      <a:pt x="7" y="0"/>
                    </a:lnTo>
                    <a:lnTo>
                      <a:pt x="4" y="4"/>
                    </a:lnTo>
                    <a:lnTo>
                      <a:pt x="0" y="6"/>
                    </a:lnTo>
                    <a:lnTo>
                      <a:pt x="3" y="2"/>
                    </a:lnTo>
                    <a:close/>
                  </a:path>
                </a:pathLst>
              </a:custGeom>
              <a:solidFill>
                <a:srgbClr val="FFFFFF"/>
              </a:solidFill>
              <a:ln w="9525">
                <a:solidFill>
                  <a:srgbClr val="000000"/>
                </a:solidFill>
                <a:round/>
                <a:headEnd/>
                <a:tailEnd/>
              </a:ln>
            </xdr:spPr>
          </xdr:sp>
        </xdr:grpSp>
        <xdr:grpSp>
          <xdr:nvGrpSpPr>
            <xdr:cNvPr id="12323" name="Group 1117"/>
            <xdr:cNvGrpSpPr>
              <a:grpSpLocks/>
            </xdr:cNvGrpSpPr>
          </xdr:nvGrpSpPr>
          <xdr:grpSpPr bwMode="auto">
            <a:xfrm>
              <a:off x="2184156" y="2628412"/>
              <a:ext cx="161925" cy="168275"/>
              <a:chOff x="646" y="934"/>
              <a:chExt cx="17" cy="18"/>
            </a:xfrm>
          </xdr:grpSpPr>
          <xdr:sp macro="" textlink="">
            <xdr:nvSpPr>
              <xdr:cNvPr id="12742" name="Freeform 1118"/>
              <xdr:cNvSpPr>
                <a:spLocks/>
              </xdr:cNvSpPr>
            </xdr:nvSpPr>
            <xdr:spPr bwMode="auto">
              <a:xfrm>
                <a:off x="650" y="934"/>
                <a:ext cx="13" cy="16"/>
              </a:xfrm>
              <a:custGeom>
                <a:avLst/>
                <a:gdLst>
                  <a:gd name="T0" fmla="*/ 0 w 59"/>
                  <a:gd name="T1" fmla="*/ 0 h 76"/>
                  <a:gd name="T2" fmla="*/ 0 w 59"/>
                  <a:gd name="T3" fmla="*/ 0 h 76"/>
                  <a:gd name="T4" fmla="*/ 0 w 59"/>
                  <a:gd name="T5" fmla="*/ 0 h 76"/>
                  <a:gd name="T6" fmla="*/ 0 w 59"/>
                  <a:gd name="T7" fmla="*/ 0 h 76"/>
                  <a:gd name="T8" fmla="*/ 0 w 59"/>
                  <a:gd name="T9" fmla="*/ 0 h 76"/>
                  <a:gd name="T10" fmla="*/ 0 w 59"/>
                  <a:gd name="T11" fmla="*/ 0 h 76"/>
                  <a:gd name="T12" fmla="*/ 0 w 59"/>
                  <a:gd name="T13" fmla="*/ 0 h 76"/>
                  <a:gd name="T14" fmla="*/ 0 60000 65536"/>
                  <a:gd name="T15" fmla="*/ 0 60000 65536"/>
                  <a:gd name="T16" fmla="*/ 0 60000 65536"/>
                  <a:gd name="T17" fmla="*/ 0 60000 65536"/>
                  <a:gd name="T18" fmla="*/ 0 60000 65536"/>
                  <a:gd name="T19" fmla="*/ 0 60000 65536"/>
                  <a:gd name="T20" fmla="*/ 0 60000 65536"/>
                  <a:gd name="T21" fmla="*/ 0 w 59"/>
                  <a:gd name="T22" fmla="*/ 0 h 76"/>
                  <a:gd name="T23" fmla="*/ 59 w 59"/>
                  <a:gd name="T24" fmla="*/ 76 h 76"/>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9" h="76">
                    <a:moveTo>
                      <a:pt x="45" y="76"/>
                    </a:moveTo>
                    <a:lnTo>
                      <a:pt x="59" y="58"/>
                    </a:lnTo>
                    <a:lnTo>
                      <a:pt x="45" y="18"/>
                    </a:lnTo>
                    <a:lnTo>
                      <a:pt x="13" y="0"/>
                    </a:lnTo>
                    <a:lnTo>
                      <a:pt x="0" y="23"/>
                    </a:lnTo>
                    <a:lnTo>
                      <a:pt x="13" y="58"/>
                    </a:lnTo>
                    <a:lnTo>
                      <a:pt x="45" y="76"/>
                    </a:lnTo>
                    <a:close/>
                  </a:path>
                </a:pathLst>
              </a:custGeom>
              <a:solidFill>
                <a:srgbClr val="FFFFFF"/>
              </a:solidFill>
              <a:ln w="9525">
                <a:solidFill>
                  <a:srgbClr val="000000"/>
                </a:solidFill>
                <a:round/>
                <a:headEnd/>
                <a:tailEnd/>
              </a:ln>
            </xdr:spPr>
          </xdr:sp>
          <xdr:sp macro="" textlink="">
            <xdr:nvSpPr>
              <xdr:cNvPr id="12743" name="Freeform 1119"/>
              <xdr:cNvSpPr>
                <a:spLocks/>
              </xdr:cNvSpPr>
            </xdr:nvSpPr>
            <xdr:spPr bwMode="auto">
              <a:xfrm>
                <a:off x="646" y="936"/>
                <a:ext cx="13" cy="16"/>
              </a:xfrm>
              <a:custGeom>
                <a:avLst/>
                <a:gdLst>
                  <a:gd name="T0" fmla="*/ 0 w 59"/>
                  <a:gd name="T1" fmla="*/ 0 h 76"/>
                  <a:gd name="T2" fmla="*/ 0 w 59"/>
                  <a:gd name="T3" fmla="*/ 0 h 76"/>
                  <a:gd name="T4" fmla="*/ 0 w 59"/>
                  <a:gd name="T5" fmla="*/ 0 h 76"/>
                  <a:gd name="T6" fmla="*/ 0 w 59"/>
                  <a:gd name="T7" fmla="*/ 0 h 76"/>
                  <a:gd name="T8" fmla="*/ 0 w 59"/>
                  <a:gd name="T9" fmla="*/ 0 h 76"/>
                  <a:gd name="T10" fmla="*/ 0 w 59"/>
                  <a:gd name="T11" fmla="*/ 0 h 76"/>
                  <a:gd name="T12" fmla="*/ 0 w 59"/>
                  <a:gd name="T13" fmla="*/ 0 h 76"/>
                  <a:gd name="T14" fmla="*/ 0 60000 65536"/>
                  <a:gd name="T15" fmla="*/ 0 60000 65536"/>
                  <a:gd name="T16" fmla="*/ 0 60000 65536"/>
                  <a:gd name="T17" fmla="*/ 0 60000 65536"/>
                  <a:gd name="T18" fmla="*/ 0 60000 65536"/>
                  <a:gd name="T19" fmla="*/ 0 60000 65536"/>
                  <a:gd name="T20" fmla="*/ 0 60000 65536"/>
                  <a:gd name="T21" fmla="*/ 0 w 59"/>
                  <a:gd name="T22" fmla="*/ 0 h 76"/>
                  <a:gd name="T23" fmla="*/ 59 w 59"/>
                  <a:gd name="T24" fmla="*/ 76 h 76"/>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9" h="76">
                    <a:moveTo>
                      <a:pt x="45" y="76"/>
                    </a:moveTo>
                    <a:lnTo>
                      <a:pt x="59" y="58"/>
                    </a:lnTo>
                    <a:lnTo>
                      <a:pt x="45" y="18"/>
                    </a:lnTo>
                    <a:lnTo>
                      <a:pt x="13" y="0"/>
                    </a:lnTo>
                    <a:lnTo>
                      <a:pt x="0" y="23"/>
                    </a:lnTo>
                    <a:lnTo>
                      <a:pt x="13" y="58"/>
                    </a:lnTo>
                    <a:lnTo>
                      <a:pt x="45" y="76"/>
                    </a:lnTo>
                    <a:close/>
                  </a:path>
                </a:pathLst>
              </a:custGeom>
              <a:solidFill>
                <a:srgbClr val="FFFFFF"/>
              </a:solidFill>
              <a:ln w="9525">
                <a:solidFill>
                  <a:srgbClr val="000000"/>
                </a:solidFill>
                <a:round/>
                <a:headEnd/>
                <a:tailEnd/>
              </a:ln>
            </xdr:spPr>
          </xdr:sp>
          <xdr:sp macro="" textlink="">
            <xdr:nvSpPr>
              <xdr:cNvPr id="12744" name="Freeform 1120"/>
              <xdr:cNvSpPr>
                <a:spLocks/>
              </xdr:cNvSpPr>
            </xdr:nvSpPr>
            <xdr:spPr bwMode="auto">
              <a:xfrm>
                <a:off x="649" y="934"/>
                <a:ext cx="11" cy="6"/>
              </a:xfrm>
              <a:custGeom>
                <a:avLst/>
                <a:gdLst>
                  <a:gd name="T0" fmla="*/ 0 w 11"/>
                  <a:gd name="T1" fmla="*/ 2 h 6"/>
                  <a:gd name="T2" fmla="*/ 4 w 11"/>
                  <a:gd name="T3" fmla="*/ 0 h 6"/>
                  <a:gd name="T4" fmla="*/ 11 w 11"/>
                  <a:gd name="T5" fmla="*/ 4 h 6"/>
                  <a:gd name="T6" fmla="*/ 7 w 11"/>
                  <a:gd name="T7" fmla="*/ 6 h 6"/>
                  <a:gd name="T8" fmla="*/ 0 w 11"/>
                  <a:gd name="T9" fmla="*/ 2 h 6"/>
                  <a:gd name="T10" fmla="*/ 0 60000 65536"/>
                  <a:gd name="T11" fmla="*/ 0 60000 65536"/>
                  <a:gd name="T12" fmla="*/ 0 60000 65536"/>
                  <a:gd name="T13" fmla="*/ 0 60000 65536"/>
                  <a:gd name="T14" fmla="*/ 0 60000 65536"/>
                  <a:gd name="T15" fmla="*/ 0 w 11"/>
                  <a:gd name="T16" fmla="*/ 0 h 6"/>
                  <a:gd name="T17" fmla="*/ 11 w 11"/>
                  <a:gd name="T18" fmla="*/ 6 h 6"/>
                </a:gdLst>
                <a:ahLst/>
                <a:cxnLst>
                  <a:cxn ang="T10">
                    <a:pos x="T0" y="T1"/>
                  </a:cxn>
                  <a:cxn ang="T11">
                    <a:pos x="T2" y="T3"/>
                  </a:cxn>
                  <a:cxn ang="T12">
                    <a:pos x="T4" y="T5"/>
                  </a:cxn>
                  <a:cxn ang="T13">
                    <a:pos x="T6" y="T7"/>
                  </a:cxn>
                  <a:cxn ang="T14">
                    <a:pos x="T8" y="T9"/>
                  </a:cxn>
                </a:cxnLst>
                <a:rect l="T15" t="T16" r="T17" b="T18"/>
                <a:pathLst>
                  <a:path w="11" h="6">
                    <a:moveTo>
                      <a:pt x="0" y="2"/>
                    </a:moveTo>
                    <a:lnTo>
                      <a:pt x="4" y="0"/>
                    </a:lnTo>
                    <a:lnTo>
                      <a:pt x="11" y="4"/>
                    </a:lnTo>
                    <a:lnTo>
                      <a:pt x="7" y="6"/>
                    </a:lnTo>
                    <a:lnTo>
                      <a:pt x="0" y="2"/>
                    </a:lnTo>
                    <a:close/>
                  </a:path>
                </a:pathLst>
              </a:custGeom>
              <a:solidFill>
                <a:srgbClr val="FFFFFF"/>
              </a:solidFill>
              <a:ln w="9525">
                <a:solidFill>
                  <a:srgbClr val="000000"/>
                </a:solidFill>
                <a:round/>
                <a:headEnd/>
                <a:tailEnd/>
              </a:ln>
            </xdr:spPr>
          </xdr:sp>
          <xdr:sp macro="" textlink="">
            <xdr:nvSpPr>
              <xdr:cNvPr id="12745" name="Freeform 1121"/>
              <xdr:cNvSpPr>
                <a:spLocks/>
              </xdr:cNvSpPr>
            </xdr:nvSpPr>
            <xdr:spPr bwMode="auto">
              <a:xfrm>
                <a:off x="656" y="938"/>
                <a:ext cx="7" cy="10"/>
              </a:xfrm>
              <a:custGeom>
                <a:avLst/>
                <a:gdLst>
                  <a:gd name="T0" fmla="*/ 3 w 7"/>
                  <a:gd name="T1" fmla="*/ 10 h 10"/>
                  <a:gd name="T2" fmla="*/ 7 w 7"/>
                  <a:gd name="T3" fmla="*/ 8 h 10"/>
                  <a:gd name="T4" fmla="*/ 4 w 7"/>
                  <a:gd name="T5" fmla="*/ 0 h 10"/>
                  <a:gd name="T6" fmla="*/ 0 w 7"/>
                  <a:gd name="T7" fmla="*/ 2 h 10"/>
                  <a:gd name="T8" fmla="*/ 3 w 7"/>
                  <a:gd name="T9" fmla="*/ 10 h 10"/>
                  <a:gd name="T10" fmla="*/ 0 60000 65536"/>
                  <a:gd name="T11" fmla="*/ 0 60000 65536"/>
                  <a:gd name="T12" fmla="*/ 0 60000 65536"/>
                  <a:gd name="T13" fmla="*/ 0 60000 65536"/>
                  <a:gd name="T14" fmla="*/ 0 60000 65536"/>
                  <a:gd name="T15" fmla="*/ 0 w 7"/>
                  <a:gd name="T16" fmla="*/ 0 h 10"/>
                  <a:gd name="T17" fmla="*/ 7 w 7"/>
                  <a:gd name="T18" fmla="*/ 10 h 10"/>
                </a:gdLst>
                <a:ahLst/>
                <a:cxnLst>
                  <a:cxn ang="T10">
                    <a:pos x="T0" y="T1"/>
                  </a:cxn>
                  <a:cxn ang="T11">
                    <a:pos x="T2" y="T3"/>
                  </a:cxn>
                  <a:cxn ang="T12">
                    <a:pos x="T4" y="T5"/>
                  </a:cxn>
                  <a:cxn ang="T13">
                    <a:pos x="T6" y="T7"/>
                  </a:cxn>
                  <a:cxn ang="T14">
                    <a:pos x="T8" y="T9"/>
                  </a:cxn>
                </a:cxnLst>
                <a:rect l="T15" t="T16" r="T17" b="T18"/>
                <a:pathLst>
                  <a:path w="7" h="10">
                    <a:moveTo>
                      <a:pt x="3" y="10"/>
                    </a:moveTo>
                    <a:lnTo>
                      <a:pt x="7" y="8"/>
                    </a:lnTo>
                    <a:lnTo>
                      <a:pt x="4" y="0"/>
                    </a:lnTo>
                    <a:lnTo>
                      <a:pt x="0" y="2"/>
                    </a:lnTo>
                    <a:lnTo>
                      <a:pt x="3" y="10"/>
                    </a:lnTo>
                    <a:close/>
                  </a:path>
                </a:pathLst>
              </a:custGeom>
              <a:solidFill>
                <a:srgbClr val="FFFFFF"/>
              </a:solidFill>
              <a:ln w="9525">
                <a:solidFill>
                  <a:srgbClr val="000000"/>
                </a:solidFill>
                <a:round/>
                <a:headEnd/>
                <a:tailEnd/>
              </a:ln>
            </xdr:spPr>
          </xdr:sp>
          <xdr:sp macro="" textlink="">
            <xdr:nvSpPr>
              <xdr:cNvPr id="12746" name="Freeform 1122"/>
              <xdr:cNvSpPr>
                <a:spLocks/>
              </xdr:cNvSpPr>
            </xdr:nvSpPr>
            <xdr:spPr bwMode="auto">
              <a:xfrm>
                <a:off x="656" y="946"/>
                <a:ext cx="7" cy="6"/>
              </a:xfrm>
              <a:custGeom>
                <a:avLst/>
                <a:gdLst>
                  <a:gd name="T0" fmla="*/ 3 w 7"/>
                  <a:gd name="T1" fmla="*/ 2 h 6"/>
                  <a:gd name="T2" fmla="*/ 7 w 7"/>
                  <a:gd name="T3" fmla="*/ 0 h 6"/>
                  <a:gd name="T4" fmla="*/ 4 w 7"/>
                  <a:gd name="T5" fmla="*/ 4 h 6"/>
                  <a:gd name="T6" fmla="*/ 0 w 7"/>
                  <a:gd name="T7" fmla="*/ 6 h 6"/>
                  <a:gd name="T8" fmla="*/ 3 w 7"/>
                  <a:gd name="T9" fmla="*/ 2 h 6"/>
                  <a:gd name="T10" fmla="*/ 0 60000 65536"/>
                  <a:gd name="T11" fmla="*/ 0 60000 65536"/>
                  <a:gd name="T12" fmla="*/ 0 60000 65536"/>
                  <a:gd name="T13" fmla="*/ 0 60000 65536"/>
                  <a:gd name="T14" fmla="*/ 0 60000 65536"/>
                  <a:gd name="T15" fmla="*/ 0 w 7"/>
                  <a:gd name="T16" fmla="*/ 0 h 6"/>
                  <a:gd name="T17" fmla="*/ 7 w 7"/>
                  <a:gd name="T18" fmla="*/ 6 h 6"/>
                </a:gdLst>
                <a:ahLst/>
                <a:cxnLst>
                  <a:cxn ang="T10">
                    <a:pos x="T0" y="T1"/>
                  </a:cxn>
                  <a:cxn ang="T11">
                    <a:pos x="T2" y="T3"/>
                  </a:cxn>
                  <a:cxn ang="T12">
                    <a:pos x="T4" y="T5"/>
                  </a:cxn>
                  <a:cxn ang="T13">
                    <a:pos x="T6" y="T7"/>
                  </a:cxn>
                  <a:cxn ang="T14">
                    <a:pos x="T8" y="T9"/>
                  </a:cxn>
                </a:cxnLst>
                <a:rect l="T15" t="T16" r="T17" b="T18"/>
                <a:pathLst>
                  <a:path w="7" h="6">
                    <a:moveTo>
                      <a:pt x="3" y="2"/>
                    </a:moveTo>
                    <a:lnTo>
                      <a:pt x="7" y="0"/>
                    </a:lnTo>
                    <a:lnTo>
                      <a:pt x="4" y="4"/>
                    </a:lnTo>
                    <a:lnTo>
                      <a:pt x="0" y="6"/>
                    </a:lnTo>
                    <a:lnTo>
                      <a:pt x="3" y="2"/>
                    </a:lnTo>
                    <a:close/>
                  </a:path>
                </a:pathLst>
              </a:custGeom>
              <a:solidFill>
                <a:srgbClr val="FFFFFF"/>
              </a:solidFill>
              <a:ln w="9525">
                <a:solidFill>
                  <a:srgbClr val="000000"/>
                </a:solidFill>
                <a:round/>
                <a:headEnd/>
                <a:tailEnd/>
              </a:ln>
            </xdr:spPr>
          </xdr:sp>
        </xdr:grpSp>
        <xdr:grpSp>
          <xdr:nvGrpSpPr>
            <xdr:cNvPr id="12324" name="Group 1123"/>
            <xdr:cNvGrpSpPr>
              <a:grpSpLocks/>
            </xdr:cNvGrpSpPr>
          </xdr:nvGrpSpPr>
          <xdr:grpSpPr bwMode="auto">
            <a:xfrm>
              <a:off x="5056065" y="4831862"/>
              <a:ext cx="161925" cy="168275"/>
              <a:chOff x="646" y="934"/>
              <a:chExt cx="17" cy="18"/>
            </a:xfrm>
          </xdr:grpSpPr>
          <xdr:sp macro="" textlink="">
            <xdr:nvSpPr>
              <xdr:cNvPr id="12737" name="Freeform 1124"/>
              <xdr:cNvSpPr>
                <a:spLocks/>
              </xdr:cNvSpPr>
            </xdr:nvSpPr>
            <xdr:spPr bwMode="auto">
              <a:xfrm>
                <a:off x="650" y="934"/>
                <a:ext cx="13" cy="16"/>
              </a:xfrm>
              <a:custGeom>
                <a:avLst/>
                <a:gdLst>
                  <a:gd name="T0" fmla="*/ 0 w 59"/>
                  <a:gd name="T1" fmla="*/ 0 h 76"/>
                  <a:gd name="T2" fmla="*/ 0 w 59"/>
                  <a:gd name="T3" fmla="*/ 0 h 76"/>
                  <a:gd name="T4" fmla="*/ 0 w 59"/>
                  <a:gd name="T5" fmla="*/ 0 h 76"/>
                  <a:gd name="T6" fmla="*/ 0 w 59"/>
                  <a:gd name="T7" fmla="*/ 0 h 76"/>
                  <a:gd name="T8" fmla="*/ 0 w 59"/>
                  <a:gd name="T9" fmla="*/ 0 h 76"/>
                  <a:gd name="T10" fmla="*/ 0 w 59"/>
                  <a:gd name="T11" fmla="*/ 0 h 76"/>
                  <a:gd name="T12" fmla="*/ 0 w 59"/>
                  <a:gd name="T13" fmla="*/ 0 h 76"/>
                  <a:gd name="T14" fmla="*/ 0 60000 65536"/>
                  <a:gd name="T15" fmla="*/ 0 60000 65536"/>
                  <a:gd name="T16" fmla="*/ 0 60000 65536"/>
                  <a:gd name="T17" fmla="*/ 0 60000 65536"/>
                  <a:gd name="T18" fmla="*/ 0 60000 65536"/>
                  <a:gd name="T19" fmla="*/ 0 60000 65536"/>
                  <a:gd name="T20" fmla="*/ 0 60000 65536"/>
                  <a:gd name="T21" fmla="*/ 0 w 59"/>
                  <a:gd name="T22" fmla="*/ 0 h 76"/>
                  <a:gd name="T23" fmla="*/ 59 w 59"/>
                  <a:gd name="T24" fmla="*/ 76 h 76"/>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9" h="76">
                    <a:moveTo>
                      <a:pt x="45" y="76"/>
                    </a:moveTo>
                    <a:lnTo>
                      <a:pt x="59" y="58"/>
                    </a:lnTo>
                    <a:lnTo>
                      <a:pt x="45" y="18"/>
                    </a:lnTo>
                    <a:lnTo>
                      <a:pt x="13" y="0"/>
                    </a:lnTo>
                    <a:lnTo>
                      <a:pt x="0" y="23"/>
                    </a:lnTo>
                    <a:lnTo>
                      <a:pt x="13" y="58"/>
                    </a:lnTo>
                    <a:lnTo>
                      <a:pt x="45" y="76"/>
                    </a:lnTo>
                    <a:close/>
                  </a:path>
                </a:pathLst>
              </a:custGeom>
              <a:solidFill>
                <a:srgbClr val="FFFFFF"/>
              </a:solidFill>
              <a:ln w="9525">
                <a:solidFill>
                  <a:srgbClr val="000000"/>
                </a:solidFill>
                <a:round/>
                <a:headEnd/>
                <a:tailEnd/>
              </a:ln>
            </xdr:spPr>
          </xdr:sp>
          <xdr:sp macro="" textlink="">
            <xdr:nvSpPr>
              <xdr:cNvPr id="12738" name="Freeform 1125"/>
              <xdr:cNvSpPr>
                <a:spLocks/>
              </xdr:cNvSpPr>
            </xdr:nvSpPr>
            <xdr:spPr bwMode="auto">
              <a:xfrm>
                <a:off x="646" y="936"/>
                <a:ext cx="13" cy="16"/>
              </a:xfrm>
              <a:custGeom>
                <a:avLst/>
                <a:gdLst>
                  <a:gd name="T0" fmla="*/ 0 w 59"/>
                  <a:gd name="T1" fmla="*/ 0 h 76"/>
                  <a:gd name="T2" fmla="*/ 0 w 59"/>
                  <a:gd name="T3" fmla="*/ 0 h 76"/>
                  <a:gd name="T4" fmla="*/ 0 w 59"/>
                  <a:gd name="T5" fmla="*/ 0 h 76"/>
                  <a:gd name="T6" fmla="*/ 0 w 59"/>
                  <a:gd name="T7" fmla="*/ 0 h 76"/>
                  <a:gd name="T8" fmla="*/ 0 w 59"/>
                  <a:gd name="T9" fmla="*/ 0 h 76"/>
                  <a:gd name="T10" fmla="*/ 0 w 59"/>
                  <a:gd name="T11" fmla="*/ 0 h 76"/>
                  <a:gd name="T12" fmla="*/ 0 w 59"/>
                  <a:gd name="T13" fmla="*/ 0 h 76"/>
                  <a:gd name="T14" fmla="*/ 0 60000 65536"/>
                  <a:gd name="T15" fmla="*/ 0 60000 65536"/>
                  <a:gd name="T16" fmla="*/ 0 60000 65536"/>
                  <a:gd name="T17" fmla="*/ 0 60000 65536"/>
                  <a:gd name="T18" fmla="*/ 0 60000 65536"/>
                  <a:gd name="T19" fmla="*/ 0 60000 65536"/>
                  <a:gd name="T20" fmla="*/ 0 60000 65536"/>
                  <a:gd name="T21" fmla="*/ 0 w 59"/>
                  <a:gd name="T22" fmla="*/ 0 h 76"/>
                  <a:gd name="T23" fmla="*/ 59 w 59"/>
                  <a:gd name="T24" fmla="*/ 76 h 76"/>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9" h="76">
                    <a:moveTo>
                      <a:pt x="45" y="76"/>
                    </a:moveTo>
                    <a:lnTo>
                      <a:pt x="59" y="58"/>
                    </a:lnTo>
                    <a:lnTo>
                      <a:pt x="45" y="18"/>
                    </a:lnTo>
                    <a:lnTo>
                      <a:pt x="13" y="0"/>
                    </a:lnTo>
                    <a:lnTo>
                      <a:pt x="0" y="23"/>
                    </a:lnTo>
                    <a:lnTo>
                      <a:pt x="13" y="58"/>
                    </a:lnTo>
                    <a:lnTo>
                      <a:pt x="45" y="76"/>
                    </a:lnTo>
                    <a:close/>
                  </a:path>
                </a:pathLst>
              </a:custGeom>
              <a:solidFill>
                <a:srgbClr val="FFFFFF"/>
              </a:solidFill>
              <a:ln w="9525">
                <a:solidFill>
                  <a:srgbClr val="000000"/>
                </a:solidFill>
                <a:round/>
                <a:headEnd/>
                <a:tailEnd/>
              </a:ln>
            </xdr:spPr>
          </xdr:sp>
          <xdr:sp macro="" textlink="">
            <xdr:nvSpPr>
              <xdr:cNvPr id="12739" name="Freeform 1126"/>
              <xdr:cNvSpPr>
                <a:spLocks/>
              </xdr:cNvSpPr>
            </xdr:nvSpPr>
            <xdr:spPr bwMode="auto">
              <a:xfrm>
                <a:off x="649" y="934"/>
                <a:ext cx="11" cy="6"/>
              </a:xfrm>
              <a:custGeom>
                <a:avLst/>
                <a:gdLst>
                  <a:gd name="T0" fmla="*/ 0 w 11"/>
                  <a:gd name="T1" fmla="*/ 2 h 6"/>
                  <a:gd name="T2" fmla="*/ 4 w 11"/>
                  <a:gd name="T3" fmla="*/ 0 h 6"/>
                  <a:gd name="T4" fmla="*/ 11 w 11"/>
                  <a:gd name="T5" fmla="*/ 4 h 6"/>
                  <a:gd name="T6" fmla="*/ 7 w 11"/>
                  <a:gd name="T7" fmla="*/ 6 h 6"/>
                  <a:gd name="T8" fmla="*/ 0 w 11"/>
                  <a:gd name="T9" fmla="*/ 2 h 6"/>
                  <a:gd name="T10" fmla="*/ 0 60000 65536"/>
                  <a:gd name="T11" fmla="*/ 0 60000 65536"/>
                  <a:gd name="T12" fmla="*/ 0 60000 65536"/>
                  <a:gd name="T13" fmla="*/ 0 60000 65536"/>
                  <a:gd name="T14" fmla="*/ 0 60000 65536"/>
                  <a:gd name="T15" fmla="*/ 0 w 11"/>
                  <a:gd name="T16" fmla="*/ 0 h 6"/>
                  <a:gd name="T17" fmla="*/ 11 w 11"/>
                  <a:gd name="T18" fmla="*/ 6 h 6"/>
                </a:gdLst>
                <a:ahLst/>
                <a:cxnLst>
                  <a:cxn ang="T10">
                    <a:pos x="T0" y="T1"/>
                  </a:cxn>
                  <a:cxn ang="T11">
                    <a:pos x="T2" y="T3"/>
                  </a:cxn>
                  <a:cxn ang="T12">
                    <a:pos x="T4" y="T5"/>
                  </a:cxn>
                  <a:cxn ang="T13">
                    <a:pos x="T6" y="T7"/>
                  </a:cxn>
                  <a:cxn ang="T14">
                    <a:pos x="T8" y="T9"/>
                  </a:cxn>
                </a:cxnLst>
                <a:rect l="T15" t="T16" r="T17" b="T18"/>
                <a:pathLst>
                  <a:path w="11" h="6">
                    <a:moveTo>
                      <a:pt x="0" y="2"/>
                    </a:moveTo>
                    <a:lnTo>
                      <a:pt x="4" y="0"/>
                    </a:lnTo>
                    <a:lnTo>
                      <a:pt x="11" y="4"/>
                    </a:lnTo>
                    <a:lnTo>
                      <a:pt x="7" y="6"/>
                    </a:lnTo>
                    <a:lnTo>
                      <a:pt x="0" y="2"/>
                    </a:lnTo>
                    <a:close/>
                  </a:path>
                </a:pathLst>
              </a:custGeom>
              <a:solidFill>
                <a:srgbClr val="FFFFFF"/>
              </a:solidFill>
              <a:ln w="9525">
                <a:solidFill>
                  <a:srgbClr val="000000"/>
                </a:solidFill>
                <a:round/>
                <a:headEnd/>
                <a:tailEnd/>
              </a:ln>
            </xdr:spPr>
          </xdr:sp>
          <xdr:sp macro="" textlink="">
            <xdr:nvSpPr>
              <xdr:cNvPr id="12740" name="Freeform 1127"/>
              <xdr:cNvSpPr>
                <a:spLocks/>
              </xdr:cNvSpPr>
            </xdr:nvSpPr>
            <xdr:spPr bwMode="auto">
              <a:xfrm>
                <a:off x="656" y="938"/>
                <a:ext cx="7" cy="10"/>
              </a:xfrm>
              <a:custGeom>
                <a:avLst/>
                <a:gdLst>
                  <a:gd name="T0" fmla="*/ 3 w 7"/>
                  <a:gd name="T1" fmla="*/ 10 h 10"/>
                  <a:gd name="T2" fmla="*/ 7 w 7"/>
                  <a:gd name="T3" fmla="*/ 8 h 10"/>
                  <a:gd name="T4" fmla="*/ 4 w 7"/>
                  <a:gd name="T5" fmla="*/ 0 h 10"/>
                  <a:gd name="T6" fmla="*/ 0 w 7"/>
                  <a:gd name="T7" fmla="*/ 2 h 10"/>
                  <a:gd name="T8" fmla="*/ 3 w 7"/>
                  <a:gd name="T9" fmla="*/ 10 h 10"/>
                  <a:gd name="T10" fmla="*/ 0 60000 65536"/>
                  <a:gd name="T11" fmla="*/ 0 60000 65536"/>
                  <a:gd name="T12" fmla="*/ 0 60000 65536"/>
                  <a:gd name="T13" fmla="*/ 0 60000 65536"/>
                  <a:gd name="T14" fmla="*/ 0 60000 65536"/>
                  <a:gd name="T15" fmla="*/ 0 w 7"/>
                  <a:gd name="T16" fmla="*/ 0 h 10"/>
                  <a:gd name="T17" fmla="*/ 7 w 7"/>
                  <a:gd name="T18" fmla="*/ 10 h 10"/>
                </a:gdLst>
                <a:ahLst/>
                <a:cxnLst>
                  <a:cxn ang="T10">
                    <a:pos x="T0" y="T1"/>
                  </a:cxn>
                  <a:cxn ang="T11">
                    <a:pos x="T2" y="T3"/>
                  </a:cxn>
                  <a:cxn ang="T12">
                    <a:pos x="T4" y="T5"/>
                  </a:cxn>
                  <a:cxn ang="T13">
                    <a:pos x="T6" y="T7"/>
                  </a:cxn>
                  <a:cxn ang="T14">
                    <a:pos x="T8" y="T9"/>
                  </a:cxn>
                </a:cxnLst>
                <a:rect l="T15" t="T16" r="T17" b="T18"/>
                <a:pathLst>
                  <a:path w="7" h="10">
                    <a:moveTo>
                      <a:pt x="3" y="10"/>
                    </a:moveTo>
                    <a:lnTo>
                      <a:pt x="7" y="8"/>
                    </a:lnTo>
                    <a:lnTo>
                      <a:pt x="4" y="0"/>
                    </a:lnTo>
                    <a:lnTo>
                      <a:pt x="0" y="2"/>
                    </a:lnTo>
                    <a:lnTo>
                      <a:pt x="3" y="10"/>
                    </a:lnTo>
                    <a:close/>
                  </a:path>
                </a:pathLst>
              </a:custGeom>
              <a:solidFill>
                <a:srgbClr val="FFFFFF"/>
              </a:solidFill>
              <a:ln w="9525">
                <a:solidFill>
                  <a:srgbClr val="000000"/>
                </a:solidFill>
                <a:round/>
                <a:headEnd/>
                <a:tailEnd/>
              </a:ln>
            </xdr:spPr>
          </xdr:sp>
          <xdr:sp macro="" textlink="">
            <xdr:nvSpPr>
              <xdr:cNvPr id="12741" name="Freeform 1128"/>
              <xdr:cNvSpPr>
                <a:spLocks/>
              </xdr:cNvSpPr>
            </xdr:nvSpPr>
            <xdr:spPr bwMode="auto">
              <a:xfrm>
                <a:off x="656" y="946"/>
                <a:ext cx="7" cy="6"/>
              </a:xfrm>
              <a:custGeom>
                <a:avLst/>
                <a:gdLst>
                  <a:gd name="T0" fmla="*/ 3 w 7"/>
                  <a:gd name="T1" fmla="*/ 2 h 6"/>
                  <a:gd name="T2" fmla="*/ 7 w 7"/>
                  <a:gd name="T3" fmla="*/ 0 h 6"/>
                  <a:gd name="T4" fmla="*/ 4 w 7"/>
                  <a:gd name="T5" fmla="*/ 4 h 6"/>
                  <a:gd name="T6" fmla="*/ 0 w 7"/>
                  <a:gd name="T7" fmla="*/ 6 h 6"/>
                  <a:gd name="T8" fmla="*/ 3 w 7"/>
                  <a:gd name="T9" fmla="*/ 2 h 6"/>
                  <a:gd name="T10" fmla="*/ 0 60000 65536"/>
                  <a:gd name="T11" fmla="*/ 0 60000 65536"/>
                  <a:gd name="T12" fmla="*/ 0 60000 65536"/>
                  <a:gd name="T13" fmla="*/ 0 60000 65536"/>
                  <a:gd name="T14" fmla="*/ 0 60000 65536"/>
                  <a:gd name="T15" fmla="*/ 0 w 7"/>
                  <a:gd name="T16" fmla="*/ 0 h 6"/>
                  <a:gd name="T17" fmla="*/ 7 w 7"/>
                  <a:gd name="T18" fmla="*/ 6 h 6"/>
                </a:gdLst>
                <a:ahLst/>
                <a:cxnLst>
                  <a:cxn ang="T10">
                    <a:pos x="T0" y="T1"/>
                  </a:cxn>
                  <a:cxn ang="T11">
                    <a:pos x="T2" y="T3"/>
                  </a:cxn>
                  <a:cxn ang="T12">
                    <a:pos x="T4" y="T5"/>
                  </a:cxn>
                  <a:cxn ang="T13">
                    <a:pos x="T6" y="T7"/>
                  </a:cxn>
                  <a:cxn ang="T14">
                    <a:pos x="T8" y="T9"/>
                  </a:cxn>
                </a:cxnLst>
                <a:rect l="T15" t="T16" r="T17" b="T18"/>
                <a:pathLst>
                  <a:path w="7" h="6">
                    <a:moveTo>
                      <a:pt x="3" y="2"/>
                    </a:moveTo>
                    <a:lnTo>
                      <a:pt x="7" y="0"/>
                    </a:lnTo>
                    <a:lnTo>
                      <a:pt x="4" y="4"/>
                    </a:lnTo>
                    <a:lnTo>
                      <a:pt x="0" y="6"/>
                    </a:lnTo>
                    <a:lnTo>
                      <a:pt x="3" y="2"/>
                    </a:lnTo>
                    <a:close/>
                  </a:path>
                </a:pathLst>
              </a:custGeom>
              <a:solidFill>
                <a:srgbClr val="FFFFFF"/>
              </a:solidFill>
              <a:ln w="9525">
                <a:solidFill>
                  <a:srgbClr val="000000"/>
                </a:solidFill>
                <a:round/>
                <a:headEnd/>
                <a:tailEnd/>
              </a:ln>
            </xdr:spPr>
          </xdr:sp>
        </xdr:grpSp>
        <xdr:grpSp>
          <xdr:nvGrpSpPr>
            <xdr:cNvPr id="12325" name="Group 1129"/>
            <xdr:cNvGrpSpPr>
              <a:grpSpLocks/>
            </xdr:cNvGrpSpPr>
          </xdr:nvGrpSpPr>
          <xdr:grpSpPr bwMode="auto">
            <a:xfrm>
              <a:off x="5056065" y="4114312"/>
              <a:ext cx="161925" cy="168275"/>
              <a:chOff x="646" y="934"/>
              <a:chExt cx="17" cy="18"/>
            </a:xfrm>
          </xdr:grpSpPr>
          <xdr:sp macro="" textlink="">
            <xdr:nvSpPr>
              <xdr:cNvPr id="12732" name="Freeform 1130"/>
              <xdr:cNvSpPr>
                <a:spLocks/>
              </xdr:cNvSpPr>
            </xdr:nvSpPr>
            <xdr:spPr bwMode="auto">
              <a:xfrm>
                <a:off x="650" y="934"/>
                <a:ext cx="13" cy="16"/>
              </a:xfrm>
              <a:custGeom>
                <a:avLst/>
                <a:gdLst>
                  <a:gd name="T0" fmla="*/ 0 w 59"/>
                  <a:gd name="T1" fmla="*/ 0 h 76"/>
                  <a:gd name="T2" fmla="*/ 0 w 59"/>
                  <a:gd name="T3" fmla="*/ 0 h 76"/>
                  <a:gd name="T4" fmla="*/ 0 w 59"/>
                  <a:gd name="T5" fmla="*/ 0 h 76"/>
                  <a:gd name="T6" fmla="*/ 0 w 59"/>
                  <a:gd name="T7" fmla="*/ 0 h 76"/>
                  <a:gd name="T8" fmla="*/ 0 w 59"/>
                  <a:gd name="T9" fmla="*/ 0 h 76"/>
                  <a:gd name="T10" fmla="*/ 0 w 59"/>
                  <a:gd name="T11" fmla="*/ 0 h 76"/>
                  <a:gd name="T12" fmla="*/ 0 w 59"/>
                  <a:gd name="T13" fmla="*/ 0 h 76"/>
                  <a:gd name="T14" fmla="*/ 0 60000 65536"/>
                  <a:gd name="T15" fmla="*/ 0 60000 65536"/>
                  <a:gd name="T16" fmla="*/ 0 60000 65536"/>
                  <a:gd name="T17" fmla="*/ 0 60000 65536"/>
                  <a:gd name="T18" fmla="*/ 0 60000 65536"/>
                  <a:gd name="T19" fmla="*/ 0 60000 65536"/>
                  <a:gd name="T20" fmla="*/ 0 60000 65536"/>
                  <a:gd name="T21" fmla="*/ 0 w 59"/>
                  <a:gd name="T22" fmla="*/ 0 h 76"/>
                  <a:gd name="T23" fmla="*/ 59 w 59"/>
                  <a:gd name="T24" fmla="*/ 76 h 76"/>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9" h="76">
                    <a:moveTo>
                      <a:pt x="45" y="76"/>
                    </a:moveTo>
                    <a:lnTo>
                      <a:pt x="59" y="58"/>
                    </a:lnTo>
                    <a:lnTo>
                      <a:pt x="45" y="18"/>
                    </a:lnTo>
                    <a:lnTo>
                      <a:pt x="13" y="0"/>
                    </a:lnTo>
                    <a:lnTo>
                      <a:pt x="0" y="23"/>
                    </a:lnTo>
                    <a:lnTo>
                      <a:pt x="13" y="58"/>
                    </a:lnTo>
                    <a:lnTo>
                      <a:pt x="45" y="76"/>
                    </a:lnTo>
                    <a:close/>
                  </a:path>
                </a:pathLst>
              </a:custGeom>
              <a:solidFill>
                <a:srgbClr val="FFFFFF"/>
              </a:solidFill>
              <a:ln w="9525">
                <a:solidFill>
                  <a:srgbClr val="000000"/>
                </a:solidFill>
                <a:round/>
                <a:headEnd/>
                <a:tailEnd/>
              </a:ln>
            </xdr:spPr>
          </xdr:sp>
          <xdr:sp macro="" textlink="">
            <xdr:nvSpPr>
              <xdr:cNvPr id="12733" name="Freeform 1131"/>
              <xdr:cNvSpPr>
                <a:spLocks/>
              </xdr:cNvSpPr>
            </xdr:nvSpPr>
            <xdr:spPr bwMode="auto">
              <a:xfrm>
                <a:off x="646" y="936"/>
                <a:ext cx="13" cy="16"/>
              </a:xfrm>
              <a:custGeom>
                <a:avLst/>
                <a:gdLst>
                  <a:gd name="T0" fmla="*/ 0 w 59"/>
                  <a:gd name="T1" fmla="*/ 0 h 76"/>
                  <a:gd name="T2" fmla="*/ 0 w 59"/>
                  <a:gd name="T3" fmla="*/ 0 h 76"/>
                  <a:gd name="T4" fmla="*/ 0 w 59"/>
                  <a:gd name="T5" fmla="*/ 0 h 76"/>
                  <a:gd name="T6" fmla="*/ 0 w 59"/>
                  <a:gd name="T7" fmla="*/ 0 h 76"/>
                  <a:gd name="T8" fmla="*/ 0 w 59"/>
                  <a:gd name="T9" fmla="*/ 0 h 76"/>
                  <a:gd name="T10" fmla="*/ 0 w 59"/>
                  <a:gd name="T11" fmla="*/ 0 h 76"/>
                  <a:gd name="T12" fmla="*/ 0 w 59"/>
                  <a:gd name="T13" fmla="*/ 0 h 76"/>
                  <a:gd name="T14" fmla="*/ 0 60000 65536"/>
                  <a:gd name="T15" fmla="*/ 0 60000 65536"/>
                  <a:gd name="T16" fmla="*/ 0 60000 65536"/>
                  <a:gd name="T17" fmla="*/ 0 60000 65536"/>
                  <a:gd name="T18" fmla="*/ 0 60000 65536"/>
                  <a:gd name="T19" fmla="*/ 0 60000 65536"/>
                  <a:gd name="T20" fmla="*/ 0 60000 65536"/>
                  <a:gd name="T21" fmla="*/ 0 w 59"/>
                  <a:gd name="T22" fmla="*/ 0 h 76"/>
                  <a:gd name="T23" fmla="*/ 59 w 59"/>
                  <a:gd name="T24" fmla="*/ 76 h 76"/>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9" h="76">
                    <a:moveTo>
                      <a:pt x="45" y="76"/>
                    </a:moveTo>
                    <a:lnTo>
                      <a:pt x="59" y="58"/>
                    </a:lnTo>
                    <a:lnTo>
                      <a:pt x="45" y="18"/>
                    </a:lnTo>
                    <a:lnTo>
                      <a:pt x="13" y="0"/>
                    </a:lnTo>
                    <a:lnTo>
                      <a:pt x="0" y="23"/>
                    </a:lnTo>
                    <a:lnTo>
                      <a:pt x="13" y="58"/>
                    </a:lnTo>
                    <a:lnTo>
                      <a:pt x="45" y="76"/>
                    </a:lnTo>
                    <a:close/>
                  </a:path>
                </a:pathLst>
              </a:custGeom>
              <a:solidFill>
                <a:srgbClr val="FFFFFF"/>
              </a:solidFill>
              <a:ln w="9525">
                <a:solidFill>
                  <a:srgbClr val="000000"/>
                </a:solidFill>
                <a:round/>
                <a:headEnd/>
                <a:tailEnd/>
              </a:ln>
            </xdr:spPr>
          </xdr:sp>
          <xdr:sp macro="" textlink="">
            <xdr:nvSpPr>
              <xdr:cNvPr id="12734" name="Freeform 1132"/>
              <xdr:cNvSpPr>
                <a:spLocks/>
              </xdr:cNvSpPr>
            </xdr:nvSpPr>
            <xdr:spPr bwMode="auto">
              <a:xfrm>
                <a:off x="649" y="934"/>
                <a:ext cx="11" cy="6"/>
              </a:xfrm>
              <a:custGeom>
                <a:avLst/>
                <a:gdLst>
                  <a:gd name="T0" fmla="*/ 0 w 11"/>
                  <a:gd name="T1" fmla="*/ 2 h 6"/>
                  <a:gd name="T2" fmla="*/ 4 w 11"/>
                  <a:gd name="T3" fmla="*/ 0 h 6"/>
                  <a:gd name="T4" fmla="*/ 11 w 11"/>
                  <a:gd name="T5" fmla="*/ 4 h 6"/>
                  <a:gd name="T6" fmla="*/ 7 w 11"/>
                  <a:gd name="T7" fmla="*/ 6 h 6"/>
                  <a:gd name="T8" fmla="*/ 0 w 11"/>
                  <a:gd name="T9" fmla="*/ 2 h 6"/>
                  <a:gd name="T10" fmla="*/ 0 60000 65536"/>
                  <a:gd name="T11" fmla="*/ 0 60000 65536"/>
                  <a:gd name="T12" fmla="*/ 0 60000 65536"/>
                  <a:gd name="T13" fmla="*/ 0 60000 65536"/>
                  <a:gd name="T14" fmla="*/ 0 60000 65536"/>
                  <a:gd name="T15" fmla="*/ 0 w 11"/>
                  <a:gd name="T16" fmla="*/ 0 h 6"/>
                  <a:gd name="T17" fmla="*/ 11 w 11"/>
                  <a:gd name="T18" fmla="*/ 6 h 6"/>
                </a:gdLst>
                <a:ahLst/>
                <a:cxnLst>
                  <a:cxn ang="T10">
                    <a:pos x="T0" y="T1"/>
                  </a:cxn>
                  <a:cxn ang="T11">
                    <a:pos x="T2" y="T3"/>
                  </a:cxn>
                  <a:cxn ang="T12">
                    <a:pos x="T4" y="T5"/>
                  </a:cxn>
                  <a:cxn ang="T13">
                    <a:pos x="T6" y="T7"/>
                  </a:cxn>
                  <a:cxn ang="T14">
                    <a:pos x="T8" y="T9"/>
                  </a:cxn>
                </a:cxnLst>
                <a:rect l="T15" t="T16" r="T17" b="T18"/>
                <a:pathLst>
                  <a:path w="11" h="6">
                    <a:moveTo>
                      <a:pt x="0" y="2"/>
                    </a:moveTo>
                    <a:lnTo>
                      <a:pt x="4" y="0"/>
                    </a:lnTo>
                    <a:lnTo>
                      <a:pt x="11" y="4"/>
                    </a:lnTo>
                    <a:lnTo>
                      <a:pt x="7" y="6"/>
                    </a:lnTo>
                    <a:lnTo>
                      <a:pt x="0" y="2"/>
                    </a:lnTo>
                    <a:close/>
                  </a:path>
                </a:pathLst>
              </a:custGeom>
              <a:solidFill>
                <a:srgbClr val="FFFFFF"/>
              </a:solidFill>
              <a:ln w="9525">
                <a:solidFill>
                  <a:srgbClr val="000000"/>
                </a:solidFill>
                <a:round/>
                <a:headEnd/>
                <a:tailEnd/>
              </a:ln>
            </xdr:spPr>
          </xdr:sp>
          <xdr:sp macro="" textlink="">
            <xdr:nvSpPr>
              <xdr:cNvPr id="12735" name="Freeform 1133"/>
              <xdr:cNvSpPr>
                <a:spLocks/>
              </xdr:cNvSpPr>
            </xdr:nvSpPr>
            <xdr:spPr bwMode="auto">
              <a:xfrm>
                <a:off x="656" y="938"/>
                <a:ext cx="7" cy="10"/>
              </a:xfrm>
              <a:custGeom>
                <a:avLst/>
                <a:gdLst>
                  <a:gd name="T0" fmla="*/ 3 w 7"/>
                  <a:gd name="T1" fmla="*/ 10 h 10"/>
                  <a:gd name="T2" fmla="*/ 7 w 7"/>
                  <a:gd name="T3" fmla="*/ 8 h 10"/>
                  <a:gd name="T4" fmla="*/ 4 w 7"/>
                  <a:gd name="T5" fmla="*/ 0 h 10"/>
                  <a:gd name="T6" fmla="*/ 0 w 7"/>
                  <a:gd name="T7" fmla="*/ 2 h 10"/>
                  <a:gd name="T8" fmla="*/ 3 w 7"/>
                  <a:gd name="T9" fmla="*/ 10 h 10"/>
                  <a:gd name="T10" fmla="*/ 0 60000 65536"/>
                  <a:gd name="T11" fmla="*/ 0 60000 65536"/>
                  <a:gd name="T12" fmla="*/ 0 60000 65536"/>
                  <a:gd name="T13" fmla="*/ 0 60000 65536"/>
                  <a:gd name="T14" fmla="*/ 0 60000 65536"/>
                  <a:gd name="T15" fmla="*/ 0 w 7"/>
                  <a:gd name="T16" fmla="*/ 0 h 10"/>
                  <a:gd name="T17" fmla="*/ 7 w 7"/>
                  <a:gd name="T18" fmla="*/ 10 h 10"/>
                </a:gdLst>
                <a:ahLst/>
                <a:cxnLst>
                  <a:cxn ang="T10">
                    <a:pos x="T0" y="T1"/>
                  </a:cxn>
                  <a:cxn ang="T11">
                    <a:pos x="T2" y="T3"/>
                  </a:cxn>
                  <a:cxn ang="T12">
                    <a:pos x="T4" y="T5"/>
                  </a:cxn>
                  <a:cxn ang="T13">
                    <a:pos x="T6" y="T7"/>
                  </a:cxn>
                  <a:cxn ang="T14">
                    <a:pos x="T8" y="T9"/>
                  </a:cxn>
                </a:cxnLst>
                <a:rect l="T15" t="T16" r="T17" b="T18"/>
                <a:pathLst>
                  <a:path w="7" h="10">
                    <a:moveTo>
                      <a:pt x="3" y="10"/>
                    </a:moveTo>
                    <a:lnTo>
                      <a:pt x="7" y="8"/>
                    </a:lnTo>
                    <a:lnTo>
                      <a:pt x="4" y="0"/>
                    </a:lnTo>
                    <a:lnTo>
                      <a:pt x="0" y="2"/>
                    </a:lnTo>
                    <a:lnTo>
                      <a:pt x="3" y="10"/>
                    </a:lnTo>
                    <a:close/>
                  </a:path>
                </a:pathLst>
              </a:custGeom>
              <a:solidFill>
                <a:srgbClr val="FFFFFF"/>
              </a:solidFill>
              <a:ln w="9525">
                <a:solidFill>
                  <a:srgbClr val="000000"/>
                </a:solidFill>
                <a:round/>
                <a:headEnd/>
                <a:tailEnd/>
              </a:ln>
            </xdr:spPr>
          </xdr:sp>
          <xdr:sp macro="" textlink="">
            <xdr:nvSpPr>
              <xdr:cNvPr id="12736" name="Freeform 1134"/>
              <xdr:cNvSpPr>
                <a:spLocks/>
              </xdr:cNvSpPr>
            </xdr:nvSpPr>
            <xdr:spPr bwMode="auto">
              <a:xfrm>
                <a:off x="656" y="946"/>
                <a:ext cx="7" cy="6"/>
              </a:xfrm>
              <a:custGeom>
                <a:avLst/>
                <a:gdLst>
                  <a:gd name="T0" fmla="*/ 3 w 7"/>
                  <a:gd name="T1" fmla="*/ 2 h 6"/>
                  <a:gd name="T2" fmla="*/ 7 w 7"/>
                  <a:gd name="T3" fmla="*/ 0 h 6"/>
                  <a:gd name="T4" fmla="*/ 4 w 7"/>
                  <a:gd name="T5" fmla="*/ 4 h 6"/>
                  <a:gd name="T6" fmla="*/ 0 w 7"/>
                  <a:gd name="T7" fmla="*/ 6 h 6"/>
                  <a:gd name="T8" fmla="*/ 3 w 7"/>
                  <a:gd name="T9" fmla="*/ 2 h 6"/>
                  <a:gd name="T10" fmla="*/ 0 60000 65536"/>
                  <a:gd name="T11" fmla="*/ 0 60000 65536"/>
                  <a:gd name="T12" fmla="*/ 0 60000 65536"/>
                  <a:gd name="T13" fmla="*/ 0 60000 65536"/>
                  <a:gd name="T14" fmla="*/ 0 60000 65536"/>
                  <a:gd name="T15" fmla="*/ 0 w 7"/>
                  <a:gd name="T16" fmla="*/ 0 h 6"/>
                  <a:gd name="T17" fmla="*/ 7 w 7"/>
                  <a:gd name="T18" fmla="*/ 6 h 6"/>
                </a:gdLst>
                <a:ahLst/>
                <a:cxnLst>
                  <a:cxn ang="T10">
                    <a:pos x="T0" y="T1"/>
                  </a:cxn>
                  <a:cxn ang="T11">
                    <a:pos x="T2" y="T3"/>
                  </a:cxn>
                  <a:cxn ang="T12">
                    <a:pos x="T4" y="T5"/>
                  </a:cxn>
                  <a:cxn ang="T13">
                    <a:pos x="T6" y="T7"/>
                  </a:cxn>
                  <a:cxn ang="T14">
                    <a:pos x="T8" y="T9"/>
                  </a:cxn>
                </a:cxnLst>
                <a:rect l="T15" t="T16" r="T17" b="T18"/>
                <a:pathLst>
                  <a:path w="7" h="6">
                    <a:moveTo>
                      <a:pt x="3" y="2"/>
                    </a:moveTo>
                    <a:lnTo>
                      <a:pt x="7" y="0"/>
                    </a:lnTo>
                    <a:lnTo>
                      <a:pt x="4" y="4"/>
                    </a:lnTo>
                    <a:lnTo>
                      <a:pt x="0" y="6"/>
                    </a:lnTo>
                    <a:lnTo>
                      <a:pt x="3" y="2"/>
                    </a:lnTo>
                    <a:close/>
                  </a:path>
                </a:pathLst>
              </a:custGeom>
              <a:solidFill>
                <a:srgbClr val="FFFFFF"/>
              </a:solidFill>
              <a:ln w="9525">
                <a:solidFill>
                  <a:srgbClr val="000000"/>
                </a:solidFill>
                <a:round/>
                <a:headEnd/>
                <a:tailEnd/>
              </a:ln>
            </xdr:spPr>
          </xdr:sp>
        </xdr:grpSp>
        <xdr:sp macro="" textlink="">
          <xdr:nvSpPr>
            <xdr:cNvPr id="12326" name="Line 1135"/>
            <xdr:cNvSpPr>
              <a:spLocks noChangeShapeType="1"/>
            </xdr:cNvSpPr>
          </xdr:nvSpPr>
          <xdr:spPr bwMode="auto">
            <a:xfrm>
              <a:off x="658202" y="7717937"/>
              <a:ext cx="3634886" cy="0"/>
            </a:xfrm>
            <a:prstGeom prst="line">
              <a:avLst/>
            </a:prstGeom>
            <a:noFill/>
            <a:ln w="28575">
              <a:solidFill>
                <a:srgbClr val="0000FF"/>
              </a:solidFill>
              <a:round/>
              <a:headEnd/>
              <a:tailEnd/>
            </a:ln>
          </xdr:spPr>
        </xdr:sp>
        <xdr:sp macro="" textlink="">
          <xdr:nvSpPr>
            <xdr:cNvPr id="12327" name="Line 1136"/>
            <xdr:cNvSpPr>
              <a:spLocks noChangeShapeType="1"/>
            </xdr:cNvSpPr>
          </xdr:nvSpPr>
          <xdr:spPr bwMode="auto">
            <a:xfrm>
              <a:off x="2298456" y="7651262"/>
              <a:ext cx="353402" cy="0"/>
            </a:xfrm>
            <a:prstGeom prst="line">
              <a:avLst/>
            </a:prstGeom>
            <a:noFill/>
            <a:ln w="28575">
              <a:solidFill>
                <a:srgbClr val="0000FF"/>
              </a:solidFill>
              <a:round/>
              <a:headEnd/>
              <a:tailEnd/>
            </a:ln>
          </xdr:spPr>
        </xdr:sp>
        <xdr:sp macro="" textlink="">
          <xdr:nvSpPr>
            <xdr:cNvPr id="12328" name="Line 1137"/>
            <xdr:cNvSpPr>
              <a:spLocks noChangeShapeType="1"/>
            </xdr:cNvSpPr>
          </xdr:nvSpPr>
          <xdr:spPr bwMode="auto">
            <a:xfrm>
              <a:off x="629627" y="7651262"/>
              <a:ext cx="333375" cy="0"/>
            </a:xfrm>
            <a:prstGeom prst="line">
              <a:avLst/>
            </a:prstGeom>
            <a:noFill/>
            <a:ln w="28575">
              <a:solidFill>
                <a:srgbClr val="0000FF"/>
              </a:solidFill>
              <a:round/>
              <a:headEnd/>
              <a:tailEnd/>
            </a:ln>
          </xdr:spPr>
        </xdr:sp>
        <xdr:sp macro="" textlink="">
          <xdr:nvSpPr>
            <xdr:cNvPr id="12329" name="Line 1138"/>
            <xdr:cNvSpPr>
              <a:spLocks noChangeShapeType="1"/>
            </xdr:cNvSpPr>
          </xdr:nvSpPr>
          <xdr:spPr bwMode="auto">
            <a:xfrm>
              <a:off x="3977787" y="7651262"/>
              <a:ext cx="353401" cy="0"/>
            </a:xfrm>
            <a:prstGeom prst="line">
              <a:avLst/>
            </a:prstGeom>
            <a:noFill/>
            <a:ln w="28575">
              <a:solidFill>
                <a:srgbClr val="0000FF"/>
              </a:solidFill>
              <a:round/>
              <a:headEnd/>
              <a:tailEnd/>
            </a:ln>
          </xdr:spPr>
        </xdr:sp>
        <xdr:sp macro="" textlink="">
          <xdr:nvSpPr>
            <xdr:cNvPr id="12330" name="Line 1139"/>
            <xdr:cNvSpPr>
              <a:spLocks noChangeShapeType="1"/>
            </xdr:cNvSpPr>
          </xdr:nvSpPr>
          <xdr:spPr bwMode="auto">
            <a:xfrm flipV="1">
              <a:off x="715352" y="7651262"/>
              <a:ext cx="0" cy="66675"/>
            </a:xfrm>
            <a:prstGeom prst="line">
              <a:avLst/>
            </a:prstGeom>
            <a:noFill/>
            <a:ln w="28575">
              <a:solidFill>
                <a:srgbClr val="0000FF"/>
              </a:solidFill>
              <a:round/>
              <a:headEnd/>
              <a:tailEnd/>
            </a:ln>
          </xdr:spPr>
        </xdr:sp>
        <xdr:sp macro="" textlink="">
          <xdr:nvSpPr>
            <xdr:cNvPr id="12331" name="Line 1140"/>
            <xdr:cNvSpPr>
              <a:spLocks noChangeShapeType="1"/>
            </xdr:cNvSpPr>
          </xdr:nvSpPr>
          <xdr:spPr bwMode="auto">
            <a:xfrm flipV="1">
              <a:off x="867752" y="7651262"/>
              <a:ext cx="0" cy="66675"/>
            </a:xfrm>
            <a:prstGeom prst="line">
              <a:avLst/>
            </a:prstGeom>
            <a:noFill/>
            <a:ln w="28575">
              <a:solidFill>
                <a:srgbClr val="0000FF"/>
              </a:solidFill>
              <a:round/>
              <a:headEnd/>
              <a:tailEnd/>
            </a:ln>
          </xdr:spPr>
        </xdr:sp>
        <xdr:sp macro="" textlink="">
          <xdr:nvSpPr>
            <xdr:cNvPr id="12332" name="Line 1141"/>
            <xdr:cNvSpPr>
              <a:spLocks noChangeShapeType="1"/>
            </xdr:cNvSpPr>
          </xdr:nvSpPr>
          <xdr:spPr bwMode="auto">
            <a:xfrm flipV="1">
              <a:off x="4073037" y="7651262"/>
              <a:ext cx="0" cy="66675"/>
            </a:xfrm>
            <a:prstGeom prst="line">
              <a:avLst/>
            </a:prstGeom>
            <a:noFill/>
            <a:ln w="28575">
              <a:solidFill>
                <a:srgbClr val="0000FF"/>
              </a:solidFill>
              <a:round/>
              <a:headEnd/>
              <a:tailEnd/>
            </a:ln>
          </xdr:spPr>
        </xdr:sp>
        <xdr:sp macro="" textlink="">
          <xdr:nvSpPr>
            <xdr:cNvPr id="12333" name="Line 1142"/>
            <xdr:cNvSpPr>
              <a:spLocks noChangeShapeType="1"/>
            </xdr:cNvSpPr>
          </xdr:nvSpPr>
          <xdr:spPr bwMode="auto">
            <a:xfrm flipV="1">
              <a:off x="4225437" y="7651262"/>
              <a:ext cx="0" cy="66675"/>
            </a:xfrm>
            <a:prstGeom prst="line">
              <a:avLst/>
            </a:prstGeom>
            <a:noFill/>
            <a:ln w="28575">
              <a:solidFill>
                <a:srgbClr val="0000FF"/>
              </a:solidFill>
              <a:round/>
              <a:headEnd/>
              <a:tailEnd/>
            </a:ln>
          </xdr:spPr>
        </xdr:sp>
        <xdr:sp macro="" textlink="">
          <xdr:nvSpPr>
            <xdr:cNvPr id="12334" name="Line 1143"/>
            <xdr:cNvSpPr>
              <a:spLocks noChangeShapeType="1"/>
            </xdr:cNvSpPr>
          </xdr:nvSpPr>
          <xdr:spPr bwMode="auto">
            <a:xfrm flipV="1">
              <a:off x="2393706" y="7641737"/>
              <a:ext cx="0" cy="66675"/>
            </a:xfrm>
            <a:prstGeom prst="line">
              <a:avLst/>
            </a:prstGeom>
            <a:noFill/>
            <a:ln w="28575">
              <a:solidFill>
                <a:srgbClr val="0000FF"/>
              </a:solidFill>
              <a:round/>
              <a:headEnd/>
              <a:tailEnd/>
            </a:ln>
          </xdr:spPr>
        </xdr:sp>
        <xdr:sp macro="" textlink="">
          <xdr:nvSpPr>
            <xdr:cNvPr id="12335" name="Line 1144"/>
            <xdr:cNvSpPr>
              <a:spLocks noChangeShapeType="1"/>
            </xdr:cNvSpPr>
          </xdr:nvSpPr>
          <xdr:spPr bwMode="auto">
            <a:xfrm flipV="1">
              <a:off x="2547083" y="7641737"/>
              <a:ext cx="0" cy="66675"/>
            </a:xfrm>
            <a:prstGeom prst="line">
              <a:avLst/>
            </a:prstGeom>
            <a:noFill/>
            <a:ln w="28575">
              <a:solidFill>
                <a:srgbClr val="0000FF"/>
              </a:solidFill>
              <a:round/>
              <a:headEnd/>
              <a:tailEnd/>
            </a:ln>
          </xdr:spPr>
        </xdr:sp>
        <xdr:grpSp>
          <xdr:nvGrpSpPr>
            <xdr:cNvPr id="12336" name="Group 1145"/>
            <xdr:cNvGrpSpPr>
              <a:grpSpLocks/>
            </xdr:cNvGrpSpPr>
          </xdr:nvGrpSpPr>
          <xdr:grpSpPr bwMode="auto">
            <a:xfrm>
              <a:off x="5704742" y="6178062"/>
              <a:ext cx="390525" cy="279400"/>
              <a:chOff x="595" y="629"/>
              <a:chExt cx="59" cy="30"/>
            </a:xfrm>
          </xdr:grpSpPr>
          <xdr:sp macro="" textlink="">
            <xdr:nvSpPr>
              <xdr:cNvPr id="12730" name="Rectangle 1146" descr="Wide downward diagonal"/>
              <xdr:cNvSpPr>
                <a:spLocks noChangeArrowheads="1"/>
              </xdr:cNvSpPr>
            </xdr:nvSpPr>
            <xdr:spPr bwMode="auto">
              <a:xfrm>
                <a:off x="595" y="629"/>
                <a:ext cx="59" cy="30"/>
              </a:xfrm>
              <a:prstGeom prst="rect">
                <a:avLst/>
              </a:prstGeom>
              <a:pattFill prst="wdDnDiag">
                <a:fgClr>
                  <a:srgbClr val="000000"/>
                </a:fgClr>
                <a:bgClr>
                  <a:srgbClr val="FFFFFF"/>
                </a:bgClr>
              </a:pattFill>
              <a:ln w="9525">
                <a:solidFill>
                  <a:srgbClr val="000000"/>
                </a:solidFill>
                <a:miter lim="800000"/>
                <a:headEnd/>
                <a:tailEnd/>
              </a:ln>
            </xdr:spPr>
          </xdr:sp>
          <xdr:sp macro="" textlink="">
            <xdr:nvSpPr>
              <xdr:cNvPr id="12731" name="Rectangle 1147"/>
              <xdr:cNvSpPr>
                <a:spLocks noChangeArrowheads="1"/>
              </xdr:cNvSpPr>
            </xdr:nvSpPr>
            <xdr:spPr bwMode="auto">
              <a:xfrm>
                <a:off x="598" y="629"/>
                <a:ext cx="53" cy="30"/>
              </a:xfrm>
              <a:prstGeom prst="rect">
                <a:avLst/>
              </a:prstGeom>
              <a:solidFill>
                <a:srgbClr val="FFFFFF"/>
              </a:solidFill>
              <a:ln w="9525">
                <a:solidFill>
                  <a:srgbClr val="000000"/>
                </a:solidFill>
                <a:miter lim="800000"/>
                <a:headEnd/>
                <a:tailEnd/>
              </a:ln>
            </xdr:spPr>
          </xdr:sp>
        </xdr:grpSp>
        <xdr:sp macro="" textlink="">
          <xdr:nvSpPr>
            <xdr:cNvPr id="12337" name="Line 1148"/>
            <xdr:cNvSpPr>
              <a:spLocks noChangeShapeType="1"/>
            </xdr:cNvSpPr>
          </xdr:nvSpPr>
          <xdr:spPr bwMode="auto">
            <a:xfrm>
              <a:off x="5552342" y="7708412"/>
              <a:ext cx="3815862" cy="0"/>
            </a:xfrm>
            <a:prstGeom prst="line">
              <a:avLst/>
            </a:prstGeom>
            <a:noFill/>
            <a:ln w="19050">
              <a:solidFill>
                <a:srgbClr val="0000FF"/>
              </a:solidFill>
              <a:round/>
              <a:headEnd/>
              <a:tailEnd/>
            </a:ln>
          </xdr:spPr>
        </xdr:sp>
        <xdr:sp macro="" textlink="">
          <xdr:nvSpPr>
            <xdr:cNvPr id="12338" name="Line 1149"/>
            <xdr:cNvSpPr>
              <a:spLocks noChangeShapeType="1"/>
            </xdr:cNvSpPr>
          </xdr:nvSpPr>
          <xdr:spPr bwMode="auto">
            <a:xfrm>
              <a:off x="7985125" y="7641737"/>
              <a:ext cx="314325" cy="0"/>
            </a:xfrm>
            <a:prstGeom prst="line">
              <a:avLst/>
            </a:prstGeom>
            <a:noFill/>
            <a:ln w="19050">
              <a:solidFill>
                <a:srgbClr val="0000FF"/>
              </a:solidFill>
              <a:round/>
              <a:headEnd/>
              <a:tailEnd/>
            </a:ln>
          </xdr:spPr>
        </xdr:sp>
        <xdr:sp macro="" textlink="">
          <xdr:nvSpPr>
            <xdr:cNvPr id="12339" name="Line 1150"/>
            <xdr:cNvSpPr>
              <a:spLocks noChangeShapeType="1"/>
            </xdr:cNvSpPr>
          </xdr:nvSpPr>
          <xdr:spPr bwMode="auto">
            <a:xfrm>
              <a:off x="6754446" y="7641737"/>
              <a:ext cx="314325" cy="0"/>
            </a:xfrm>
            <a:prstGeom prst="line">
              <a:avLst/>
            </a:prstGeom>
            <a:noFill/>
            <a:ln w="19050">
              <a:solidFill>
                <a:srgbClr val="0000FF"/>
              </a:solidFill>
              <a:round/>
              <a:headEnd/>
              <a:tailEnd/>
            </a:ln>
          </xdr:spPr>
        </xdr:sp>
        <xdr:sp macro="" textlink="">
          <xdr:nvSpPr>
            <xdr:cNvPr id="12340" name="Line 1151"/>
            <xdr:cNvSpPr>
              <a:spLocks noChangeShapeType="1"/>
            </xdr:cNvSpPr>
          </xdr:nvSpPr>
          <xdr:spPr bwMode="auto">
            <a:xfrm>
              <a:off x="5638067" y="7632212"/>
              <a:ext cx="314325" cy="0"/>
            </a:xfrm>
            <a:prstGeom prst="line">
              <a:avLst/>
            </a:prstGeom>
            <a:noFill/>
            <a:ln w="19050">
              <a:solidFill>
                <a:srgbClr val="0000FF"/>
              </a:solidFill>
              <a:round/>
              <a:headEnd/>
              <a:tailEnd/>
            </a:ln>
          </xdr:spPr>
        </xdr:sp>
        <xdr:sp macro="" textlink="">
          <xdr:nvSpPr>
            <xdr:cNvPr id="12341" name="Line 1152"/>
            <xdr:cNvSpPr>
              <a:spLocks noChangeShapeType="1"/>
            </xdr:cNvSpPr>
          </xdr:nvSpPr>
          <xdr:spPr bwMode="auto">
            <a:xfrm>
              <a:off x="9062427" y="7641737"/>
              <a:ext cx="315302" cy="0"/>
            </a:xfrm>
            <a:prstGeom prst="line">
              <a:avLst/>
            </a:prstGeom>
            <a:noFill/>
            <a:ln w="19050">
              <a:solidFill>
                <a:srgbClr val="0000FF"/>
              </a:solidFill>
              <a:round/>
              <a:headEnd/>
              <a:tailEnd/>
            </a:ln>
          </xdr:spPr>
        </xdr:sp>
        <xdr:sp macro="" textlink="">
          <xdr:nvSpPr>
            <xdr:cNvPr id="12342" name="Line 1153"/>
            <xdr:cNvSpPr>
              <a:spLocks noChangeShapeType="1"/>
            </xdr:cNvSpPr>
          </xdr:nvSpPr>
          <xdr:spPr bwMode="auto">
            <a:xfrm flipH="1" flipV="1">
              <a:off x="5638067" y="7616337"/>
              <a:ext cx="0" cy="92075"/>
            </a:xfrm>
            <a:prstGeom prst="line">
              <a:avLst/>
            </a:prstGeom>
            <a:noFill/>
            <a:ln w="19050">
              <a:solidFill>
                <a:srgbClr val="0000FF"/>
              </a:solidFill>
              <a:round/>
              <a:headEnd/>
              <a:tailEnd/>
            </a:ln>
          </xdr:spPr>
        </xdr:sp>
        <xdr:sp macro="" textlink="">
          <xdr:nvSpPr>
            <xdr:cNvPr id="12343" name="AutoShape 1154"/>
            <xdr:cNvSpPr>
              <a:spLocks noChangeArrowheads="1"/>
            </xdr:cNvSpPr>
          </xdr:nvSpPr>
          <xdr:spPr bwMode="auto">
            <a:xfrm flipH="1">
              <a:off x="7365023" y="6457462"/>
              <a:ext cx="371475" cy="73025"/>
            </a:xfrm>
            <a:prstGeom prst="rightArrow">
              <a:avLst>
                <a:gd name="adj1" fmla="val 50000"/>
                <a:gd name="adj2" fmla="val 121875"/>
              </a:avLst>
            </a:prstGeom>
            <a:solidFill>
              <a:srgbClr val="33CCCC"/>
            </a:solidFill>
            <a:ln w="9525">
              <a:solidFill>
                <a:srgbClr val="000000"/>
              </a:solidFill>
              <a:miter lim="800000"/>
              <a:headEnd/>
              <a:tailEnd/>
            </a:ln>
          </xdr:spPr>
        </xdr:sp>
        <xdr:sp macro="" textlink="">
          <xdr:nvSpPr>
            <xdr:cNvPr id="12344" name="AutoShape 1156"/>
            <xdr:cNvSpPr>
              <a:spLocks noChangeArrowheads="1"/>
            </xdr:cNvSpPr>
          </xdr:nvSpPr>
          <xdr:spPr bwMode="auto">
            <a:xfrm rot="10800000" flipH="1">
              <a:off x="8470900" y="7625862"/>
              <a:ext cx="372452" cy="73025"/>
            </a:xfrm>
            <a:prstGeom prst="rightArrow">
              <a:avLst>
                <a:gd name="adj1" fmla="val 50000"/>
                <a:gd name="adj2" fmla="val 121875"/>
              </a:avLst>
            </a:prstGeom>
            <a:solidFill>
              <a:srgbClr val="33CCCC"/>
            </a:solidFill>
            <a:ln w="9525">
              <a:solidFill>
                <a:srgbClr val="000000"/>
              </a:solidFill>
              <a:miter lim="800000"/>
              <a:headEnd/>
              <a:tailEnd/>
            </a:ln>
          </xdr:spPr>
        </xdr:sp>
        <xdr:sp macro="" textlink="">
          <xdr:nvSpPr>
            <xdr:cNvPr id="12345" name="AutoShape 1158"/>
            <xdr:cNvSpPr>
              <a:spLocks noChangeArrowheads="1"/>
            </xdr:cNvSpPr>
          </xdr:nvSpPr>
          <xdr:spPr bwMode="auto">
            <a:xfrm>
              <a:off x="5638067" y="6530487"/>
              <a:ext cx="3787287" cy="1095375"/>
            </a:xfrm>
            <a:prstGeom prst="roundRect">
              <a:avLst>
                <a:gd name="adj" fmla="val 4917"/>
              </a:avLst>
            </a:prstGeom>
            <a:noFill/>
            <a:ln w="19050">
              <a:solidFill>
                <a:srgbClr val="993366"/>
              </a:solidFill>
              <a:round/>
              <a:headEnd/>
              <a:tailEnd/>
            </a:ln>
          </xdr:spPr>
        </xdr:sp>
        <xdr:grpSp>
          <xdr:nvGrpSpPr>
            <xdr:cNvPr id="12346" name="Group 1159"/>
            <xdr:cNvGrpSpPr>
              <a:grpSpLocks/>
            </xdr:cNvGrpSpPr>
          </xdr:nvGrpSpPr>
          <xdr:grpSpPr bwMode="auto">
            <a:xfrm>
              <a:off x="6629644" y="6698762"/>
              <a:ext cx="572477" cy="263525"/>
              <a:chOff x="692" y="685"/>
              <a:chExt cx="60" cy="28"/>
            </a:xfrm>
          </xdr:grpSpPr>
          <xdr:grpSp>
            <xdr:nvGrpSpPr>
              <xdr:cNvPr id="12720" name="Group 1160"/>
              <xdr:cNvGrpSpPr>
                <a:grpSpLocks/>
              </xdr:cNvGrpSpPr>
            </xdr:nvGrpSpPr>
            <xdr:grpSpPr bwMode="auto">
              <a:xfrm>
                <a:off x="692" y="685"/>
                <a:ext cx="60" cy="28"/>
                <a:chOff x="692" y="685"/>
                <a:chExt cx="60" cy="28"/>
              </a:xfrm>
            </xdr:grpSpPr>
            <xdr:sp macro="" textlink="">
              <xdr:nvSpPr>
                <xdr:cNvPr id="12725" name="Oval 1161"/>
                <xdr:cNvSpPr>
                  <a:spLocks noChangeArrowheads="1"/>
                </xdr:cNvSpPr>
              </xdr:nvSpPr>
              <xdr:spPr bwMode="auto">
                <a:xfrm>
                  <a:off x="692" y="685"/>
                  <a:ext cx="28" cy="28"/>
                </a:xfrm>
                <a:prstGeom prst="ellipse">
                  <a:avLst/>
                </a:prstGeom>
                <a:solidFill>
                  <a:srgbClr val="FF9933"/>
                </a:solidFill>
                <a:ln w="9525">
                  <a:solidFill>
                    <a:srgbClr val="000000"/>
                  </a:solidFill>
                  <a:round/>
                  <a:headEnd/>
                  <a:tailEnd/>
                </a:ln>
              </xdr:spPr>
            </xdr:sp>
            <xdr:sp macro="" textlink="">
              <xdr:nvSpPr>
                <xdr:cNvPr id="12726" name="Oval 1162"/>
                <xdr:cNvSpPr>
                  <a:spLocks noChangeArrowheads="1"/>
                </xdr:cNvSpPr>
              </xdr:nvSpPr>
              <xdr:spPr bwMode="auto">
                <a:xfrm>
                  <a:off x="724" y="685"/>
                  <a:ext cx="28" cy="28"/>
                </a:xfrm>
                <a:prstGeom prst="ellipse">
                  <a:avLst/>
                </a:prstGeom>
                <a:solidFill>
                  <a:srgbClr val="FF9933"/>
                </a:solidFill>
                <a:ln w="9525">
                  <a:solidFill>
                    <a:srgbClr val="000000"/>
                  </a:solidFill>
                  <a:round/>
                  <a:headEnd/>
                  <a:tailEnd/>
                </a:ln>
              </xdr:spPr>
            </xdr:sp>
            <xdr:sp macro="" textlink="">
              <xdr:nvSpPr>
                <xdr:cNvPr id="12727" name="Rectangle 1163"/>
                <xdr:cNvSpPr>
                  <a:spLocks noChangeArrowheads="1"/>
                </xdr:cNvSpPr>
              </xdr:nvSpPr>
              <xdr:spPr bwMode="auto">
                <a:xfrm>
                  <a:off x="706" y="685"/>
                  <a:ext cx="32" cy="28"/>
                </a:xfrm>
                <a:prstGeom prst="rect">
                  <a:avLst/>
                </a:prstGeom>
                <a:solidFill>
                  <a:srgbClr val="FF9933"/>
                </a:solidFill>
                <a:ln w="9525">
                  <a:noFill/>
                  <a:miter lim="800000"/>
                  <a:headEnd/>
                  <a:tailEnd/>
                </a:ln>
              </xdr:spPr>
            </xdr:sp>
            <xdr:sp macro="" textlink="">
              <xdr:nvSpPr>
                <xdr:cNvPr id="12728" name="Line 1164"/>
                <xdr:cNvSpPr>
                  <a:spLocks noChangeShapeType="1"/>
                </xdr:cNvSpPr>
              </xdr:nvSpPr>
              <xdr:spPr bwMode="auto">
                <a:xfrm>
                  <a:off x="706" y="685"/>
                  <a:ext cx="32" cy="0"/>
                </a:xfrm>
                <a:prstGeom prst="line">
                  <a:avLst/>
                </a:prstGeom>
                <a:noFill/>
                <a:ln w="9525">
                  <a:solidFill>
                    <a:srgbClr val="000000"/>
                  </a:solidFill>
                  <a:round/>
                  <a:headEnd/>
                  <a:tailEnd/>
                </a:ln>
              </xdr:spPr>
            </xdr:sp>
            <xdr:sp macro="" textlink="">
              <xdr:nvSpPr>
                <xdr:cNvPr id="12729" name="Line 1165"/>
                <xdr:cNvSpPr>
                  <a:spLocks noChangeShapeType="1"/>
                </xdr:cNvSpPr>
              </xdr:nvSpPr>
              <xdr:spPr bwMode="auto">
                <a:xfrm>
                  <a:off x="705" y="713"/>
                  <a:ext cx="32" cy="0"/>
                </a:xfrm>
                <a:prstGeom prst="line">
                  <a:avLst/>
                </a:prstGeom>
                <a:noFill/>
                <a:ln w="9525">
                  <a:solidFill>
                    <a:srgbClr val="000000"/>
                  </a:solidFill>
                  <a:round/>
                  <a:headEnd/>
                  <a:tailEnd/>
                </a:ln>
              </xdr:spPr>
            </xdr:sp>
          </xdr:grpSp>
          <xdr:sp macro="" textlink="">
            <xdr:nvSpPr>
              <xdr:cNvPr id="12721" name="AutoShape 1166"/>
              <xdr:cNvSpPr>
                <a:spLocks noChangeArrowheads="1"/>
              </xdr:cNvSpPr>
            </xdr:nvSpPr>
            <xdr:spPr bwMode="auto">
              <a:xfrm>
                <a:off x="695" y="690"/>
                <a:ext cx="22" cy="18"/>
              </a:xfrm>
              <a:prstGeom prst="hexagon">
                <a:avLst>
                  <a:gd name="adj" fmla="val 30556"/>
                  <a:gd name="vf" fmla="val 115470"/>
                </a:avLst>
              </a:prstGeom>
              <a:solidFill>
                <a:srgbClr val="FFCC00"/>
              </a:solidFill>
              <a:ln w="9525">
                <a:solidFill>
                  <a:srgbClr val="000000"/>
                </a:solidFill>
                <a:miter lim="800000"/>
                <a:headEnd/>
                <a:tailEnd/>
              </a:ln>
            </xdr:spPr>
          </xdr:sp>
          <xdr:sp macro="" textlink="">
            <xdr:nvSpPr>
              <xdr:cNvPr id="12722" name="Oval 1167"/>
              <xdr:cNvSpPr>
                <a:spLocks noChangeArrowheads="1"/>
              </xdr:cNvSpPr>
            </xdr:nvSpPr>
            <xdr:spPr bwMode="auto">
              <a:xfrm>
                <a:off x="700" y="693"/>
                <a:ext cx="12" cy="12"/>
              </a:xfrm>
              <a:prstGeom prst="ellipse">
                <a:avLst/>
              </a:prstGeom>
              <a:solidFill>
                <a:srgbClr val="FF9933"/>
              </a:solidFill>
              <a:ln w="9525">
                <a:solidFill>
                  <a:srgbClr val="000000"/>
                </a:solidFill>
                <a:round/>
                <a:headEnd/>
                <a:tailEnd/>
              </a:ln>
            </xdr:spPr>
          </xdr:sp>
          <xdr:sp macro="" textlink="">
            <xdr:nvSpPr>
              <xdr:cNvPr id="12723" name="AutoShape 1168"/>
              <xdr:cNvSpPr>
                <a:spLocks noChangeArrowheads="1"/>
              </xdr:cNvSpPr>
            </xdr:nvSpPr>
            <xdr:spPr bwMode="auto">
              <a:xfrm>
                <a:off x="727" y="690"/>
                <a:ext cx="22" cy="18"/>
              </a:xfrm>
              <a:prstGeom prst="hexagon">
                <a:avLst>
                  <a:gd name="adj" fmla="val 30556"/>
                  <a:gd name="vf" fmla="val 115470"/>
                </a:avLst>
              </a:prstGeom>
              <a:solidFill>
                <a:srgbClr val="FFCC00"/>
              </a:solidFill>
              <a:ln w="9525">
                <a:solidFill>
                  <a:srgbClr val="000000"/>
                </a:solidFill>
                <a:miter lim="800000"/>
                <a:headEnd/>
                <a:tailEnd/>
              </a:ln>
            </xdr:spPr>
          </xdr:sp>
          <xdr:sp macro="" textlink="">
            <xdr:nvSpPr>
              <xdr:cNvPr id="12724" name="Oval 1169"/>
              <xdr:cNvSpPr>
                <a:spLocks noChangeArrowheads="1"/>
              </xdr:cNvSpPr>
            </xdr:nvSpPr>
            <xdr:spPr bwMode="auto">
              <a:xfrm>
                <a:off x="732" y="693"/>
                <a:ext cx="12" cy="12"/>
              </a:xfrm>
              <a:prstGeom prst="ellipse">
                <a:avLst/>
              </a:prstGeom>
              <a:solidFill>
                <a:srgbClr val="FF9933"/>
              </a:solidFill>
              <a:ln w="9525">
                <a:solidFill>
                  <a:srgbClr val="000000"/>
                </a:solidFill>
                <a:round/>
                <a:headEnd/>
                <a:tailEnd/>
              </a:ln>
            </xdr:spPr>
          </xdr:sp>
        </xdr:grpSp>
        <xdr:grpSp>
          <xdr:nvGrpSpPr>
            <xdr:cNvPr id="12347" name="Group 1170"/>
            <xdr:cNvGrpSpPr>
              <a:grpSpLocks/>
            </xdr:cNvGrpSpPr>
          </xdr:nvGrpSpPr>
          <xdr:grpSpPr bwMode="auto">
            <a:xfrm>
              <a:off x="7860323" y="6698762"/>
              <a:ext cx="572477" cy="263525"/>
              <a:chOff x="692" y="685"/>
              <a:chExt cx="60" cy="28"/>
            </a:xfrm>
          </xdr:grpSpPr>
          <xdr:grpSp>
            <xdr:nvGrpSpPr>
              <xdr:cNvPr id="12710" name="Group 1171"/>
              <xdr:cNvGrpSpPr>
                <a:grpSpLocks/>
              </xdr:cNvGrpSpPr>
            </xdr:nvGrpSpPr>
            <xdr:grpSpPr bwMode="auto">
              <a:xfrm>
                <a:off x="692" y="685"/>
                <a:ext cx="60" cy="28"/>
                <a:chOff x="692" y="685"/>
                <a:chExt cx="60" cy="28"/>
              </a:xfrm>
            </xdr:grpSpPr>
            <xdr:sp macro="" textlink="">
              <xdr:nvSpPr>
                <xdr:cNvPr id="12715" name="Oval 1172"/>
                <xdr:cNvSpPr>
                  <a:spLocks noChangeArrowheads="1"/>
                </xdr:cNvSpPr>
              </xdr:nvSpPr>
              <xdr:spPr bwMode="auto">
                <a:xfrm>
                  <a:off x="692" y="685"/>
                  <a:ext cx="28" cy="28"/>
                </a:xfrm>
                <a:prstGeom prst="ellipse">
                  <a:avLst/>
                </a:prstGeom>
                <a:solidFill>
                  <a:srgbClr val="FF9933"/>
                </a:solidFill>
                <a:ln w="9525">
                  <a:solidFill>
                    <a:srgbClr val="000000"/>
                  </a:solidFill>
                  <a:round/>
                  <a:headEnd/>
                  <a:tailEnd/>
                </a:ln>
              </xdr:spPr>
            </xdr:sp>
            <xdr:sp macro="" textlink="">
              <xdr:nvSpPr>
                <xdr:cNvPr id="12716" name="Oval 1173"/>
                <xdr:cNvSpPr>
                  <a:spLocks noChangeArrowheads="1"/>
                </xdr:cNvSpPr>
              </xdr:nvSpPr>
              <xdr:spPr bwMode="auto">
                <a:xfrm>
                  <a:off x="724" y="685"/>
                  <a:ext cx="28" cy="28"/>
                </a:xfrm>
                <a:prstGeom prst="ellipse">
                  <a:avLst/>
                </a:prstGeom>
                <a:solidFill>
                  <a:srgbClr val="FF9933"/>
                </a:solidFill>
                <a:ln w="9525">
                  <a:solidFill>
                    <a:srgbClr val="000000"/>
                  </a:solidFill>
                  <a:round/>
                  <a:headEnd/>
                  <a:tailEnd/>
                </a:ln>
              </xdr:spPr>
            </xdr:sp>
            <xdr:sp macro="" textlink="">
              <xdr:nvSpPr>
                <xdr:cNvPr id="12717" name="Rectangle 1174"/>
                <xdr:cNvSpPr>
                  <a:spLocks noChangeArrowheads="1"/>
                </xdr:cNvSpPr>
              </xdr:nvSpPr>
              <xdr:spPr bwMode="auto">
                <a:xfrm>
                  <a:off x="706" y="685"/>
                  <a:ext cx="32" cy="28"/>
                </a:xfrm>
                <a:prstGeom prst="rect">
                  <a:avLst/>
                </a:prstGeom>
                <a:solidFill>
                  <a:srgbClr val="FF9933"/>
                </a:solidFill>
                <a:ln w="9525">
                  <a:noFill/>
                  <a:miter lim="800000"/>
                  <a:headEnd/>
                  <a:tailEnd/>
                </a:ln>
              </xdr:spPr>
            </xdr:sp>
            <xdr:sp macro="" textlink="">
              <xdr:nvSpPr>
                <xdr:cNvPr id="12718" name="Line 1175"/>
                <xdr:cNvSpPr>
                  <a:spLocks noChangeShapeType="1"/>
                </xdr:cNvSpPr>
              </xdr:nvSpPr>
              <xdr:spPr bwMode="auto">
                <a:xfrm>
                  <a:off x="706" y="685"/>
                  <a:ext cx="32" cy="0"/>
                </a:xfrm>
                <a:prstGeom prst="line">
                  <a:avLst/>
                </a:prstGeom>
                <a:noFill/>
                <a:ln w="9525">
                  <a:solidFill>
                    <a:srgbClr val="000000"/>
                  </a:solidFill>
                  <a:round/>
                  <a:headEnd/>
                  <a:tailEnd/>
                </a:ln>
              </xdr:spPr>
            </xdr:sp>
            <xdr:sp macro="" textlink="">
              <xdr:nvSpPr>
                <xdr:cNvPr id="12719" name="Line 1176"/>
                <xdr:cNvSpPr>
                  <a:spLocks noChangeShapeType="1"/>
                </xdr:cNvSpPr>
              </xdr:nvSpPr>
              <xdr:spPr bwMode="auto">
                <a:xfrm>
                  <a:off x="705" y="713"/>
                  <a:ext cx="32" cy="0"/>
                </a:xfrm>
                <a:prstGeom prst="line">
                  <a:avLst/>
                </a:prstGeom>
                <a:noFill/>
                <a:ln w="9525">
                  <a:solidFill>
                    <a:srgbClr val="000000"/>
                  </a:solidFill>
                  <a:round/>
                  <a:headEnd/>
                  <a:tailEnd/>
                </a:ln>
              </xdr:spPr>
            </xdr:sp>
          </xdr:grpSp>
          <xdr:sp macro="" textlink="">
            <xdr:nvSpPr>
              <xdr:cNvPr id="12711" name="AutoShape 1177"/>
              <xdr:cNvSpPr>
                <a:spLocks noChangeArrowheads="1"/>
              </xdr:cNvSpPr>
            </xdr:nvSpPr>
            <xdr:spPr bwMode="auto">
              <a:xfrm>
                <a:off x="695" y="690"/>
                <a:ext cx="22" cy="18"/>
              </a:xfrm>
              <a:prstGeom prst="hexagon">
                <a:avLst>
                  <a:gd name="adj" fmla="val 30556"/>
                  <a:gd name="vf" fmla="val 115470"/>
                </a:avLst>
              </a:prstGeom>
              <a:solidFill>
                <a:srgbClr val="FFCC00"/>
              </a:solidFill>
              <a:ln w="9525">
                <a:solidFill>
                  <a:srgbClr val="000000"/>
                </a:solidFill>
                <a:miter lim="800000"/>
                <a:headEnd/>
                <a:tailEnd/>
              </a:ln>
            </xdr:spPr>
          </xdr:sp>
          <xdr:sp macro="" textlink="">
            <xdr:nvSpPr>
              <xdr:cNvPr id="12712" name="Oval 1178"/>
              <xdr:cNvSpPr>
                <a:spLocks noChangeArrowheads="1"/>
              </xdr:cNvSpPr>
            </xdr:nvSpPr>
            <xdr:spPr bwMode="auto">
              <a:xfrm>
                <a:off x="700" y="693"/>
                <a:ext cx="12" cy="12"/>
              </a:xfrm>
              <a:prstGeom prst="ellipse">
                <a:avLst/>
              </a:prstGeom>
              <a:solidFill>
                <a:srgbClr val="FF9933"/>
              </a:solidFill>
              <a:ln w="9525">
                <a:solidFill>
                  <a:srgbClr val="000000"/>
                </a:solidFill>
                <a:round/>
                <a:headEnd/>
                <a:tailEnd/>
              </a:ln>
            </xdr:spPr>
          </xdr:sp>
          <xdr:sp macro="" textlink="">
            <xdr:nvSpPr>
              <xdr:cNvPr id="12713" name="AutoShape 1179"/>
              <xdr:cNvSpPr>
                <a:spLocks noChangeArrowheads="1"/>
              </xdr:cNvSpPr>
            </xdr:nvSpPr>
            <xdr:spPr bwMode="auto">
              <a:xfrm>
                <a:off x="727" y="690"/>
                <a:ext cx="22" cy="18"/>
              </a:xfrm>
              <a:prstGeom prst="hexagon">
                <a:avLst>
                  <a:gd name="adj" fmla="val 30556"/>
                  <a:gd name="vf" fmla="val 115470"/>
                </a:avLst>
              </a:prstGeom>
              <a:solidFill>
                <a:srgbClr val="FFCC00"/>
              </a:solidFill>
              <a:ln w="9525">
                <a:solidFill>
                  <a:srgbClr val="000000"/>
                </a:solidFill>
                <a:miter lim="800000"/>
                <a:headEnd/>
                <a:tailEnd/>
              </a:ln>
            </xdr:spPr>
          </xdr:sp>
          <xdr:sp macro="" textlink="">
            <xdr:nvSpPr>
              <xdr:cNvPr id="12714" name="Oval 1180"/>
              <xdr:cNvSpPr>
                <a:spLocks noChangeArrowheads="1"/>
              </xdr:cNvSpPr>
            </xdr:nvSpPr>
            <xdr:spPr bwMode="auto">
              <a:xfrm>
                <a:off x="732" y="693"/>
                <a:ext cx="12" cy="12"/>
              </a:xfrm>
              <a:prstGeom prst="ellipse">
                <a:avLst/>
              </a:prstGeom>
              <a:solidFill>
                <a:srgbClr val="FF9933"/>
              </a:solidFill>
              <a:ln w="9525">
                <a:solidFill>
                  <a:srgbClr val="000000"/>
                </a:solidFill>
                <a:round/>
                <a:headEnd/>
                <a:tailEnd/>
              </a:ln>
            </xdr:spPr>
          </xdr:sp>
        </xdr:grpSp>
        <xdr:sp macro="" textlink="">
          <xdr:nvSpPr>
            <xdr:cNvPr id="12348" name="Line 1181"/>
            <xdr:cNvSpPr>
              <a:spLocks noChangeShapeType="1"/>
            </xdr:cNvSpPr>
          </xdr:nvSpPr>
          <xdr:spPr bwMode="auto">
            <a:xfrm>
              <a:off x="6906846" y="7641737"/>
              <a:ext cx="0" cy="76200"/>
            </a:xfrm>
            <a:prstGeom prst="line">
              <a:avLst/>
            </a:prstGeom>
            <a:noFill/>
            <a:ln w="19050">
              <a:solidFill>
                <a:srgbClr val="0000FF"/>
              </a:solidFill>
              <a:prstDash val="sysDot"/>
              <a:round/>
              <a:headEnd/>
              <a:tailEnd/>
            </a:ln>
          </xdr:spPr>
        </xdr:sp>
        <xdr:sp macro="" textlink="">
          <xdr:nvSpPr>
            <xdr:cNvPr id="12349" name="Line 1182"/>
            <xdr:cNvSpPr>
              <a:spLocks noChangeShapeType="1"/>
            </xdr:cNvSpPr>
          </xdr:nvSpPr>
          <xdr:spPr bwMode="auto">
            <a:xfrm>
              <a:off x="8137525" y="7641737"/>
              <a:ext cx="0" cy="76200"/>
            </a:xfrm>
            <a:prstGeom prst="line">
              <a:avLst/>
            </a:prstGeom>
            <a:noFill/>
            <a:ln w="19050">
              <a:solidFill>
                <a:srgbClr val="0000FF"/>
              </a:solidFill>
              <a:prstDash val="sysDot"/>
              <a:round/>
              <a:headEnd/>
              <a:tailEnd/>
            </a:ln>
          </xdr:spPr>
        </xdr:sp>
        <xdr:sp macro="" textlink="">
          <xdr:nvSpPr>
            <xdr:cNvPr id="12350" name="Line 1183"/>
            <xdr:cNvSpPr>
              <a:spLocks noChangeShapeType="1"/>
            </xdr:cNvSpPr>
          </xdr:nvSpPr>
          <xdr:spPr bwMode="auto">
            <a:xfrm>
              <a:off x="9215804" y="7641737"/>
              <a:ext cx="0" cy="76200"/>
            </a:xfrm>
            <a:prstGeom prst="line">
              <a:avLst/>
            </a:prstGeom>
            <a:noFill/>
            <a:ln w="19050">
              <a:solidFill>
                <a:srgbClr val="0000FF"/>
              </a:solidFill>
              <a:prstDash val="sysDot"/>
              <a:round/>
              <a:headEnd/>
              <a:tailEnd/>
            </a:ln>
          </xdr:spPr>
        </xdr:sp>
        <xdr:grpSp>
          <xdr:nvGrpSpPr>
            <xdr:cNvPr id="12351" name="Group 1184"/>
            <xdr:cNvGrpSpPr>
              <a:grpSpLocks/>
            </xdr:cNvGrpSpPr>
          </xdr:nvGrpSpPr>
          <xdr:grpSpPr bwMode="auto">
            <a:xfrm>
              <a:off x="2393706" y="6698762"/>
              <a:ext cx="115277" cy="263525"/>
              <a:chOff x="248" y="685"/>
              <a:chExt cx="12" cy="28"/>
            </a:xfrm>
          </xdr:grpSpPr>
          <xdr:sp macro="" textlink="">
            <xdr:nvSpPr>
              <xdr:cNvPr id="12706" name="Rectangle 1185"/>
              <xdr:cNvSpPr>
                <a:spLocks noChangeArrowheads="1"/>
              </xdr:cNvSpPr>
            </xdr:nvSpPr>
            <xdr:spPr bwMode="auto">
              <a:xfrm>
                <a:off x="248" y="693"/>
                <a:ext cx="12" cy="11"/>
              </a:xfrm>
              <a:prstGeom prst="rect">
                <a:avLst/>
              </a:prstGeom>
              <a:solidFill>
                <a:srgbClr val="FF9933"/>
              </a:solidFill>
              <a:ln w="9525">
                <a:solidFill>
                  <a:srgbClr val="000000"/>
                </a:solidFill>
                <a:miter lim="800000"/>
                <a:headEnd/>
                <a:tailEnd/>
              </a:ln>
            </xdr:spPr>
          </xdr:sp>
          <xdr:sp macro="" textlink="">
            <xdr:nvSpPr>
              <xdr:cNvPr id="12707" name="Rectangle 1186"/>
              <xdr:cNvSpPr>
                <a:spLocks noChangeArrowheads="1"/>
              </xdr:cNvSpPr>
            </xdr:nvSpPr>
            <xdr:spPr bwMode="auto">
              <a:xfrm>
                <a:off x="254" y="690"/>
                <a:ext cx="4" cy="18"/>
              </a:xfrm>
              <a:prstGeom prst="rect">
                <a:avLst/>
              </a:prstGeom>
              <a:solidFill>
                <a:srgbClr val="FFCC00"/>
              </a:solidFill>
              <a:ln w="9525">
                <a:solidFill>
                  <a:srgbClr val="000000"/>
                </a:solidFill>
                <a:miter lim="800000"/>
                <a:headEnd/>
                <a:tailEnd/>
              </a:ln>
            </xdr:spPr>
          </xdr:sp>
          <xdr:sp macro="" textlink="">
            <xdr:nvSpPr>
              <xdr:cNvPr id="12708" name="Rectangle 1187"/>
              <xdr:cNvSpPr>
                <a:spLocks noChangeArrowheads="1"/>
              </xdr:cNvSpPr>
            </xdr:nvSpPr>
            <xdr:spPr bwMode="auto">
              <a:xfrm>
                <a:off x="251" y="685"/>
                <a:ext cx="3" cy="28"/>
              </a:xfrm>
              <a:prstGeom prst="rect">
                <a:avLst/>
              </a:prstGeom>
              <a:solidFill>
                <a:srgbClr val="FF9933"/>
              </a:solidFill>
              <a:ln w="9525">
                <a:solidFill>
                  <a:srgbClr val="000000"/>
                </a:solidFill>
                <a:miter lim="800000"/>
                <a:headEnd/>
                <a:tailEnd/>
              </a:ln>
            </xdr:spPr>
          </xdr:sp>
          <xdr:sp macro="" textlink="">
            <xdr:nvSpPr>
              <xdr:cNvPr id="12709" name="Rectangle 1188"/>
              <xdr:cNvSpPr>
                <a:spLocks noChangeArrowheads="1"/>
              </xdr:cNvSpPr>
            </xdr:nvSpPr>
            <xdr:spPr bwMode="auto">
              <a:xfrm>
                <a:off x="248" y="687"/>
                <a:ext cx="3" cy="24"/>
              </a:xfrm>
              <a:prstGeom prst="rect">
                <a:avLst/>
              </a:prstGeom>
              <a:solidFill>
                <a:srgbClr val="FF9933"/>
              </a:solidFill>
              <a:ln w="9525">
                <a:solidFill>
                  <a:srgbClr val="000000"/>
                </a:solidFill>
                <a:miter lim="800000"/>
                <a:headEnd/>
                <a:tailEnd/>
              </a:ln>
            </xdr:spPr>
          </xdr:sp>
        </xdr:grpSp>
        <xdr:grpSp>
          <xdr:nvGrpSpPr>
            <xdr:cNvPr id="12352" name="Group 1189"/>
            <xdr:cNvGrpSpPr>
              <a:grpSpLocks/>
            </xdr:cNvGrpSpPr>
          </xdr:nvGrpSpPr>
          <xdr:grpSpPr bwMode="auto">
            <a:xfrm rot="10800000">
              <a:off x="2442308" y="7155962"/>
              <a:ext cx="114300" cy="263525"/>
              <a:chOff x="248" y="685"/>
              <a:chExt cx="12" cy="28"/>
            </a:xfrm>
          </xdr:grpSpPr>
          <xdr:sp macro="" textlink="">
            <xdr:nvSpPr>
              <xdr:cNvPr id="12702" name="Rectangle 1190"/>
              <xdr:cNvSpPr>
                <a:spLocks noChangeArrowheads="1"/>
              </xdr:cNvSpPr>
            </xdr:nvSpPr>
            <xdr:spPr bwMode="auto">
              <a:xfrm>
                <a:off x="248" y="693"/>
                <a:ext cx="12" cy="11"/>
              </a:xfrm>
              <a:prstGeom prst="rect">
                <a:avLst/>
              </a:prstGeom>
              <a:solidFill>
                <a:srgbClr val="FF9933"/>
              </a:solidFill>
              <a:ln w="9525">
                <a:solidFill>
                  <a:srgbClr val="000000"/>
                </a:solidFill>
                <a:miter lim="800000"/>
                <a:headEnd/>
                <a:tailEnd/>
              </a:ln>
            </xdr:spPr>
          </xdr:sp>
          <xdr:sp macro="" textlink="">
            <xdr:nvSpPr>
              <xdr:cNvPr id="12703" name="Rectangle 1191"/>
              <xdr:cNvSpPr>
                <a:spLocks noChangeArrowheads="1"/>
              </xdr:cNvSpPr>
            </xdr:nvSpPr>
            <xdr:spPr bwMode="auto">
              <a:xfrm>
                <a:off x="254" y="690"/>
                <a:ext cx="4" cy="18"/>
              </a:xfrm>
              <a:prstGeom prst="rect">
                <a:avLst/>
              </a:prstGeom>
              <a:solidFill>
                <a:srgbClr val="FFCC00"/>
              </a:solidFill>
              <a:ln w="9525">
                <a:solidFill>
                  <a:srgbClr val="000000"/>
                </a:solidFill>
                <a:miter lim="800000"/>
                <a:headEnd/>
                <a:tailEnd/>
              </a:ln>
            </xdr:spPr>
          </xdr:sp>
          <xdr:sp macro="" textlink="">
            <xdr:nvSpPr>
              <xdr:cNvPr id="12704" name="Rectangle 1192"/>
              <xdr:cNvSpPr>
                <a:spLocks noChangeArrowheads="1"/>
              </xdr:cNvSpPr>
            </xdr:nvSpPr>
            <xdr:spPr bwMode="auto">
              <a:xfrm>
                <a:off x="251" y="685"/>
                <a:ext cx="3" cy="28"/>
              </a:xfrm>
              <a:prstGeom prst="rect">
                <a:avLst/>
              </a:prstGeom>
              <a:solidFill>
                <a:srgbClr val="FF9933"/>
              </a:solidFill>
              <a:ln w="9525">
                <a:solidFill>
                  <a:srgbClr val="000000"/>
                </a:solidFill>
                <a:miter lim="800000"/>
                <a:headEnd/>
                <a:tailEnd/>
              </a:ln>
            </xdr:spPr>
          </xdr:sp>
          <xdr:sp macro="" textlink="">
            <xdr:nvSpPr>
              <xdr:cNvPr id="12705" name="Rectangle 1193"/>
              <xdr:cNvSpPr>
                <a:spLocks noChangeArrowheads="1"/>
              </xdr:cNvSpPr>
            </xdr:nvSpPr>
            <xdr:spPr bwMode="auto">
              <a:xfrm>
                <a:off x="248" y="687"/>
                <a:ext cx="3" cy="24"/>
              </a:xfrm>
              <a:prstGeom prst="rect">
                <a:avLst/>
              </a:prstGeom>
              <a:solidFill>
                <a:srgbClr val="FF9933"/>
              </a:solidFill>
              <a:ln w="9525">
                <a:solidFill>
                  <a:srgbClr val="000000"/>
                </a:solidFill>
                <a:miter lim="800000"/>
                <a:headEnd/>
                <a:tailEnd/>
              </a:ln>
            </xdr:spPr>
          </xdr:sp>
        </xdr:grpSp>
        <xdr:grpSp>
          <xdr:nvGrpSpPr>
            <xdr:cNvPr id="12353" name="Group 1194"/>
            <xdr:cNvGrpSpPr>
              <a:grpSpLocks/>
            </xdr:cNvGrpSpPr>
          </xdr:nvGrpSpPr>
          <xdr:grpSpPr bwMode="auto">
            <a:xfrm>
              <a:off x="6629644" y="7155962"/>
              <a:ext cx="572477" cy="263525"/>
              <a:chOff x="692" y="734"/>
              <a:chExt cx="60" cy="28"/>
            </a:xfrm>
          </xdr:grpSpPr>
          <xdr:sp macro="" textlink="">
            <xdr:nvSpPr>
              <xdr:cNvPr id="12693" name="Oval 1195"/>
              <xdr:cNvSpPr>
                <a:spLocks noChangeArrowheads="1"/>
              </xdr:cNvSpPr>
            </xdr:nvSpPr>
            <xdr:spPr bwMode="auto">
              <a:xfrm>
                <a:off x="692" y="734"/>
                <a:ext cx="28" cy="28"/>
              </a:xfrm>
              <a:prstGeom prst="ellipse">
                <a:avLst/>
              </a:prstGeom>
              <a:solidFill>
                <a:srgbClr val="C0C0C0"/>
              </a:solidFill>
              <a:ln w="9525">
                <a:solidFill>
                  <a:srgbClr val="000000"/>
                </a:solidFill>
                <a:prstDash val="sysDot"/>
                <a:round/>
                <a:headEnd/>
                <a:tailEnd/>
              </a:ln>
            </xdr:spPr>
          </xdr:sp>
          <xdr:sp macro="" textlink="">
            <xdr:nvSpPr>
              <xdr:cNvPr id="12694" name="Oval 1196"/>
              <xdr:cNvSpPr>
                <a:spLocks noChangeArrowheads="1"/>
              </xdr:cNvSpPr>
            </xdr:nvSpPr>
            <xdr:spPr bwMode="auto">
              <a:xfrm>
                <a:off x="724" y="734"/>
                <a:ext cx="28" cy="28"/>
              </a:xfrm>
              <a:prstGeom prst="ellipse">
                <a:avLst/>
              </a:prstGeom>
              <a:solidFill>
                <a:srgbClr val="C0C0C0"/>
              </a:solidFill>
              <a:ln w="9525">
                <a:solidFill>
                  <a:srgbClr val="000000"/>
                </a:solidFill>
                <a:prstDash val="sysDot"/>
                <a:round/>
                <a:headEnd/>
                <a:tailEnd/>
              </a:ln>
            </xdr:spPr>
          </xdr:sp>
          <xdr:sp macro="" textlink="">
            <xdr:nvSpPr>
              <xdr:cNvPr id="12695" name="Rectangle 1197"/>
              <xdr:cNvSpPr>
                <a:spLocks noChangeArrowheads="1"/>
              </xdr:cNvSpPr>
            </xdr:nvSpPr>
            <xdr:spPr bwMode="auto">
              <a:xfrm>
                <a:off x="706" y="734"/>
                <a:ext cx="32" cy="28"/>
              </a:xfrm>
              <a:prstGeom prst="rect">
                <a:avLst/>
              </a:prstGeom>
              <a:solidFill>
                <a:srgbClr val="C0C0C0"/>
              </a:solidFill>
              <a:ln w="9525">
                <a:noFill/>
                <a:miter lim="800000"/>
                <a:headEnd/>
                <a:tailEnd/>
              </a:ln>
            </xdr:spPr>
          </xdr:sp>
          <xdr:sp macro="" textlink="">
            <xdr:nvSpPr>
              <xdr:cNvPr id="12696" name="Line 1198"/>
              <xdr:cNvSpPr>
                <a:spLocks noChangeShapeType="1"/>
              </xdr:cNvSpPr>
            </xdr:nvSpPr>
            <xdr:spPr bwMode="auto">
              <a:xfrm>
                <a:off x="706" y="734"/>
                <a:ext cx="32" cy="0"/>
              </a:xfrm>
              <a:prstGeom prst="line">
                <a:avLst/>
              </a:prstGeom>
              <a:noFill/>
              <a:ln w="9525">
                <a:solidFill>
                  <a:srgbClr val="000000"/>
                </a:solidFill>
                <a:prstDash val="sysDot"/>
                <a:round/>
                <a:headEnd/>
                <a:tailEnd/>
              </a:ln>
            </xdr:spPr>
          </xdr:sp>
          <xdr:sp macro="" textlink="">
            <xdr:nvSpPr>
              <xdr:cNvPr id="12697" name="Line 1199"/>
              <xdr:cNvSpPr>
                <a:spLocks noChangeShapeType="1"/>
              </xdr:cNvSpPr>
            </xdr:nvSpPr>
            <xdr:spPr bwMode="auto">
              <a:xfrm>
                <a:off x="705" y="762"/>
                <a:ext cx="32" cy="0"/>
              </a:xfrm>
              <a:prstGeom prst="line">
                <a:avLst/>
              </a:prstGeom>
              <a:noFill/>
              <a:ln w="9525">
                <a:solidFill>
                  <a:srgbClr val="000000"/>
                </a:solidFill>
                <a:prstDash val="sysDot"/>
                <a:round/>
                <a:headEnd/>
                <a:tailEnd/>
              </a:ln>
            </xdr:spPr>
          </xdr:sp>
          <xdr:sp macro="" textlink="">
            <xdr:nvSpPr>
              <xdr:cNvPr id="12698" name="AutoShape 1200"/>
              <xdr:cNvSpPr>
                <a:spLocks noChangeArrowheads="1"/>
              </xdr:cNvSpPr>
            </xdr:nvSpPr>
            <xdr:spPr bwMode="auto">
              <a:xfrm>
                <a:off x="695" y="739"/>
                <a:ext cx="22" cy="18"/>
              </a:xfrm>
              <a:prstGeom prst="hexagon">
                <a:avLst>
                  <a:gd name="adj" fmla="val 30556"/>
                  <a:gd name="vf" fmla="val 115470"/>
                </a:avLst>
              </a:prstGeom>
              <a:solidFill>
                <a:srgbClr val="C0C0C0"/>
              </a:solidFill>
              <a:ln w="9525">
                <a:solidFill>
                  <a:srgbClr val="000000"/>
                </a:solidFill>
                <a:prstDash val="sysDot"/>
                <a:miter lim="800000"/>
                <a:headEnd/>
                <a:tailEnd/>
              </a:ln>
            </xdr:spPr>
          </xdr:sp>
          <xdr:sp macro="" textlink="">
            <xdr:nvSpPr>
              <xdr:cNvPr id="12699" name="Oval 1201"/>
              <xdr:cNvSpPr>
                <a:spLocks noChangeArrowheads="1"/>
              </xdr:cNvSpPr>
            </xdr:nvSpPr>
            <xdr:spPr bwMode="auto">
              <a:xfrm>
                <a:off x="700" y="742"/>
                <a:ext cx="12" cy="12"/>
              </a:xfrm>
              <a:prstGeom prst="ellipse">
                <a:avLst/>
              </a:prstGeom>
              <a:solidFill>
                <a:srgbClr val="C0C0C0"/>
              </a:solidFill>
              <a:ln w="9525">
                <a:solidFill>
                  <a:srgbClr val="000000"/>
                </a:solidFill>
                <a:prstDash val="sysDot"/>
                <a:round/>
                <a:headEnd/>
                <a:tailEnd/>
              </a:ln>
            </xdr:spPr>
          </xdr:sp>
          <xdr:sp macro="" textlink="">
            <xdr:nvSpPr>
              <xdr:cNvPr id="12700" name="AutoShape 1202"/>
              <xdr:cNvSpPr>
                <a:spLocks noChangeArrowheads="1"/>
              </xdr:cNvSpPr>
            </xdr:nvSpPr>
            <xdr:spPr bwMode="auto">
              <a:xfrm>
                <a:off x="727" y="739"/>
                <a:ext cx="22" cy="18"/>
              </a:xfrm>
              <a:prstGeom prst="hexagon">
                <a:avLst>
                  <a:gd name="adj" fmla="val 30556"/>
                  <a:gd name="vf" fmla="val 115470"/>
                </a:avLst>
              </a:prstGeom>
              <a:solidFill>
                <a:srgbClr val="C0C0C0"/>
              </a:solidFill>
              <a:ln w="9525">
                <a:solidFill>
                  <a:srgbClr val="000000"/>
                </a:solidFill>
                <a:prstDash val="sysDot"/>
                <a:miter lim="800000"/>
                <a:headEnd/>
                <a:tailEnd/>
              </a:ln>
            </xdr:spPr>
          </xdr:sp>
          <xdr:sp macro="" textlink="">
            <xdr:nvSpPr>
              <xdr:cNvPr id="12701" name="Oval 1203"/>
              <xdr:cNvSpPr>
                <a:spLocks noChangeArrowheads="1"/>
              </xdr:cNvSpPr>
            </xdr:nvSpPr>
            <xdr:spPr bwMode="auto">
              <a:xfrm>
                <a:off x="732" y="742"/>
                <a:ext cx="12" cy="12"/>
              </a:xfrm>
              <a:prstGeom prst="ellipse">
                <a:avLst/>
              </a:prstGeom>
              <a:solidFill>
                <a:srgbClr val="C0C0C0"/>
              </a:solidFill>
              <a:ln w="9525">
                <a:solidFill>
                  <a:srgbClr val="000000"/>
                </a:solidFill>
                <a:prstDash val="sysDot"/>
                <a:round/>
                <a:headEnd/>
                <a:tailEnd/>
              </a:ln>
            </xdr:spPr>
          </xdr:sp>
        </xdr:grpSp>
        <xdr:sp macro="" textlink="">
          <xdr:nvSpPr>
            <xdr:cNvPr id="12354" name="Oval 1204"/>
            <xdr:cNvSpPr>
              <a:spLocks noChangeArrowheads="1"/>
            </xdr:cNvSpPr>
          </xdr:nvSpPr>
          <xdr:spPr bwMode="auto">
            <a:xfrm>
              <a:off x="7860323" y="7155962"/>
              <a:ext cx="267677" cy="263525"/>
            </a:xfrm>
            <a:prstGeom prst="ellipse">
              <a:avLst/>
            </a:prstGeom>
            <a:solidFill>
              <a:srgbClr val="C0C0C0"/>
            </a:solidFill>
            <a:ln w="9525">
              <a:solidFill>
                <a:srgbClr val="000000"/>
              </a:solidFill>
              <a:prstDash val="sysDot"/>
              <a:round/>
              <a:headEnd/>
              <a:tailEnd/>
            </a:ln>
          </xdr:spPr>
        </xdr:sp>
        <xdr:sp macro="" textlink="">
          <xdr:nvSpPr>
            <xdr:cNvPr id="12355" name="Oval 1205"/>
            <xdr:cNvSpPr>
              <a:spLocks noChangeArrowheads="1"/>
            </xdr:cNvSpPr>
          </xdr:nvSpPr>
          <xdr:spPr bwMode="auto">
            <a:xfrm>
              <a:off x="8166100" y="7155962"/>
              <a:ext cx="266700" cy="263525"/>
            </a:xfrm>
            <a:prstGeom prst="ellipse">
              <a:avLst/>
            </a:prstGeom>
            <a:solidFill>
              <a:srgbClr val="C0C0C0"/>
            </a:solidFill>
            <a:ln w="9525">
              <a:solidFill>
                <a:srgbClr val="000000"/>
              </a:solidFill>
              <a:prstDash val="sysDot"/>
              <a:round/>
              <a:headEnd/>
              <a:tailEnd/>
            </a:ln>
          </xdr:spPr>
        </xdr:sp>
        <xdr:sp macro="" textlink="">
          <xdr:nvSpPr>
            <xdr:cNvPr id="12356" name="Rectangle 1206"/>
            <xdr:cNvSpPr>
              <a:spLocks noChangeArrowheads="1"/>
            </xdr:cNvSpPr>
          </xdr:nvSpPr>
          <xdr:spPr bwMode="auto">
            <a:xfrm>
              <a:off x="7994650" y="7155962"/>
              <a:ext cx="304800" cy="263525"/>
            </a:xfrm>
            <a:prstGeom prst="rect">
              <a:avLst/>
            </a:prstGeom>
            <a:solidFill>
              <a:srgbClr val="C0C0C0"/>
            </a:solidFill>
            <a:ln w="9525">
              <a:noFill/>
              <a:miter lim="800000"/>
              <a:headEnd/>
              <a:tailEnd/>
            </a:ln>
          </xdr:spPr>
        </xdr:sp>
        <xdr:sp macro="" textlink="">
          <xdr:nvSpPr>
            <xdr:cNvPr id="12357" name="Line 1207"/>
            <xdr:cNvSpPr>
              <a:spLocks noChangeShapeType="1"/>
            </xdr:cNvSpPr>
          </xdr:nvSpPr>
          <xdr:spPr bwMode="auto">
            <a:xfrm>
              <a:off x="7994650" y="7155962"/>
              <a:ext cx="304800" cy="0"/>
            </a:xfrm>
            <a:prstGeom prst="line">
              <a:avLst/>
            </a:prstGeom>
            <a:noFill/>
            <a:ln w="9525">
              <a:solidFill>
                <a:srgbClr val="000000"/>
              </a:solidFill>
              <a:prstDash val="sysDot"/>
              <a:round/>
              <a:headEnd/>
              <a:tailEnd/>
            </a:ln>
          </xdr:spPr>
        </xdr:sp>
        <xdr:sp macro="" textlink="">
          <xdr:nvSpPr>
            <xdr:cNvPr id="12358" name="Line 1208"/>
            <xdr:cNvSpPr>
              <a:spLocks noChangeShapeType="1"/>
            </xdr:cNvSpPr>
          </xdr:nvSpPr>
          <xdr:spPr bwMode="auto">
            <a:xfrm>
              <a:off x="7985125" y="7419487"/>
              <a:ext cx="304800" cy="0"/>
            </a:xfrm>
            <a:prstGeom prst="line">
              <a:avLst/>
            </a:prstGeom>
            <a:noFill/>
            <a:ln w="9525">
              <a:solidFill>
                <a:srgbClr val="000000"/>
              </a:solidFill>
              <a:prstDash val="sysDot"/>
              <a:round/>
              <a:headEnd/>
              <a:tailEnd/>
            </a:ln>
          </xdr:spPr>
        </xdr:sp>
        <xdr:sp macro="" textlink="">
          <xdr:nvSpPr>
            <xdr:cNvPr id="12359" name="AutoShape 1209"/>
            <xdr:cNvSpPr>
              <a:spLocks noChangeArrowheads="1"/>
            </xdr:cNvSpPr>
          </xdr:nvSpPr>
          <xdr:spPr bwMode="auto">
            <a:xfrm>
              <a:off x="7888898" y="7203587"/>
              <a:ext cx="210527" cy="168275"/>
            </a:xfrm>
            <a:prstGeom prst="hexagon">
              <a:avLst>
                <a:gd name="adj" fmla="val 30556"/>
                <a:gd name="vf" fmla="val 115470"/>
              </a:avLst>
            </a:prstGeom>
            <a:solidFill>
              <a:srgbClr val="C0C0C0"/>
            </a:solidFill>
            <a:ln w="9525">
              <a:solidFill>
                <a:srgbClr val="000000"/>
              </a:solidFill>
              <a:prstDash val="sysDot"/>
              <a:miter lim="800000"/>
              <a:headEnd/>
              <a:tailEnd/>
            </a:ln>
          </xdr:spPr>
        </xdr:sp>
        <xdr:sp macro="" textlink="">
          <xdr:nvSpPr>
            <xdr:cNvPr id="12360" name="Oval 1210"/>
            <xdr:cNvSpPr>
              <a:spLocks noChangeArrowheads="1"/>
            </xdr:cNvSpPr>
          </xdr:nvSpPr>
          <xdr:spPr bwMode="auto">
            <a:xfrm>
              <a:off x="7937500" y="7232162"/>
              <a:ext cx="114300" cy="111125"/>
            </a:xfrm>
            <a:prstGeom prst="ellipse">
              <a:avLst/>
            </a:prstGeom>
            <a:solidFill>
              <a:srgbClr val="C0C0C0"/>
            </a:solidFill>
            <a:ln w="9525">
              <a:solidFill>
                <a:srgbClr val="000000"/>
              </a:solidFill>
              <a:prstDash val="sysDot"/>
              <a:round/>
              <a:headEnd/>
              <a:tailEnd/>
            </a:ln>
          </xdr:spPr>
        </xdr:sp>
        <xdr:sp macro="" textlink="">
          <xdr:nvSpPr>
            <xdr:cNvPr id="12361" name="AutoShape 1211"/>
            <xdr:cNvSpPr>
              <a:spLocks noChangeArrowheads="1"/>
            </xdr:cNvSpPr>
          </xdr:nvSpPr>
          <xdr:spPr bwMode="auto">
            <a:xfrm>
              <a:off x="8194675" y="7203587"/>
              <a:ext cx="209550" cy="168275"/>
            </a:xfrm>
            <a:prstGeom prst="hexagon">
              <a:avLst>
                <a:gd name="adj" fmla="val 30556"/>
                <a:gd name="vf" fmla="val 115470"/>
              </a:avLst>
            </a:prstGeom>
            <a:solidFill>
              <a:srgbClr val="C0C0C0"/>
            </a:solidFill>
            <a:ln w="9525">
              <a:solidFill>
                <a:srgbClr val="000000"/>
              </a:solidFill>
              <a:prstDash val="sysDot"/>
              <a:miter lim="800000"/>
              <a:headEnd/>
              <a:tailEnd/>
            </a:ln>
          </xdr:spPr>
        </xdr:sp>
        <xdr:sp macro="" textlink="">
          <xdr:nvSpPr>
            <xdr:cNvPr id="12362" name="Oval 1212"/>
            <xdr:cNvSpPr>
              <a:spLocks noChangeArrowheads="1"/>
            </xdr:cNvSpPr>
          </xdr:nvSpPr>
          <xdr:spPr bwMode="auto">
            <a:xfrm>
              <a:off x="8242300" y="7232162"/>
              <a:ext cx="114300" cy="111125"/>
            </a:xfrm>
            <a:prstGeom prst="ellipse">
              <a:avLst/>
            </a:prstGeom>
            <a:solidFill>
              <a:srgbClr val="C0C0C0"/>
            </a:solidFill>
            <a:ln w="9525">
              <a:solidFill>
                <a:srgbClr val="000000"/>
              </a:solidFill>
              <a:prstDash val="sysDot"/>
              <a:round/>
              <a:headEnd/>
              <a:tailEnd/>
            </a:ln>
          </xdr:spPr>
        </xdr:sp>
        <xdr:sp macro="" textlink="">
          <xdr:nvSpPr>
            <xdr:cNvPr id="12363" name="Oval 1213"/>
            <xdr:cNvSpPr>
              <a:spLocks noChangeArrowheads="1"/>
            </xdr:cNvSpPr>
          </xdr:nvSpPr>
          <xdr:spPr bwMode="auto">
            <a:xfrm rot="-5400000">
              <a:off x="9093078" y="7153886"/>
              <a:ext cx="263525" cy="267677"/>
            </a:xfrm>
            <a:prstGeom prst="ellipse">
              <a:avLst/>
            </a:prstGeom>
            <a:solidFill>
              <a:srgbClr val="FF9933"/>
            </a:solidFill>
            <a:ln w="9525">
              <a:solidFill>
                <a:srgbClr val="000000"/>
              </a:solidFill>
              <a:prstDash val="sysDot"/>
              <a:round/>
              <a:headEnd/>
              <a:tailEnd/>
            </a:ln>
          </xdr:spPr>
        </xdr:sp>
        <xdr:sp macro="" textlink="">
          <xdr:nvSpPr>
            <xdr:cNvPr id="12364" name="Oval 1214"/>
            <xdr:cNvSpPr>
              <a:spLocks noChangeArrowheads="1"/>
            </xdr:cNvSpPr>
          </xdr:nvSpPr>
          <xdr:spPr bwMode="auto">
            <a:xfrm rot="-5400000">
              <a:off x="9093078" y="6687161"/>
              <a:ext cx="263525" cy="267677"/>
            </a:xfrm>
            <a:prstGeom prst="ellipse">
              <a:avLst/>
            </a:prstGeom>
            <a:solidFill>
              <a:srgbClr val="FF9933"/>
            </a:solidFill>
            <a:ln w="9525">
              <a:solidFill>
                <a:srgbClr val="000000"/>
              </a:solidFill>
              <a:round/>
              <a:headEnd/>
              <a:tailEnd/>
            </a:ln>
          </xdr:spPr>
        </xdr:sp>
        <xdr:sp macro="" textlink="">
          <xdr:nvSpPr>
            <xdr:cNvPr id="12365" name="Rectangle 1215"/>
            <xdr:cNvSpPr>
              <a:spLocks noChangeArrowheads="1"/>
            </xdr:cNvSpPr>
          </xdr:nvSpPr>
          <xdr:spPr bwMode="auto">
            <a:xfrm rot="-5400000">
              <a:off x="9075616" y="6847498"/>
              <a:ext cx="298450" cy="267677"/>
            </a:xfrm>
            <a:prstGeom prst="rect">
              <a:avLst/>
            </a:prstGeom>
            <a:solidFill>
              <a:srgbClr val="FF9933"/>
            </a:solidFill>
            <a:ln w="9525">
              <a:noFill/>
              <a:miter lim="800000"/>
              <a:headEnd/>
              <a:tailEnd/>
            </a:ln>
          </xdr:spPr>
        </xdr:sp>
        <xdr:sp macro="" textlink="">
          <xdr:nvSpPr>
            <xdr:cNvPr id="12366" name="Line 1216"/>
            <xdr:cNvSpPr>
              <a:spLocks noChangeShapeType="1"/>
            </xdr:cNvSpPr>
          </xdr:nvSpPr>
          <xdr:spPr bwMode="auto">
            <a:xfrm rot="-5400000">
              <a:off x="9002102" y="7181362"/>
              <a:ext cx="177800" cy="0"/>
            </a:xfrm>
            <a:prstGeom prst="line">
              <a:avLst/>
            </a:prstGeom>
            <a:noFill/>
            <a:ln w="9525">
              <a:solidFill>
                <a:srgbClr val="000000"/>
              </a:solidFill>
              <a:prstDash val="sysDot"/>
              <a:round/>
              <a:headEnd/>
              <a:tailEnd/>
            </a:ln>
          </xdr:spPr>
        </xdr:sp>
        <xdr:sp macro="" textlink="">
          <xdr:nvSpPr>
            <xdr:cNvPr id="12367" name="AutoShape 1217"/>
            <xdr:cNvSpPr>
              <a:spLocks noChangeArrowheads="1"/>
            </xdr:cNvSpPr>
          </xdr:nvSpPr>
          <xdr:spPr bwMode="auto">
            <a:xfrm>
              <a:off x="9119577" y="6765437"/>
              <a:ext cx="210527" cy="168275"/>
            </a:xfrm>
            <a:prstGeom prst="hexagon">
              <a:avLst>
                <a:gd name="adj" fmla="val 30556"/>
                <a:gd name="vf" fmla="val 115470"/>
              </a:avLst>
            </a:prstGeom>
            <a:solidFill>
              <a:srgbClr val="FFCC00"/>
            </a:solidFill>
            <a:ln w="9525">
              <a:solidFill>
                <a:srgbClr val="000000"/>
              </a:solidFill>
              <a:miter lim="800000"/>
              <a:headEnd/>
              <a:tailEnd/>
            </a:ln>
          </xdr:spPr>
        </xdr:sp>
        <xdr:sp macro="" textlink="">
          <xdr:nvSpPr>
            <xdr:cNvPr id="12368" name="Oval 1218"/>
            <xdr:cNvSpPr>
              <a:spLocks noChangeArrowheads="1"/>
            </xdr:cNvSpPr>
          </xdr:nvSpPr>
          <xdr:spPr bwMode="auto">
            <a:xfrm>
              <a:off x="9168179" y="6794012"/>
              <a:ext cx="114300" cy="111125"/>
            </a:xfrm>
            <a:prstGeom prst="ellipse">
              <a:avLst/>
            </a:prstGeom>
            <a:solidFill>
              <a:srgbClr val="FF9933"/>
            </a:solidFill>
            <a:ln w="9525">
              <a:solidFill>
                <a:srgbClr val="000000"/>
              </a:solidFill>
              <a:round/>
              <a:headEnd/>
              <a:tailEnd/>
            </a:ln>
          </xdr:spPr>
        </xdr:sp>
        <xdr:sp macro="" textlink="">
          <xdr:nvSpPr>
            <xdr:cNvPr id="12369" name="Oval 1219"/>
            <xdr:cNvSpPr>
              <a:spLocks noChangeArrowheads="1"/>
            </xdr:cNvSpPr>
          </xdr:nvSpPr>
          <xdr:spPr bwMode="auto">
            <a:xfrm>
              <a:off x="9091002" y="7155962"/>
              <a:ext cx="267677" cy="263525"/>
            </a:xfrm>
            <a:prstGeom prst="ellipse">
              <a:avLst/>
            </a:prstGeom>
            <a:solidFill>
              <a:srgbClr val="C0C0C0"/>
            </a:solidFill>
            <a:ln w="9525">
              <a:solidFill>
                <a:srgbClr val="000000"/>
              </a:solidFill>
              <a:prstDash val="sysDot"/>
              <a:round/>
              <a:headEnd/>
              <a:tailEnd/>
            </a:ln>
          </xdr:spPr>
        </xdr:sp>
        <xdr:sp macro="" textlink="">
          <xdr:nvSpPr>
            <xdr:cNvPr id="12370" name="Rectangle 1220"/>
            <xdr:cNvSpPr>
              <a:spLocks noChangeArrowheads="1"/>
            </xdr:cNvSpPr>
          </xdr:nvSpPr>
          <xdr:spPr bwMode="auto">
            <a:xfrm rot="-5400000">
              <a:off x="9131178" y="7052286"/>
              <a:ext cx="187325" cy="267677"/>
            </a:xfrm>
            <a:prstGeom prst="rect">
              <a:avLst/>
            </a:prstGeom>
            <a:solidFill>
              <a:srgbClr val="C0C0C0"/>
            </a:solidFill>
            <a:ln w="9525">
              <a:noFill/>
              <a:miter lim="800000"/>
              <a:headEnd/>
              <a:tailEnd/>
            </a:ln>
          </xdr:spPr>
        </xdr:sp>
        <xdr:sp macro="" textlink="">
          <xdr:nvSpPr>
            <xdr:cNvPr id="12371" name="AutoShape 1221"/>
            <xdr:cNvSpPr>
              <a:spLocks noChangeArrowheads="1"/>
            </xdr:cNvSpPr>
          </xdr:nvSpPr>
          <xdr:spPr bwMode="auto">
            <a:xfrm>
              <a:off x="9119577" y="7203587"/>
              <a:ext cx="210527" cy="168275"/>
            </a:xfrm>
            <a:prstGeom prst="hexagon">
              <a:avLst>
                <a:gd name="adj" fmla="val 30556"/>
                <a:gd name="vf" fmla="val 115470"/>
              </a:avLst>
            </a:prstGeom>
            <a:solidFill>
              <a:srgbClr val="C0C0C0"/>
            </a:solidFill>
            <a:ln w="9525">
              <a:solidFill>
                <a:srgbClr val="000000"/>
              </a:solidFill>
              <a:prstDash val="sysDot"/>
              <a:miter lim="800000"/>
              <a:headEnd/>
              <a:tailEnd/>
            </a:ln>
          </xdr:spPr>
        </xdr:sp>
        <xdr:sp macro="" textlink="">
          <xdr:nvSpPr>
            <xdr:cNvPr id="12372" name="Oval 1222"/>
            <xdr:cNvSpPr>
              <a:spLocks noChangeArrowheads="1"/>
            </xdr:cNvSpPr>
          </xdr:nvSpPr>
          <xdr:spPr bwMode="auto">
            <a:xfrm>
              <a:off x="9168179" y="7232162"/>
              <a:ext cx="114300" cy="111125"/>
            </a:xfrm>
            <a:prstGeom prst="ellipse">
              <a:avLst/>
            </a:prstGeom>
            <a:solidFill>
              <a:srgbClr val="C0C0C0"/>
            </a:solidFill>
            <a:ln w="9525">
              <a:solidFill>
                <a:srgbClr val="000000"/>
              </a:solidFill>
              <a:prstDash val="sysDot"/>
              <a:round/>
              <a:headEnd/>
              <a:tailEnd/>
            </a:ln>
          </xdr:spPr>
        </xdr:sp>
        <xdr:sp macro="" textlink="">
          <xdr:nvSpPr>
            <xdr:cNvPr id="12373" name="Line 1223"/>
            <xdr:cNvSpPr>
              <a:spLocks noChangeShapeType="1"/>
            </xdr:cNvSpPr>
          </xdr:nvSpPr>
          <xdr:spPr bwMode="auto">
            <a:xfrm>
              <a:off x="9091002" y="7092462"/>
              <a:ext cx="267677" cy="0"/>
            </a:xfrm>
            <a:prstGeom prst="line">
              <a:avLst/>
            </a:prstGeom>
            <a:noFill/>
            <a:ln w="9525">
              <a:solidFill>
                <a:srgbClr val="000000"/>
              </a:solidFill>
              <a:round/>
              <a:headEnd/>
              <a:tailEnd/>
            </a:ln>
          </xdr:spPr>
        </xdr:sp>
        <xdr:sp macro="" textlink="">
          <xdr:nvSpPr>
            <xdr:cNvPr id="12374" name="Line 1224"/>
            <xdr:cNvSpPr>
              <a:spLocks noChangeShapeType="1"/>
            </xdr:cNvSpPr>
          </xdr:nvSpPr>
          <xdr:spPr bwMode="auto">
            <a:xfrm>
              <a:off x="9091002" y="7101987"/>
              <a:ext cx="0" cy="187325"/>
            </a:xfrm>
            <a:prstGeom prst="line">
              <a:avLst/>
            </a:prstGeom>
            <a:noFill/>
            <a:ln w="9525" cap="rnd">
              <a:solidFill>
                <a:srgbClr val="000000"/>
              </a:solidFill>
              <a:prstDash val="sysDot"/>
              <a:round/>
              <a:headEnd/>
              <a:tailEnd/>
            </a:ln>
          </xdr:spPr>
        </xdr:sp>
        <xdr:sp macro="" textlink="">
          <xdr:nvSpPr>
            <xdr:cNvPr id="12375" name="Line 1225"/>
            <xdr:cNvSpPr>
              <a:spLocks noChangeShapeType="1"/>
            </xdr:cNvSpPr>
          </xdr:nvSpPr>
          <xdr:spPr bwMode="auto">
            <a:xfrm>
              <a:off x="9358679" y="6832112"/>
              <a:ext cx="0" cy="250825"/>
            </a:xfrm>
            <a:prstGeom prst="line">
              <a:avLst/>
            </a:prstGeom>
            <a:noFill/>
            <a:ln w="9525">
              <a:solidFill>
                <a:srgbClr val="000000"/>
              </a:solidFill>
              <a:round/>
              <a:headEnd/>
              <a:tailEnd/>
            </a:ln>
          </xdr:spPr>
        </xdr:sp>
        <xdr:grpSp>
          <xdr:nvGrpSpPr>
            <xdr:cNvPr id="12376" name="Group 1226"/>
            <xdr:cNvGrpSpPr>
              <a:grpSpLocks/>
            </xdr:cNvGrpSpPr>
          </xdr:nvGrpSpPr>
          <xdr:grpSpPr bwMode="auto">
            <a:xfrm>
              <a:off x="5733317" y="7727462"/>
              <a:ext cx="391502" cy="279400"/>
              <a:chOff x="595" y="629"/>
              <a:chExt cx="59" cy="30"/>
            </a:xfrm>
          </xdr:grpSpPr>
          <xdr:sp macro="" textlink="">
            <xdr:nvSpPr>
              <xdr:cNvPr id="12691" name="Rectangle 1227" descr="Wide downward diagonal"/>
              <xdr:cNvSpPr>
                <a:spLocks noChangeArrowheads="1"/>
              </xdr:cNvSpPr>
            </xdr:nvSpPr>
            <xdr:spPr bwMode="auto">
              <a:xfrm>
                <a:off x="595" y="629"/>
                <a:ext cx="59" cy="30"/>
              </a:xfrm>
              <a:prstGeom prst="rect">
                <a:avLst/>
              </a:prstGeom>
              <a:pattFill prst="wdDnDiag">
                <a:fgClr>
                  <a:srgbClr val="000000"/>
                </a:fgClr>
                <a:bgClr>
                  <a:srgbClr val="FFFFFF"/>
                </a:bgClr>
              </a:pattFill>
              <a:ln w="9525">
                <a:solidFill>
                  <a:srgbClr val="000000"/>
                </a:solidFill>
                <a:miter lim="800000"/>
                <a:headEnd/>
                <a:tailEnd/>
              </a:ln>
            </xdr:spPr>
          </xdr:sp>
          <xdr:sp macro="" textlink="">
            <xdr:nvSpPr>
              <xdr:cNvPr id="12692" name="Rectangle 1228"/>
              <xdr:cNvSpPr>
                <a:spLocks noChangeArrowheads="1"/>
              </xdr:cNvSpPr>
            </xdr:nvSpPr>
            <xdr:spPr bwMode="auto">
              <a:xfrm>
                <a:off x="598" y="629"/>
                <a:ext cx="53" cy="30"/>
              </a:xfrm>
              <a:prstGeom prst="rect">
                <a:avLst/>
              </a:prstGeom>
              <a:solidFill>
                <a:srgbClr val="FFFFFF"/>
              </a:solidFill>
              <a:ln w="9525">
                <a:solidFill>
                  <a:srgbClr val="000000"/>
                </a:solidFill>
                <a:miter lim="800000"/>
                <a:headEnd/>
                <a:tailEnd/>
              </a:ln>
            </xdr:spPr>
          </xdr:sp>
        </xdr:grpSp>
        <xdr:sp macro="" textlink="">
          <xdr:nvSpPr>
            <xdr:cNvPr id="12377" name="AutoShape 1229"/>
            <xdr:cNvSpPr>
              <a:spLocks noChangeArrowheads="1"/>
            </xdr:cNvSpPr>
          </xdr:nvSpPr>
          <xdr:spPr bwMode="auto">
            <a:xfrm rot="5514549" flipH="1" flipV="1">
              <a:off x="5890480" y="6376499"/>
              <a:ext cx="133350" cy="142875"/>
            </a:xfrm>
            <a:custGeom>
              <a:avLst/>
              <a:gdLst>
                <a:gd name="T0" fmla="*/ 2147483647 w 21600"/>
                <a:gd name="T1" fmla="*/ 0 h 21600"/>
                <a:gd name="T2" fmla="*/ 2147483647 w 21600"/>
                <a:gd name="T3" fmla="*/ 2147483647 h 21600"/>
                <a:gd name="T4" fmla="*/ 2147483647 w 21600"/>
                <a:gd name="T5" fmla="*/ 2147483647 h 21600"/>
                <a:gd name="T6" fmla="*/ 2147483647 w 21600"/>
                <a:gd name="T7" fmla="*/ 2147483647 h 21600"/>
                <a:gd name="T8" fmla="*/ 17694720 60000 65536"/>
                <a:gd name="T9" fmla="*/ 5898240 60000 65536"/>
                <a:gd name="T10" fmla="*/ 5898240 60000 65536"/>
                <a:gd name="T11" fmla="*/ 0 60000 65536"/>
                <a:gd name="T12" fmla="*/ 12427 w 21600"/>
                <a:gd name="T13" fmla="*/ 2912 h 21600"/>
                <a:gd name="T14" fmla="*/ 18227 w 21600"/>
                <a:gd name="T15" fmla="*/ 9246 h 21600"/>
              </a:gdLst>
              <a:ahLst/>
              <a:cxnLst>
                <a:cxn ang="T8">
                  <a:pos x="T0" y="T1"/>
                </a:cxn>
                <a:cxn ang="T9">
                  <a:pos x="T2" y="T3"/>
                </a:cxn>
                <a:cxn ang="T10">
                  <a:pos x="T4" y="T5"/>
                </a:cxn>
                <a:cxn ang="T11">
                  <a:pos x="T6" y="T7"/>
                </a:cxn>
              </a:cxnLst>
              <a:rect l="T12" t="T13" r="T14" b="T15"/>
              <a:pathLst>
                <a:path w="21600" h="21600">
                  <a:moveTo>
                    <a:pt x="21600" y="6079"/>
                  </a:moveTo>
                  <a:lnTo>
                    <a:pt x="15126" y="0"/>
                  </a:lnTo>
                  <a:lnTo>
                    <a:pt x="15126" y="2912"/>
                  </a:lnTo>
                  <a:lnTo>
                    <a:pt x="12427" y="2912"/>
                  </a:lnTo>
                  <a:cubicBezTo>
                    <a:pt x="5564" y="2912"/>
                    <a:pt x="0" y="7052"/>
                    <a:pt x="0" y="12158"/>
                  </a:cubicBezTo>
                  <a:lnTo>
                    <a:pt x="0" y="21600"/>
                  </a:lnTo>
                  <a:lnTo>
                    <a:pt x="6474" y="21600"/>
                  </a:lnTo>
                  <a:lnTo>
                    <a:pt x="6474" y="12158"/>
                  </a:lnTo>
                  <a:cubicBezTo>
                    <a:pt x="6474" y="10550"/>
                    <a:pt x="9139" y="9246"/>
                    <a:pt x="12427" y="9246"/>
                  </a:cubicBezTo>
                  <a:lnTo>
                    <a:pt x="15126" y="9246"/>
                  </a:lnTo>
                  <a:lnTo>
                    <a:pt x="15126" y="12158"/>
                  </a:lnTo>
                  <a:lnTo>
                    <a:pt x="21600" y="6079"/>
                  </a:lnTo>
                  <a:close/>
                </a:path>
              </a:pathLst>
            </a:custGeom>
            <a:solidFill>
              <a:srgbClr val="33CCCC"/>
            </a:solidFill>
            <a:ln w="9525">
              <a:solidFill>
                <a:srgbClr val="000000"/>
              </a:solidFill>
              <a:miter lim="800000"/>
              <a:headEnd/>
              <a:tailEnd/>
            </a:ln>
          </xdr:spPr>
        </xdr:sp>
        <xdr:grpSp>
          <xdr:nvGrpSpPr>
            <xdr:cNvPr id="12378" name="Group 1230"/>
            <xdr:cNvGrpSpPr>
              <a:grpSpLocks/>
            </xdr:cNvGrpSpPr>
          </xdr:nvGrpSpPr>
          <xdr:grpSpPr bwMode="auto">
            <a:xfrm>
              <a:off x="5379915" y="6698762"/>
              <a:ext cx="582002" cy="263525"/>
              <a:chOff x="561" y="685"/>
              <a:chExt cx="61" cy="28"/>
            </a:xfrm>
          </xdr:grpSpPr>
          <xdr:sp macro="" textlink="">
            <xdr:nvSpPr>
              <xdr:cNvPr id="12685" name="Rectangle 1231"/>
              <xdr:cNvSpPr>
                <a:spLocks noChangeArrowheads="1"/>
              </xdr:cNvSpPr>
            </xdr:nvSpPr>
            <xdr:spPr bwMode="auto">
              <a:xfrm>
                <a:off x="569" y="686"/>
                <a:ext cx="20" cy="23"/>
              </a:xfrm>
              <a:prstGeom prst="rect">
                <a:avLst/>
              </a:prstGeom>
              <a:solidFill>
                <a:srgbClr val="FFFF99"/>
              </a:solidFill>
              <a:ln w="9525">
                <a:solidFill>
                  <a:srgbClr val="000000"/>
                </a:solidFill>
                <a:miter lim="800000"/>
                <a:headEnd/>
                <a:tailEnd/>
              </a:ln>
            </xdr:spPr>
          </xdr:sp>
          <xdr:sp macro="" textlink="">
            <xdr:nvSpPr>
              <xdr:cNvPr id="12686" name="Rectangle 1232"/>
              <xdr:cNvSpPr>
                <a:spLocks noChangeArrowheads="1"/>
              </xdr:cNvSpPr>
            </xdr:nvSpPr>
            <xdr:spPr bwMode="auto">
              <a:xfrm>
                <a:off x="561" y="690"/>
                <a:ext cx="39" cy="15"/>
              </a:xfrm>
              <a:prstGeom prst="rect">
                <a:avLst/>
              </a:prstGeom>
              <a:solidFill>
                <a:srgbClr val="FF9933"/>
              </a:solidFill>
              <a:ln w="9525">
                <a:solidFill>
                  <a:srgbClr val="000000"/>
                </a:solidFill>
                <a:miter lim="800000"/>
                <a:headEnd/>
                <a:tailEnd/>
              </a:ln>
            </xdr:spPr>
          </xdr:sp>
          <xdr:sp macro="" textlink="">
            <xdr:nvSpPr>
              <xdr:cNvPr id="12687" name="Oval 1233"/>
              <xdr:cNvSpPr>
                <a:spLocks noChangeArrowheads="1"/>
              </xdr:cNvSpPr>
            </xdr:nvSpPr>
            <xdr:spPr bwMode="auto">
              <a:xfrm>
                <a:off x="596" y="685"/>
                <a:ext cx="26" cy="28"/>
              </a:xfrm>
              <a:prstGeom prst="ellipse">
                <a:avLst/>
              </a:prstGeom>
              <a:solidFill>
                <a:srgbClr val="FF9933"/>
              </a:solidFill>
              <a:ln w="9525">
                <a:solidFill>
                  <a:srgbClr val="000000"/>
                </a:solidFill>
                <a:round/>
                <a:headEnd/>
                <a:tailEnd/>
              </a:ln>
            </xdr:spPr>
          </xdr:sp>
          <xdr:sp macro="" textlink="">
            <xdr:nvSpPr>
              <xdr:cNvPr id="12688" name="Rectangle 1234"/>
              <xdr:cNvSpPr>
                <a:spLocks noChangeArrowheads="1"/>
              </xdr:cNvSpPr>
            </xdr:nvSpPr>
            <xdr:spPr bwMode="auto">
              <a:xfrm>
                <a:off x="591" y="691"/>
                <a:ext cx="8" cy="13"/>
              </a:xfrm>
              <a:prstGeom prst="rect">
                <a:avLst/>
              </a:prstGeom>
              <a:solidFill>
                <a:srgbClr val="FF9933"/>
              </a:solidFill>
              <a:ln w="9525">
                <a:noFill/>
                <a:miter lim="800000"/>
                <a:headEnd/>
                <a:tailEnd/>
              </a:ln>
            </xdr:spPr>
          </xdr:sp>
          <xdr:sp macro="" textlink="">
            <xdr:nvSpPr>
              <xdr:cNvPr id="12689" name="AutoShape 1235"/>
              <xdr:cNvSpPr>
                <a:spLocks noChangeArrowheads="1"/>
              </xdr:cNvSpPr>
            </xdr:nvSpPr>
            <xdr:spPr bwMode="auto">
              <a:xfrm>
                <a:off x="598" y="690"/>
                <a:ext cx="22" cy="18"/>
              </a:xfrm>
              <a:prstGeom prst="hexagon">
                <a:avLst>
                  <a:gd name="adj" fmla="val 30556"/>
                  <a:gd name="vf" fmla="val 115470"/>
                </a:avLst>
              </a:prstGeom>
              <a:solidFill>
                <a:srgbClr val="FFCC00"/>
              </a:solidFill>
              <a:ln w="9525">
                <a:solidFill>
                  <a:srgbClr val="000000"/>
                </a:solidFill>
                <a:miter lim="800000"/>
                <a:headEnd/>
                <a:tailEnd/>
              </a:ln>
            </xdr:spPr>
          </xdr:sp>
          <xdr:sp macro="" textlink="">
            <xdr:nvSpPr>
              <xdr:cNvPr id="12690" name="Oval 1236"/>
              <xdr:cNvSpPr>
                <a:spLocks noChangeArrowheads="1"/>
              </xdr:cNvSpPr>
            </xdr:nvSpPr>
            <xdr:spPr bwMode="auto">
              <a:xfrm>
                <a:off x="603" y="693"/>
                <a:ext cx="12" cy="12"/>
              </a:xfrm>
              <a:prstGeom prst="ellipse">
                <a:avLst/>
              </a:prstGeom>
              <a:solidFill>
                <a:srgbClr val="FF9933"/>
              </a:solidFill>
              <a:ln w="9525">
                <a:solidFill>
                  <a:srgbClr val="000000"/>
                </a:solidFill>
                <a:round/>
                <a:headEnd/>
                <a:tailEnd/>
              </a:ln>
            </xdr:spPr>
          </xdr:sp>
        </xdr:grpSp>
        <xdr:sp macro="" textlink="">
          <xdr:nvSpPr>
            <xdr:cNvPr id="12379" name="Rectangle 1237"/>
            <xdr:cNvSpPr>
              <a:spLocks noChangeArrowheads="1"/>
            </xdr:cNvSpPr>
          </xdr:nvSpPr>
          <xdr:spPr bwMode="auto">
            <a:xfrm>
              <a:off x="5437065" y="7165487"/>
              <a:ext cx="191477" cy="215900"/>
            </a:xfrm>
            <a:prstGeom prst="rect">
              <a:avLst/>
            </a:prstGeom>
            <a:solidFill>
              <a:srgbClr val="C0C0C0"/>
            </a:solidFill>
            <a:ln w="9525" cap="rnd">
              <a:solidFill>
                <a:srgbClr val="000000"/>
              </a:solidFill>
              <a:prstDash val="sysDot"/>
              <a:miter lim="800000"/>
              <a:headEnd/>
              <a:tailEnd/>
            </a:ln>
          </xdr:spPr>
        </xdr:sp>
        <xdr:sp macro="" textlink="">
          <xdr:nvSpPr>
            <xdr:cNvPr id="12380" name="Rectangle 1238"/>
            <xdr:cNvSpPr>
              <a:spLocks noChangeArrowheads="1"/>
            </xdr:cNvSpPr>
          </xdr:nvSpPr>
          <xdr:spPr bwMode="auto">
            <a:xfrm>
              <a:off x="5360865" y="7203587"/>
              <a:ext cx="372452" cy="139700"/>
            </a:xfrm>
            <a:prstGeom prst="rect">
              <a:avLst/>
            </a:prstGeom>
            <a:solidFill>
              <a:srgbClr val="C0C0C0"/>
            </a:solidFill>
            <a:ln w="9525" cap="rnd">
              <a:solidFill>
                <a:srgbClr val="000000"/>
              </a:solidFill>
              <a:prstDash val="sysDot"/>
              <a:miter lim="800000"/>
              <a:headEnd/>
              <a:tailEnd/>
            </a:ln>
          </xdr:spPr>
        </xdr:sp>
        <xdr:sp macro="" textlink="">
          <xdr:nvSpPr>
            <xdr:cNvPr id="12381" name="Oval 1239"/>
            <xdr:cNvSpPr>
              <a:spLocks noChangeArrowheads="1"/>
            </xdr:cNvSpPr>
          </xdr:nvSpPr>
          <xdr:spPr bwMode="auto">
            <a:xfrm>
              <a:off x="5695217" y="7155962"/>
              <a:ext cx="247650" cy="263525"/>
            </a:xfrm>
            <a:prstGeom prst="ellipse">
              <a:avLst/>
            </a:prstGeom>
            <a:solidFill>
              <a:srgbClr val="C0C0C0"/>
            </a:solidFill>
            <a:ln w="9525" cap="rnd">
              <a:solidFill>
                <a:srgbClr val="000000"/>
              </a:solidFill>
              <a:prstDash val="sysDot"/>
              <a:round/>
              <a:headEnd/>
              <a:tailEnd/>
            </a:ln>
          </xdr:spPr>
        </xdr:sp>
        <xdr:sp macro="" textlink="">
          <xdr:nvSpPr>
            <xdr:cNvPr id="12382" name="Rectangle 1240"/>
            <xdr:cNvSpPr>
              <a:spLocks noChangeArrowheads="1"/>
            </xdr:cNvSpPr>
          </xdr:nvSpPr>
          <xdr:spPr bwMode="auto">
            <a:xfrm>
              <a:off x="5647592" y="7213112"/>
              <a:ext cx="76200" cy="120650"/>
            </a:xfrm>
            <a:prstGeom prst="rect">
              <a:avLst/>
            </a:prstGeom>
            <a:solidFill>
              <a:srgbClr val="C0C0C0"/>
            </a:solidFill>
            <a:ln w="9525">
              <a:noFill/>
              <a:miter lim="800000"/>
              <a:headEnd/>
              <a:tailEnd/>
            </a:ln>
          </xdr:spPr>
        </xdr:sp>
        <xdr:sp macro="" textlink="">
          <xdr:nvSpPr>
            <xdr:cNvPr id="12383" name="AutoShape 1241"/>
            <xdr:cNvSpPr>
              <a:spLocks noChangeArrowheads="1"/>
            </xdr:cNvSpPr>
          </xdr:nvSpPr>
          <xdr:spPr bwMode="auto">
            <a:xfrm>
              <a:off x="5714267" y="7203587"/>
              <a:ext cx="209550" cy="168275"/>
            </a:xfrm>
            <a:prstGeom prst="hexagon">
              <a:avLst>
                <a:gd name="adj" fmla="val 30556"/>
                <a:gd name="vf" fmla="val 115470"/>
              </a:avLst>
            </a:prstGeom>
            <a:solidFill>
              <a:srgbClr val="C0C0C0"/>
            </a:solidFill>
            <a:ln w="9525" cap="rnd">
              <a:solidFill>
                <a:srgbClr val="000000"/>
              </a:solidFill>
              <a:prstDash val="sysDot"/>
              <a:miter lim="800000"/>
              <a:headEnd/>
              <a:tailEnd/>
            </a:ln>
          </xdr:spPr>
        </xdr:sp>
        <xdr:sp macro="" textlink="">
          <xdr:nvSpPr>
            <xdr:cNvPr id="12384" name="Oval 1242"/>
            <xdr:cNvSpPr>
              <a:spLocks noChangeArrowheads="1"/>
            </xdr:cNvSpPr>
          </xdr:nvSpPr>
          <xdr:spPr bwMode="auto">
            <a:xfrm>
              <a:off x="5761892" y="7232162"/>
              <a:ext cx="114300" cy="111125"/>
            </a:xfrm>
            <a:prstGeom prst="ellipse">
              <a:avLst/>
            </a:prstGeom>
            <a:solidFill>
              <a:srgbClr val="C0C0C0"/>
            </a:solidFill>
            <a:ln w="9525" cap="rnd">
              <a:solidFill>
                <a:srgbClr val="000000"/>
              </a:solidFill>
              <a:prstDash val="sysDot"/>
              <a:round/>
              <a:headEnd/>
              <a:tailEnd/>
            </a:ln>
          </xdr:spPr>
        </xdr:sp>
        <xdr:grpSp>
          <xdr:nvGrpSpPr>
            <xdr:cNvPr id="12385" name="Group 1243"/>
            <xdr:cNvGrpSpPr>
              <a:grpSpLocks/>
            </xdr:cNvGrpSpPr>
          </xdr:nvGrpSpPr>
          <xdr:grpSpPr bwMode="auto">
            <a:xfrm>
              <a:off x="3291010" y="3777762"/>
              <a:ext cx="323850" cy="317500"/>
              <a:chOff x="304" y="397"/>
              <a:chExt cx="34" cy="34"/>
            </a:xfrm>
          </xdr:grpSpPr>
          <xdr:sp macro="" textlink="">
            <xdr:nvSpPr>
              <xdr:cNvPr id="12679" name="Oval 1244"/>
              <xdr:cNvSpPr>
                <a:spLocks noChangeArrowheads="1"/>
              </xdr:cNvSpPr>
            </xdr:nvSpPr>
            <xdr:spPr bwMode="auto">
              <a:xfrm rot="-1760819">
                <a:off x="323" y="397"/>
                <a:ext cx="12" cy="27"/>
              </a:xfrm>
              <a:prstGeom prst="ellipse">
                <a:avLst/>
              </a:prstGeom>
              <a:solidFill>
                <a:srgbClr val="FFFFFF"/>
              </a:solidFill>
              <a:ln w="9525">
                <a:solidFill>
                  <a:srgbClr val="000000"/>
                </a:solidFill>
                <a:round/>
                <a:headEnd/>
                <a:tailEnd/>
              </a:ln>
            </xdr:spPr>
          </xdr:sp>
          <xdr:sp macro="" textlink="">
            <xdr:nvSpPr>
              <xdr:cNvPr id="12680" name="Oval 1245"/>
              <xdr:cNvSpPr>
                <a:spLocks noChangeArrowheads="1"/>
              </xdr:cNvSpPr>
            </xdr:nvSpPr>
            <xdr:spPr bwMode="auto">
              <a:xfrm rot="-1760819">
                <a:off x="319" y="406"/>
                <a:ext cx="7" cy="17"/>
              </a:xfrm>
              <a:prstGeom prst="ellipse">
                <a:avLst/>
              </a:prstGeom>
              <a:solidFill>
                <a:srgbClr val="FFFFFF"/>
              </a:solidFill>
              <a:ln w="9525">
                <a:solidFill>
                  <a:srgbClr val="000000"/>
                </a:solidFill>
                <a:round/>
                <a:headEnd/>
                <a:tailEnd/>
              </a:ln>
            </xdr:spPr>
          </xdr:sp>
          <xdr:sp macro="" textlink="">
            <xdr:nvSpPr>
              <xdr:cNvPr id="12681" name="Freeform 1246"/>
              <xdr:cNvSpPr>
                <a:spLocks/>
              </xdr:cNvSpPr>
            </xdr:nvSpPr>
            <xdr:spPr bwMode="auto">
              <a:xfrm>
                <a:off x="316" y="398"/>
                <a:ext cx="22" cy="28"/>
              </a:xfrm>
              <a:custGeom>
                <a:avLst/>
                <a:gdLst>
                  <a:gd name="T0" fmla="*/ 0 w 22"/>
                  <a:gd name="T1" fmla="*/ 5 h 28"/>
                  <a:gd name="T2" fmla="*/ 8 w 22"/>
                  <a:gd name="T3" fmla="*/ 0 h 28"/>
                  <a:gd name="T4" fmla="*/ 10 w 22"/>
                  <a:gd name="T5" fmla="*/ 1 h 28"/>
                  <a:gd name="T6" fmla="*/ 12 w 22"/>
                  <a:gd name="T7" fmla="*/ 2 h 28"/>
                  <a:gd name="T8" fmla="*/ 15 w 22"/>
                  <a:gd name="T9" fmla="*/ 5 h 28"/>
                  <a:gd name="T10" fmla="*/ 18 w 22"/>
                  <a:gd name="T11" fmla="*/ 8 h 28"/>
                  <a:gd name="T12" fmla="*/ 20 w 22"/>
                  <a:gd name="T13" fmla="*/ 12 h 28"/>
                  <a:gd name="T14" fmla="*/ 21 w 22"/>
                  <a:gd name="T15" fmla="*/ 15 h 28"/>
                  <a:gd name="T16" fmla="*/ 22 w 22"/>
                  <a:gd name="T17" fmla="*/ 18 h 28"/>
                  <a:gd name="T18" fmla="*/ 22 w 22"/>
                  <a:gd name="T19" fmla="*/ 21 h 28"/>
                  <a:gd name="T20" fmla="*/ 21 w 22"/>
                  <a:gd name="T21" fmla="*/ 23 h 28"/>
                  <a:gd name="T22" fmla="*/ 19 w 22"/>
                  <a:gd name="T23" fmla="*/ 26 h 28"/>
                  <a:gd name="T24" fmla="*/ 14 w 22"/>
                  <a:gd name="T25" fmla="*/ 28 h 28"/>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
                  <a:gd name="T40" fmla="*/ 0 h 28"/>
                  <a:gd name="T41" fmla="*/ 22 w 22"/>
                  <a:gd name="T42" fmla="*/ 28 h 28"/>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 h="28">
                    <a:moveTo>
                      <a:pt x="0" y="5"/>
                    </a:moveTo>
                    <a:lnTo>
                      <a:pt x="8" y="0"/>
                    </a:lnTo>
                    <a:lnTo>
                      <a:pt x="10" y="1"/>
                    </a:lnTo>
                    <a:lnTo>
                      <a:pt x="12" y="2"/>
                    </a:lnTo>
                    <a:lnTo>
                      <a:pt x="15" y="5"/>
                    </a:lnTo>
                    <a:lnTo>
                      <a:pt x="18" y="8"/>
                    </a:lnTo>
                    <a:lnTo>
                      <a:pt x="20" y="12"/>
                    </a:lnTo>
                    <a:lnTo>
                      <a:pt x="21" y="15"/>
                    </a:lnTo>
                    <a:lnTo>
                      <a:pt x="22" y="18"/>
                    </a:lnTo>
                    <a:lnTo>
                      <a:pt x="22" y="21"/>
                    </a:lnTo>
                    <a:lnTo>
                      <a:pt x="21" y="23"/>
                    </a:lnTo>
                    <a:lnTo>
                      <a:pt x="19" y="26"/>
                    </a:lnTo>
                    <a:lnTo>
                      <a:pt x="14" y="28"/>
                    </a:lnTo>
                  </a:path>
                </a:pathLst>
              </a:custGeom>
              <a:solidFill>
                <a:srgbClr val="FFFF99"/>
              </a:solidFill>
              <a:ln w="9525">
                <a:solidFill>
                  <a:srgbClr val="000000"/>
                </a:solidFill>
                <a:round/>
                <a:headEnd/>
                <a:tailEnd/>
              </a:ln>
            </xdr:spPr>
          </xdr:sp>
          <xdr:sp macro="" textlink="">
            <xdr:nvSpPr>
              <xdr:cNvPr id="12682" name="Oval 1247"/>
              <xdr:cNvSpPr>
                <a:spLocks noChangeArrowheads="1"/>
              </xdr:cNvSpPr>
            </xdr:nvSpPr>
            <xdr:spPr bwMode="auto">
              <a:xfrm rot="-1760819">
                <a:off x="317" y="401"/>
                <a:ext cx="12" cy="27"/>
              </a:xfrm>
              <a:prstGeom prst="ellipse">
                <a:avLst/>
              </a:prstGeom>
              <a:solidFill>
                <a:srgbClr val="FFFF99"/>
              </a:solidFill>
              <a:ln w="9525">
                <a:solidFill>
                  <a:srgbClr val="000000"/>
                </a:solidFill>
                <a:round/>
                <a:headEnd/>
                <a:tailEnd/>
              </a:ln>
            </xdr:spPr>
          </xdr:sp>
          <xdr:sp macro="" textlink="">
            <xdr:nvSpPr>
              <xdr:cNvPr id="12683" name="Freeform 1248"/>
              <xdr:cNvSpPr>
                <a:spLocks/>
              </xdr:cNvSpPr>
            </xdr:nvSpPr>
            <xdr:spPr bwMode="auto">
              <a:xfrm>
                <a:off x="304" y="407"/>
                <a:ext cx="24" cy="23"/>
              </a:xfrm>
              <a:custGeom>
                <a:avLst/>
                <a:gdLst>
                  <a:gd name="T0" fmla="*/ 0 w 24"/>
                  <a:gd name="T1" fmla="*/ 8 h 23"/>
                  <a:gd name="T2" fmla="*/ 8 w 24"/>
                  <a:gd name="T3" fmla="*/ 4 h 23"/>
                  <a:gd name="T4" fmla="*/ 15 w 24"/>
                  <a:gd name="T5" fmla="*/ 0 h 23"/>
                  <a:gd name="T6" fmla="*/ 18 w 24"/>
                  <a:gd name="T7" fmla="*/ 1 h 23"/>
                  <a:gd name="T8" fmla="*/ 20 w 24"/>
                  <a:gd name="T9" fmla="*/ 3 h 23"/>
                  <a:gd name="T10" fmla="*/ 22 w 24"/>
                  <a:gd name="T11" fmla="*/ 5 h 23"/>
                  <a:gd name="T12" fmla="*/ 23 w 24"/>
                  <a:gd name="T13" fmla="*/ 8 h 23"/>
                  <a:gd name="T14" fmla="*/ 24 w 24"/>
                  <a:gd name="T15" fmla="*/ 10 h 23"/>
                  <a:gd name="T16" fmla="*/ 24 w 24"/>
                  <a:gd name="T17" fmla="*/ 13 h 23"/>
                  <a:gd name="T18" fmla="*/ 23 w 24"/>
                  <a:gd name="T19" fmla="*/ 15 h 23"/>
                  <a:gd name="T20" fmla="*/ 20 w 24"/>
                  <a:gd name="T21" fmla="*/ 17 h 23"/>
                  <a:gd name="T22" fmla="*/ 16 w 24"/>
                  <a:gd name="T23" fmla="*/ 19 h 23"/>
                  <a:gd name="T24" fmla="*/ 9 w 24"/>
                  <a:gd name="T25" fmla="*/ 23 h 23"/>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4"/>
                  <a:gd name="T40" fmla="*/ 0 h 23"/>
                  <a:gd name="T41" fmla="*/ 24 w 24"/>
                  <a:gd name="T42" fmla="*/ 23 h 23"/>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4" h="23">
                    <a:moveTo>
                      <a:pt x="0" y="8"/>
                    </a:moveTo>
                    <a:lnTo>
                      <a:pt x="8" y="4"/>
                    </a:lnTo>
                    <a:lnTo>
                      <a:pt x="15" y="0"/>
                    </a:lnTo>
                    <a:lnTo>
                      <a:pt x="18" y="1"/>
                    </a:lnTo>
                    <a:lnTo>
                      <a:pt x="20" y="3"/>
                    </a:lnTo>
                    <a:lnTo>
                      <a:pt x="22" y="5"/>
                    </a:lnTo>
                    <a:lnTo>
                      <a:pt x="23" y="8"/>
                    </a:lnTo>
                    <a:lnTo>
                      <a:pt x="24" y="10"/>
                    </a:lnTo>
                    <a:lnTo>
                      <a:pt x="24" y="13"/>
                    </a:lnTo>
                    <a:lnTo>
                      <a:pt x="23" y="15"/>
                    </a:lnTo>
                    <a:lnTo>
                      <a:pt x="20" y="17"/>
                    </a:lnTo>
                    <a:lnTo>
                      <a:pt x="16" y="19"/>
                    </a:lnTo>
                    <a:lnTo>
                      <a:pt x="9" y="23"/>
                    </a:lnTo>
                  </a:path>
                </a:pathLst>
              </a:custGeom>
              <a:solidFill>
                <a:srgbClr val="FF9933"/>
              </a:solidFill>
              <a:ln w="9525">
                <a:solidFill>
                  <a:srgbClr val="000000"/>
                </a:solidFill>
                <a:round/>
                <a:headEnd/>
                <a:tailEnd/>
              </a:ln>
            </xdr:spPr>
          </xdr:sp>
          <xdr:sp macro="" textlink="">
            <xdr:nvSpPr>
              <xdr:cNvPr id="12684" name="Oval 1249"/>
              <xdr:cNvSpPr>
                <a:spLocks noChangeArrowheads="1"/>
              </xdr:cNvSpPr>
            </xdr:nvSpPr>
            <xdr:spPr bwMode="auto">
              <a:xfrm rot="-1760819">
                <a:off x="305" y="414"/>
                <a:ext cx="7" cy="17"/>
              </a:xfrm>
              <a:prstGeom prst="ellipse">
                <a:avLst/>
              </a:prstGeom>
              <a:solidFill>
                <a:srgbClr val="FF9933"/>
              </a:solidFill>
              <a:ln w="9525">
                <a:solidFill>
                  <a:srgbClr val="000000"/>
                </a:solidFill>
                <a:round/>
                <a:headEnd/>
                <a:tailEnd/>
              </a:ln>
            </xdr:spPr>
          </xdr:sp>
        </xdr:grpSp>
        <xdr:grpSp>
          <xdr:nvGrpSpPr>
            <xdr:cNvPr id="12386" name="Group 1250"/>
            <xdr:cNvGrpSpPr>
              <a:grpSpLocks/>
            </xdr:cNvGrpSpPr>
          </xdr:nvGrpSpPr>
          <xdr:grpSpPr bwMode="auto">
            <a:xfrm>
              <a:off x="3567235" y="4244487"/>
              <a:ext cx="324827" cy="317500"/>
              <a:chOff x="333" y="447"/>
              <a:chExt cx="34" cy="34"/>
            </a:xfrm>
          </xdr:grpSpPr>
          <xdr:sp macro="" textlink="">
            <xdr:nvSpPr>
              <xdr:cNvPr id="12673" name="Oval 1251"/>
              <xdr:cNvSpPr>
                <a:spLocks noChangeArrowheads="1"/>
              </xdr:cNvSpPr>
            </xdr:nvSpPr>
            <xdr:spPr bwMode="auto">
              <a:xfrm rot="-1760819">
                <a:off x="352" y="447"/>
                <a:ext cx="12" cy="27"/>
              </a:xfrm>
              <a:prstGeom prst="ellipse">
                <a:avLst/>
              </a:prstGeom>
              <a:solidFill>
                <a:srgbClr val="FFFFFF"/>
              </a:solidFill>
              <a:ln w="9525">
                <a:solidFill>
                  <a:srgbClr val="000000"/>
                </a:solidFill>
                <a:round/>
                <a:headEnd/>
                <a:tailEnd/>
              </a:ln>
            </xdr:spPr>
          </xdr:sp>
          <xdr:sp macro="" textlink="">
            <xdr:nvSpPr>
              <xdr:cNvPr id="12674" name="Oval 1252"/>
              <xdr:cNvSpPr>
                <a:spLocks noChangeArrowheads="1"/>
              </xdr:cNvSpPr>
            </xdr:nvSpPr>
            <xdr:spPr bwMode="auto">
              <a:xfrm rot="-1760819">
                <a:off x="348" y="456"/>
                <a:ext cx="7" cy="17"/>
              </a:xfrm>
              <a:prstGeom prst="ellipse">
                <a:avLst/>
              </a:prstGeom>
              <a:solidFill>
                <a:srgbClr val="FFFFFF"/>
              </a:solidFill>
              <a:ln w="9525">
                <a:solidFill>
                  <a:srgbClr val="000000"/>
                </a:solidFill>
                <a:round/>
                <a:headEnd/>
                <a:tailEnd/>
              </a:ln>
            </xdr:spPr>
          </xdr:sp>
          <xdr:sp macro="" textlink="">
            <xdr:nvSpPr>
              <xdr:cNvPr id="12675" name="Freeform 1253"/>
              <xdr:cNvSpPr>
                <a:spLocks/>
              </xdr:cNvSpPr>
            </xdr:nvSpPr>
            <xdr:spPr bwMode="auto">
              <a:xfrm>
                <a:off x="345" y="448"/>
                <a:ext cx="22" cy="28"/>
              </a:xfrm>
              <a:custGeom>
                <a:avLst/>
                <a:gdLst>
                  <a:gd name="T0" fmla="*/ 0 w 22"/>
                  <a:gd name="T1" fmla="*/ 5 h 28"/>
                  <a:gd name="T2" fmla="*/ 8 w 22"/>
                  <a:gd name="T3" fmla="*/ 0 h 28"/>
                  <a:gd name="T4" fmla="*/ 10 w 22"/>
                  <a:gd name="T5" fmla="*/ 1 h 28"/>
                  <a:gd name="T6" fmla="*/ 12 w 22"/>
                  <a:gd name="T7" fmla="*/ 2 h 28"/>
                  <a:gd name="T8" fmla="*/ 15 w 22"/>
                  <a:gd name="T9" fmla="*/ 5 h 28"/>
                  <a:gd name="T10" fmla="*/ 18 w 22"/>
                  <a:gd name="T11" fmla="*/ 8 h 28"/>
                  <a:gd name="T12" fmla="*/ 20 w 22"/>
                  <a:gd name="T13" fmla="*/ 12 h 28"/>
                  <a:gd name="T14" fmla="*/ 21 w 22"/>
                  <a:gd name="T15" fmla="*/ 15 h 28"/>
                  <a:gd name="T16" fmla="*/ 22 w 22"/>
                  <a:gd name="T17" fmla="*/ 18 h 28"/>
                  <a:gd name="T18" fmla="*/ 22 w 22"/>
                  <a:gd name="T19" fmla="*/ 21 h 28"/>
                  <a:gd name="T20" fmla="*/ 21 w 22"/>
                  <a:gd name="T21" fmla="*/ 23 h 28"/>
                  <a:gd name="T22" fmla="*/ 19 w 22"/>
                  <a:gd name="T23" fmla="*/ 26 h 28"/>
                  <a:gd name="T24" fmla="*/ 14 w 22"/>
                  <a:gd name="T25" fmla="*/ 28 h 28"/>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
                  <a:gd name="T40" fmla="*/ 0 h 28"/>
                  <a:gd name="T41" fmla="*/ 22 w 22"/>
                  <a:gd name="T42" fmla="*/ 28 h 28"/>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 h="28">
                    <a:moveTo>
                      <a:pt x="0" y="5"/>
                    </a:moveTo>
                    <a:lnTo>
                      <a:pt x="8" y="0"/>
                    </a:lnTo>
                    <a:lnTo>
                      <a:pt x="10" y="1"/>
                    </a:lnTo>
                    <a:lnTo>
                      <a:pt x="12" y="2"/>
                    </a:lnTo>
                    <a:lnTo>
                      <a:pt x="15" y="5"/>
                    </a:lnTo>
                    <a:lnTo>
                      <a:pt x="18" y="8"/>
                    </a:lnTo>
                    <a:lnTo>
                      <a:pt x="20" y="12"/>
                    </a:lnTo>
                    <a:lnTo>
                      <a:pt x="21" y="15"/>
                    </a:lnTo>
                    <a:lnTo>
                      <a:pt x="22" y="18"/>
                    </a:lnTo>
                    <a:lnTo>
                      <a:pt x="22" y="21"/>
                    </a:lnTo>
                    <a:lnTo>
                      <a:pt x="21" y="23"/>
                    </a:lnTo>
                    <a:lnTo>
                      <a:pt x="19" y="26"/>
                    </a:lnTo>
                    <a:lnTo>
                      <a:pt x="14" y="28"/>
                    </a:lnTo>
                  </a:path>
                </a:pathLst>
              </a:custGeom>
              <a:solidFill>
                <a:srgbClr val="FFFF99"/>
              </a:solidFill>
              <a:ln w="9525">
                <a:solidFill>
                  <a:srgbClr val="000000"/>
                </a:solidFill>
                <a:round/>
                <a:headEnd/>
                <a:tailEnd/>
              </a:ln>
            </xdr:spPr>
          </xdr:sp>
          <xdr:sp macro="" textlink="">
            <xdr:nvSpPr>
              <xdr:cNvPr id="12676" name="Oval 1254"/>
              <xdr:cNvSpPr>
                <a:spLocks noChangeArrowheads="1"/>
              </xdr:cNvSpPr>
            </xdr:nvSpPr>
            <xdr:spPr bwMode="auto">
              <a:xfrm rot="-1760819">
                <a:off x="346" y="451"/>
                <a:ext cx="12" cy="27"/>
              </a:xfrm>
              <a:prstGeom prst="ellipse">
                <a:avLst/>
              </a:prstGeom>
              <a:solidFill>
                <a:srgbClr val="FFFF99"/>
              </a:solidFill>
              <a:ln w="9525">
                <a:solidFill>
                  <a:srgbClr val="000000"/>
                </a:solidFill>
                <a:round/>
                <a:headEnd/>
                <a:tailEnd/>
              </a:ln>
            </xdr:spPr>
          </xdr:sp>
          <xdr:sp macro="" textlink="">
            <xdr:nvSpPr>
              <xdr:cNvPr id="12677" name="Freeform 1255"/>
              <xdr:cNvSpPr>
                <a:spLocks/>
              </xdr:cNvSpPr>
            </xdr:nvSpPr>
            <xdr:spPr bwMode="auto">
              <a:xfrm>
                <a:off x="333" y="457"/>
                <a:ext cx="24" cy="23"/>
              </a:xfrm>
              <a:custGeom>
                <a:avLst/>
                <a:gdLst>
                  <a:gd name="T0" fmla="*/ 0 w 24"/>
                  <a:gd name="T1" fmla="*/ 8 h 23"/>
                  <a:gd name="T2" fmla="*/ 8 w 24"/>
                  <a:gd name="T3" fmla="*/ 4 h 23"/>
                  <a:gd name="T4" fmla="*/ 15 w 24"/>
                  <a:gd name="T5" fmla="*/ 0 h 23"/>
                  <a:gd name="T6" fmla="*/ 18 w 24"/>
                  <a:gd name="T7" fmla="*/ 1 h 23"/>
                  <a:gd name="T8" fmla="*/ 20 w 24"/>
                  <a:gd name="T9" fmla="*/ 3 h 23"/>
                  <a:gd name="T10" fmla="*/ 22 w 24"/>
                  <a:gd name="T11" fmla="*/ 5 h 23"/>
                  <a:gd name="T12" fmla="*/ 23 w 24"/>
                  <a:gd name="T13" fmla="*/ 8 h 23"/>
                  <a:gd name="T14" fmla="*/ 24 w 24"/>
                  <a:gd name="T15" fmla="*/ 10 h 23"/>
                  <a:gd name="T16" fmla="*/ 24 w 24"/>
                  <a:gd name="T17" fmla="*/ 13 h 23"/>
                  <a:gd name="T18" fmla="*/ 23 w 24"/>
                  <a:gd name="T19" fmla="*/ 15 h 23"/>
                  <a:gd name="T20" fmla="*/ 20 w 24"/>
                  <a:gd name="T21" fmla="*/ 17 h 23"/>
                  <a:gd name="T22" fmla="*/ 16 w 24"/>
                  <a:gd name="T23" fmla="*/ 19 h 23"/>
                  <a:gd name="T24" fmla="*/ 9 w 24"/>
                  <a:gd name="T25" fmla="*/ 23 h 23"/>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4"/>
                  <a:gd name="T40" fmla="*/ 0 h 23"/>
                  <a:gd name="T41" fmla="*/ 24 w 24"/>
                  <a:gd name="T42" fmla="*/ 23 h 23"/>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4" h="23">
                    <a:moveTo>
                      <a:pt x="0" y="8"/>
                    </a:moveTo>
                    <a:lnTo>
                      <a:pt x="8" y="4"/>
                    </a:lnTo>
                    <a:lnTo>
                      <a:pt x="15" y="0"/>
                    </a:lnTo>
                    <a:lnTo>
                      <a:pt x="18" y="1"/>
                    </a:lnTo>
                    <a:lnTo>
                      <a:pt x="20" y="3"/>
                    </a:lnTo>
                    <a:lnTo>
                      <a:pt x="22" y="5"/>
                    </a:lnTo>
                    <a:lnTo>
                      <a:pt x="23" y="8"/>
                    </a:lnTo>
                    <a:lnTo>
                      <a:pt x="24" y="10"/>
                    </a:lnTo>
                    <a:lnTo>
                      <a:pt x="24" y="13"/>
                    </a:lnTo>
                    <a:lnTo>
                      <a:pt x="23" y="15"/>
                    </a:lnTo>
                    <a:lnTo>
                      <a:pt x="20" y="17"/>
                    </a:lnTo>
                    <a:lnTo>
                      <a:pt x="16" y="19"/>
                    </a:lnTo>
                    <a:lnTo>
                      <a:pt x="9" y="23"/>
                    </a:lnTo>
                  </a:path>
                </a:pathLst>
              </a:custGeom>
              <a:solidFill>
                <a:srgbClr val="FF9933"/>
              </a:solidFill>
              <a:ln w="9525">
                <a:solidFill>
                  <a:srgbClr val="000000"/>
                </a:solidFill>
                <a:round/>
                <a:headEnd/>
                <a:tailEnd/>
              </a:ln>
            </xdr:spPr>
          </xdr:sp>
          <xdr:sp macro="" textlink="">
            <xdr:nvSpPr>
              <xdr:cNvPr id="12678" name="Oval 1256"/>
              <xdr:cNvSpPr>
                <a:spLocks noChangeArrowheads="1"/>
              </xdr:cNvSpPr>
            </xdr:nvSpPr>
            <xdr:spPr bwMode="auto">
              <a:xfrm rot="-1760819">
                <a:off x="334" y="464"/>
                <a:ext cx="7" cy="17"/>
              </a:xfrm>
              <a:prstGeom prst="ellipse">
                <a:avLst/>
              </a:prstGeom>
              <a:solidFill>
                <a:srgbClr val="FF9933"/>
              </a:solidFill>
              <a:ln w="9525">
                <a:solidFill>
                  <a:srgbClr val="000000"/>
                </a:solidFill>
                <a:round/>
                <a:headEnd/>
                <a:tailEnd/>
              </a:ln>
            </xdr:spPr>
          </xdr:sp>
        </xdr:grpSp>
        <xdr:sp macro="" textlink="">
          <xdr:nvSpPr>
            <xdr:cNvPr id="12387" name="Line 1257"/>
            <xdr:cNvSpPr>
              <a:spLocks noChangeShapeType="1"/>
            </xdr:cNvSpPr>
          </xdr:nvSpPr>
          <xdr:spPr bwMode="auto">
            <a:xfrm>
              <a:off x="3433885" y="4609612"/>
              <a:ext cx="171450" cy="0"/>
            </a:xfrm>
            <a:prstGeom prst="line">
              <a:avLst/>
            </a:prstGeom>
            <a:noFill/>
            <a:ln w="38100">
              <a:solidFill>
                <a:srgbClr val="000000"/>
              </a:solidFill>
              <a:round/>
              <a:headEnd/>
              <a:tailEnd/>
            </a:ln>
          </xdr:spPr>
        </xdr:sp>
        <xdr:sp macro="" textlink="">
          <xdr:nvSpPr>
            <xdr:cNvPr id="12388" name="Line 1258"/>
            <xdr:cNvSpPr>
              <a:spLocks noChangeShapeType="1"/>
            </xdr:cNvSpPr>
          </xdr:nvSpPr>
          <xdr:spPr bwMode="auto">
            <a:xfrm>
              <a:off x="3329110" y="1088537"/>
              <a:ext cx="4426438" cy="2193925"/>
            </a:xfrm>
            <a:prstGeom prst="line">
              <a:avLst/>
            </a:prstGeom>
            <a:noFill/>
            <a:ln w="25400">
              <a:solidFill>
                <a:srgbClr val="000000"/>
              </a:solidFill>
              <a:prstDash val="lgDashDotDot"/>
              <a:round/>
              <a:headEnd/>
              <a:tailEnd/>
            </a:ln>
          </xdr:spPr>
        </xdr:sp>
        <xdr:sp macro="" textlink="">
          <xdr:nvSpPr>
            <xdr:cNvPr id="12389" name="Line 1259"/>
            <xdr:cNvSpPr>
              <a:spLocks noChangeShapeType="1"/>
            </xdr:cNvSpPr>
          </xdr:nvSpPr>
          <xdr:spPr bwMode="auto">
            <a:xfrm>
              <a:off x="3329110" y="1098062"/>
              <a:ext cx="0" cy="511175"/>
            </a:xfrm>
            <a:prstGeom prst="line">
              <a:avLst/>
            </a:prstGeom>
            <a:noFill/>
            <a:ln w="25400">
              <a:solidFill>
                <a:srgbClr val="000000"/>
              </a:solidFill>
              <a:round/>
              <a:headEnd/>
              <a:tailEnd type="triangle" w="lg" len="lg"/>
            </a:ln>
          </xdr:spPr>
        </xdr:sp>
        <xdr:sp macro="" textlink="">
          <xdr:nvSpPr>
            <xdr:cNvPr id="12390" name="Line 1260"/>
            <xdr:cNvSpPr>
              <a:spLocks noChangeShapeType="1"/>
            </xdr:cNvSpPr>
          </xdr:nvSpPr>
          <xdr:spPr bwMode="auto">
            <a:xfrm>
              <a:off x="7765073" y="3282462"/>
              <a:ext cx="0" cy="514350"/>
            </a:xfrm>
            <a:prstGeom prst="line">
              <a:avLst/>
            </a:prstGeom>
            <a:noFill/>
            <a:ln w="25400">
              <a:solidFill>
                <a:srgbClr val="000000"/>
              </a:solidFill>
              <a:round/>
              <a:headEnd/>
              <a:tailEnd type="triangle" w="lg" len="lg"/>
            </a:ln>
          </xdr:spPr>
        </xdr:sp>
        <xdr:sp macro="" textlink="">
          <xdr:nvSpPr>
            <xdr:cNvPr id="137453" name="Text Box 1261"/>
            <xdr:cNvSpPr txBox="1">
              <a:spLocks noChangeArrowheads="1"/>
            </xdr:cNvSpPr>
          </xdr:nvSpPr>
          <xdr:spPr bwMode="auto">
            <a:xfrm>
              <a:off x="7469798" y="3841262"/>
              <a:ext cx="610577" cy="412750"/>
            </a:xfrm>
            <a:prstGeom prst="rect">
              <a:avLst/>
            </a:prstGeom>
            <a:noFill/>
            <a:ln>
              <a:noFill/>
            </a:ln>
            <a:extLst/>
          </xdr:spPr>
          <xdr:txBody>
            <a:bodyPr vertOverflow="clip" wrap="square" lIns="54864" tIns="41148" rIns="54864" bIns="0" anchor="t" upright="1"/>
            <a:lstStyle/>
            <a:p>
              <a:pPr algn="ctr" rtl="0">
                <a:defRPr sz="1000"/>
              </a:pPr>
              <a:r>
                <a:rPr lang="en-US" sz="2400" b="1" i="0" u="none" strike="noStrike" baseline="0">
                  <a:solidFill>
                    <a:srgbClr val="000000"/>
                  </a:solidFill>
                  <a:latin typeface="Arial"/>
                  <a:cs typeface="Arial"/>
                </a:rPr>
                <a:t>A</a:t>
              </a:r>
            </a:p>
          </xdr:txBody>
        </xdr:sp>
        <xdr:sp macro="" textlink="">
          <xdr:nvSpPr>
            <xdr:cNvPr id="137454" name="Text Box 1262"/>
            <xdr:cNvSpPr txBox="1">
              <a:spLocks noChangeArrowheads="1"/>
            </xdr:cNvSpPr>
          </xdr:nvSpPr>
          <xdr:spPr bwMode="auto">
            <a:xfrm>
              <a:off x="3032858" y="1637812"/>
              <a:ext cx="610577" cy="412750"/>
            </a:xfrm>
            <a:prstGeom prst="rect">
              <a:avLst/>
            </a:prstGeom>
            <a:noFill/>
            <a:ln>
              <a:noFill/>
            </a:ln>
            <a:extLst/>
          </xdr:spPr>
          <xdr:txBody>
            <a:bodyPr vertOverflow="clip" wrap="square" lIns="54864" tIns="41148" rIns="54864" bIns="0" anchor="t" upright="1"/>
            <a:lstStyle/>
            <a:p>
              <a:pPr algn="ctr" rtl="0">
                <a:defRPr sz="1000"/>
              </a:pPr>
              <a:r>
                <a:rPr lang="en-US" sz="2400" b="1" i="0" u="none" strike="noStrike" baseline="0">
                  <a:solidFill>
                    <a:srgbClr val="000000"/>
                  </a:solidFill>
                  <a:latin typeface="Arial"/>
                  <a:cs typeface="Arial"/>
                </a:rPr>
                <a:t>A</a:t>
              </a:r>
            </a:p>
          </xdr:txBody>
        </xdr:sp>
        <xdr:sp macro="" textlink="">
          <xdr:nvSpPr>
            <xdr:cNvPr id="137455" name="Text Box 1263"/>
            <xdr:cNvSpPr txBox="1">
              <a:spLocks noChangeArrowheads="1"/>
            </xdr:cNvSpPr>
          </xdr:nvSpPr>
          <xdr:spPr bwMode="auto">
            <a:xfrm>
              <a:off x="1468804" y="7943362"/>
              <a:ext cx="1974606" cy="381000"/>
            </a:xfrm>
            <a:prstGeom prst="rect">
              <a:avLst/>
            </a:prstGeom>
            <a:solidFill>
              <a:srgbClr val="FFFFFF"/>
            </a:solidFill>
            <a:ln>
              <a:noFill/>
            </a:ln>
            <a:extLst/>
          </xdr:spPr>
          <xdr:txBody>
            <a:bodyPr vertOverflow="clip" wrap="square" lIns="45720" tIns="41148" rIns="45720" bIns="0" anchor="t" upright="1"/>
            <a:lstStyle/>
            <a:p>
              <a:pPr algn="ctr" rtl="0">
                <a:defRPr sz="1000"/>
              </a:pPr>
              <a:r>
                <a:rPr lang="en-US" sz="2200" b="1" i="0" u="none" strike="noStrike" baseline="0">
                  <a:solidFill>
                    <a:srgbClr val="000000"/>
                  </a:solidFill>
                  <a:latin typeface="Arial"/>
                  <a:cs typeface="Arial"/>
                </a:rPr>
                <a:t>Section A-A</a:t>
              </a:r>
            </a:p>
          </xdr:txBody>
        </xdr:sp>
        <xdr:sp macro="" textlink="">
          <xdr:nvSpPr>
            <xdr:cNvPr id="137456" name="Text Box 1264"/>
            <xdr:cNvSpPr txBox="1">
              <a:spLocks noChangeArrowheads="1"/>
            </xdr:cNvSpPr>
          </xdr:nvSpPr>
          <xdr:spPr bwMode="auto">
            <a:xfrm>
              <a:off x="6763971" y="7933837"/>
              <a:ext cx="1974606" cy="381000"/>
            </a:xfrm>
            <a:prstGeom prst="rect">
              <a:avLst/>
            </a:prstGeom>
            <a:solidFill>
              <a:srgbClr val="FFFFFF"/>
            </a:solidFill>
            <a:ln>
              <a:noFill/>
            </a:ln>
            <a:extLst/>
          </xdr:spPr>
          <xdr:txBody>
            <a:bodyPr vertOverflow="clip" wrap="square" lIns="45720" tIns="41148" rIns="45720" bIns="0" anchor="t" upright="1"/>
            <a:lstStyle/>
            <a:p>
              <a:pPr algn="ctr" rtl="0">
                <a:defRPr sz="1000"/>
              </a:pPr>
              <a:r>
                <a:rPr lang="en-US" sz="2200" b="1" i="0" u="none" strike="noStrike" baseline="0">
                  <a:solidFill>
                    <a:srgbClr val="000000"/>
                  </a:solidFill>
                  <a:latin typeface="Arial"/>
                  <a:cs typeface="Arial"/>
                </a:rPr>
                <a:t>Section B-B</a:t>
              </a:r>
            </a:p>
          </xdr:txBody>
        </xdr:sp>
        <xdr:sp macro="" textlink="">
          <xdr:nvSpPr>
            <xdr:cNvPr id="12395" name="Line 1265"/>
            <xdr:cNvSpPr>
              <a:spLocks noChangeShapeType="1"/>
            </xdr:cNvSpPr>
          </xdr:nvSpPr>
          <xdr:spPr bwMode="auto">
            <a:xfrm>
              <a:off x="9091002" y="6832112"/>
              <a:ext cx="0" cy="260350"/>
            </a:xfrm>
            <a:prstGeom prst="line">
              <a:avLst/>
            </a:prstGeom>
            <a:noFill/>
            <a:ln w="9525">
              <a:solidFill>
                <a:srgbClr val="000000"/>
              </a:solidFill>
              <a:round/>
              <a:headEnd/>
              <a:tailEnd/>
            </a:ln>
          </xdr:spPr>
        </xdr:sp>
        <xdr:sp macro="" textlink="">
          <xdr:nvSpPr>
            <xdr:cNvPr id="12396" name="Line 1266"/>
            <xdr:cNvSpPr>
              <a:spLocks noChangeShapeType="1"/>
            </xdr:cNvSpPr>
          </xdr:nvSpPr>
          <xdr:spPr bwMode="auto">
            <a:xfrm rot="-5400000">
              <a:off x="9260254" y="7190887"/>
              <a:ext cx="196850" cy="0"/>
            </a:xfrm>
            <a:prstGeom prst="line">
              <a:avLst/>
            </a:prstGeom>
            <a:noFill/>
            <a:ln w="9525">
              <a:solidFill>
                <a:srgbClr val="000000"/>
              </a:solidFill>
              <a:prstDash val="sysDot"/>
              <a:round/>
              <a:headEnd/>
              <a:tailEnd/>
            </a:ln>
          </xdr:spPr>
        </xdr:sp>
        <xdr:sp macro="" textlink="">
          <xdr:nvSpPr>
            <xdr:cNvPr id="137459" name="Text Box 1267"/>
            <xdr:cNvSpPr txBox="1">
              <a:spLocks noChangeArrowheads="1"/>
            </xdr:cNvSpPr>
          </xdr:nvSpPr>
          <xdr:spPr bwMode="auto">
            <a:xfrm>
              <a:off x="3138610" y="3393587"/>
              <a:ext cx="610577" cy="412750"/>
            </a:xfrm>
            <a:prstGeom prst="rect">
              <a:avLst/>
            </a:prstGeom>
            <a:noFill/>
            <a:ln>
              <a:noFill/>
            </a:ln>
            <a:extLst/>
          </xdr:spPr>
          <xdr:txBody>
            <a:bodyPr vertOverflow="clip" wrap="square" lIns="54864" tIns="41148" rIns="54864" bIns="0" anchor="t" upright="1"/>
            <a:lstStyle/>
            <a:p>
              <a:pPr algn="ctr" rtl="0">
                <a:defRPr sz="1000"/>
              </a:pPr>
              <a:r>
                <a:rPr lang="en-US" sz="2400" b="1" i="0" u="none" strike="noStrike" baseline="0">
                  <a:solidFill>
                    <a:srgbClr val="000000"/>
                  </a:solidFill>
                  <a:latin typeface="Arial"/>
                  <a:cs typeface="Arial"/>
                </a:rPr>
                <a:t>B</a:t>
              </a:r>
            </a:p>
          </xdr:txBody>
        </xdr:sp>
        <xdr:sp macro="" textlink="">
          <xdr:nvSpPr>
            <xdr:cNvPr id="12398" name="Line 1268"/>
            <xdr:cNvSpPr>
              <a:spLocks noChangeShapeType="1"/>
            </xdr:cNvSpPr>
          </xdr:nvSpPr>
          <xdr:spPr bwMode="auto">
            <a:xfrm>
              <a:off x="7526948" y="516060"/>
              <a:ext cx="0" cy="477227"/>
            </a:xfrm>
            <a:prstGeom prst="line">
              <a:avLst/>
            </a:prstGeom>
            <a:noFill/>
            <a:ln w="25400">
              <a:solidFill>
                <a:srgbClr val="000000"/>
              </a:solidFill>
              <a:round/>
              <a:headEnd/>
              <a:tailEnd type="triangle" w="lg" len="lg"/>
            </a:ln>
          </xdr:spPr>
        </xdr:sp>
        <xdr:sp macro="" textlink="">
          <xdr:nvSpPr>
            <xdr:cNvPr id="137461" name="Text Box 1269"/>
            <xdr:cNvSpPr txBox="1">
              <a:spLocks noChangeArrowheads="1"/>
            </xdr:cNvSpPr>
          </xdr:nvSpPr>
          <xdr:spPr bwMode="auto">
            <a:xfrm>
              <a:off x="7221171" y="1012337"/>
              <a:ext cx="610577" cy="412750"/>
            </a:xfrm>
            <a:prstGeom prst="rect">
              <a:avLst/>
            </a:prstGeom>
            <a:noFill/>
            <a:ln>
              <a:noFill/>
            </a:ln>
            <a:extLst/>
          </xdr:spPr>
          <xdr:txBody>
            <a:bodyPr vertOverflow="clip" wrap="square" lIns="54864" tIns="41148" rIns="54864" bIns="0" anchor="t" upright="1"/>
            <a:lstStyle/>
            <a:p>
              <a:pPr algn="ctr" rtl="0">
                <a:defRPr sz="1000"/>
              </a:pPr>
              <a:r>
                <a:rPr lang="en-US" sz="2400" b="1" i="0" u="none" strike="noStrike" baseline="0">
                  <a:solidFill>
                    <a:srgbClr val="000000"/>
                  </a:solidFill>
                  <a:latin typeface="Arial"/>
                  <a:cs typeface="Arial"/>
                </a:rPr>
                <a:t>B</a:t>
              </a:r>
            </a:p>
          </xdr:txBody>
        </xdr:sp>
        <xdr:sp macro="" textlink="">
          <xdr:nvSpPr>
            <xdr:cNvPr id="137462" name="AutoShape 1270"/>
            <xdr:cNvSpPr>
              <a:spLocks/>
            </xdr:cNvSpPr>
          </xdr:nvSpPr>
          <xdr:spPr bwMode="auto">
            <a:xfrm>
              <a:off x="180975" y="5111262"/>
              <a:ext cx="1717431" cy="962025"/>
            </a:xfrm>
            <a:prstGeom prst="accentCallout1">
              <a:avLst>
                <a:gd name="adj1" fmla="val 11653"/>
                <a:gd name="adj2" fmla="val 104444"/>
                <a:gd name="adj3" fmla="val -137866"/>
                <a:gd name="adj4" fmla="val 155000"/>
              </a:avLst>
            </a:prstGeom>
            <a:solidFill>
              <a:srgbClr val="FFFFFF"/>
            </a:solidFill>
            <a:ln w="19050">
              <a:solidFill>
                <a:srgbClr val="000000"/>
              </a:solidFill>
              <a:miter lim="800000"/>
              <a:headEnd/>
              <a:tailEnd/>
            </a:ln>
          </xdr:spPr>
          <xdr:txBody>
            <a:bodyPr vertOverflow="clip" wrap="square" lIns="45720" tIns="41148" rIns="0" bIns="0" anchor="t" upright="1"/>
            <a:lstStyle/>
            <a:p>
              <a:pPr algn="l" rtl="0">
                <a:defRPr sz="1000"/>
              </a:pPr>
              <a:r>
                <a:rPr lang="en-US" sz="2000" b="1" i="0" u="none" strike="noStrike" baseline="0">
                  <a:solidFill>
                    <a:srgbClr val="000000"/>
                  </a:solidFill>
                  <a:latin typeface="Arial"/>
                  <a:cs typeface="Arial"/>
                </a:rPr>
                <a:t>Pack Cover Attached to Module Tray</a:t>
              </a:r>
            </a:p>
          </xdr:txBody>
        </xdr:sp>
        <xdr:sp macro="" textlink="">
          <xdr:nvSpPr>
            <xdr:cNvPr id="137463" name="AutoShape 1271"/>
            <xdr:cNvSpPr>
              <a:spLocks/>
            </xdr:cNvSpPr>
          </xdr:nvSpPr>
          <xdr:spPr bwMode="auto">
            <a:xfrm>
              <a:off x="6131169" y="5206512"/>
              <a:ext cx="2346081" cy="736600"/>
            </a:xfrm>
            <a:prstGeom prst="accentCallout1">
              <a:avLst>
                <a:gd name="adj1" fmla="val 15190"/>
                <a:gd name="adj2" fmla="val 103250"/>
                <a:gd name="adj3" fmla="val 176943"/>
                <a:gd name="adj4" fmla="val 114164"/>
              </a:avLst>
            </a:prstGeom>
            <a:solidFill>
              <a:srgbClr val="FFFFFF"/>
            </a:solidFill>
            <a:ln w="19050">
              <a:solidFill>
                <a:srgbClr val="000000"/>
              </a:solidFill>
              <a:miter lim="800000"/>
              <a:headEnd/>
              <a:tailEnd/>
            </a:ln>
          </xdr:spPr>
          <xdr:txBody>
            <a:bodyPr vertOverflow="clip" wrap="square" lIns="45720" tIns="41148" rIns="0" bIns="0" anchor="t" upright="1"/>
            <a:lstStyle/>
            <a:p>
              <a:pPr algn="l" rtl="0">
                <a:defRPr sz="1000"/>
              </a:pPr>
              <a:r>
                <a:rPr lang="en-US" sz="2000" b="1" i="0" u="none" strike="noStrike" baseline="0">
                  <a:solidFill>
                    <a:srgbClr val="000000"/>
                  </a:solidFill>
                  <a:latin typeface="Arial"/>
                  <a:cs typeface="Arial"/>
                </a:rPr>
                <a:t>Compression Plate and Straps</a:t>
              </a:r>
            </a:p>
          </xdr:txBody>
        </xdr:sp>
        <xdr:sp macro="" textlink="">
          <xdr:nvSpPr>
            <xdr:cNvPr id="12402" name="Line 1272"/>
            <xdr:cNvSpPr>
              <a:spLocks noChangeShapeType="1"/>
            </xdr:cNvSpPr>
          </xdr:nvSpPr>
          <xdr:spPr bwMode="auto">
            <a:xfrm>
              <a:off x="8560288" y="5360865"/>
              <a:ext cx="826966" cy="1312497"/>
            </a:xfrm>
            <a:prstGeom prst="line">
              <a:avLst/>
            </a:prstGeom>
            <a:noFill/>
            <a:ln w="19050">
              <a:solidFill>
                <a:srgbClr val="000000"/>
              </a:solidFill>
              <a:round/>
              <a:headEnd/>
              <a:tailEnd/>
            </a:ln>
          </xdr:spPr>
        </xdr:sp>
        <xdr:sp macro="" textlink="">
          <xdr:nvSpPr>
            <xdr:cNvPr id="137465" name="AutoShape 1273"/>
            <xdr:cNvSpPr>
              <a:spLocks/>
            </xdr:cNvSpPr>
          </xdr:nvSpPr>
          <xdr:spPr bwMode="auto">
            <a:xfrm>
              <a:off x="943952" y="1440962"/>
              <a:ext cx="1240204" cy="628650"/>
            </a:xfrm>
            <a:prstGeom prst="accentCallout1">
              <a:avLst>
                <a:gd name="adj1" fmla="val 17912"/>
                <a:gd name="adj2" fmla="val 106153"/>
                <a:gd name="adj3" fmla="val 210449"/>
                <a:gd name="adj4" fmla="val 237694"/>
              </a:avLst>
            </a:prstGeom>
            <a:solidFill>
              <a:srgbClr val="FFFFFF"/>
            </a:solidFill>
            <a:ln w="19050">
              <a:solidFill>
                <a:srgbClr val="000000"/>
              </a:solidFill>
              <a:miter lim="800000"/>
              <a:headEnd/>
              <a:tailEnd/>
            </a:ln>
          </xdr:spPr>
          <xdr:txBody>
            <a:bodyPr vertOverflow="clip" wrap="square" lIns="45720" tIns="41148" rIns="45720" bIns="0" anchor="t" upright="1"/>
            <a:lstStyle/>
            <a:p>
              <a:pPr algn="ctr" rtl="0">
                <a:defRPr sz="1000"/>
              </a:pPr>
              <a:r>
                <a:rPr lang="en-US" sz="2000" b="1" i="0" u="none" strike="noStrike" baseline="0">
                  <a:solidFill>
                    <a:srgbClr val="000000"/>
                  </a:solidFill>
                  <a:latin typeface="Arial"/>
                  <a:cs typeface="Arial"/>
                </a:rPr>
                <a:t>Coolant  Outlet</a:t>
              </a:r>
            </a:p>
          </xdr:txBody>
        </xdr:sp>
        <xdr:sp macro="" textlink="">
          <xdr:nvSpPr>
            <xdr:cNvPr id="137466" name="AutoShape 1274"/>
            <xdr:cNvSpPr>
              <a:spLocks/>
            </xdr:cNvSpPr>
          </xdr:nvSpPr>
          <xdr:spPr bwMode="auto">
            <a:xfrm>
              <a:off x="4158762" y="7924312"/>
              <a:ext cx="1230678" cy="625475"/>
            </a:xfrm>
            <a:prstGeom prst="accentCallout1">
              <a:avLst>
                <a:gd name="adj1" fmla="val 17912"/>
                <a:gd name="adj2" fmla="val 106204"/>
                <a:gd name="adj3" fmla="val -10449"/>
                <a:gd name="adj4" fmla="val 133333"/>
              </a:avLst>
            </a:prstGeom>
            <a:solidFill>
              <a:srgbClr val="FFFFFF"/>
            </a:solidFill>
            <a:ln w="19050">
              <a:solidFill>
                <a:srgbClr val="000000"/>
              </a:solidFill>
              <a:miter lim="800000"/>
              <a:headEnd/>
              <a:tailEnd/>
            </a:ln>
          </xdr:spPr>
          <xdr:txBody>
            <a:bodyPr vertOverflow="clip" wrap="square" lIns="45720" tIns="41148" rIns="45720" bIns="0" anchor="t" upright="1"/>
            <a:lstStyle/>
            <a:p>
              <a:pPr algn="ctr" rtl="0">
                <a:defRPr sz="1000"/>
              </a:pPr>
              <a:r>
                <a:rPr lang="en-US" sz="2000" b="1" i="0" u="none" strike="noStrike" baseline="0">
                  <a:solidFill>
                    <a:srgbClr val="000000"/>
                  </a:solidFill>
                  <a:latin typeface="Arial"/>
                  <a:cs typeface="Arial"/>
                </a:rPr>
                <a:t>Coolant Inlet</a:t>
              </a:r>
            </a:p>
          </xdr:txBody>
        </xdr:sp>
        <xdr:grpSp>
          <xdr:nvGrpSpPr>
            <xdr:cNvPr id="12405" name="Group 1275"/>
            <xdr:cNvGrpSpPr>
              <a:grpSpLocks/>
            </xdr:cNvGrpSpPr>
          </xdr:nvGrpSpPr>
          <xdr:grpSpPr bwMode="auto">
            <a:xfrm>
              <a:off x="3110035" y="4076212"/>
              <a:ext cx="171450" cy="158750"/>
              <a:chOff x="295" y="443"/>
              <a:chExt cx="18" cy="17"/>
            </a:xfrm>
          </xdr:grpSpPr>
          <xdr:sp macro="" textlink="">
            <xdr:nvSpPr>
              <xdr:cNvPr id="12671" name="Line 1276"/>
              <xdr:cNvSpPr>
                <a:spLocks noChangeShapeType="1"/>
              </xdr:cNvSpPr>
            </xdr:nvSpPr>
            <xdr:spPr bwMode="auto">
              <a:xfrm>
                <a:off x="304" y="443"/>
                <a:ext cx="0" cy="17"/>
              </a:xfrm>
              <a:prstGeom prst="line">
                <a:avLst/>
              </a:prstGeom>
              <a:noFill/>
              <a:ln w="38100">
                <a:solidFill>
                  <a:srgbClr val="000000"/>
                </a:solidFill>
                <a:round/>
                <a:headEnd/>
                <a:tailEnd/>
              </a:ln>
            </xdr:spPr>
          </xdr:sp>
          <xdr:sp macro="" textlink="">
            <xdr:nvSpPr>
              <xdr:cNvPr id="12672" name="Line 1277"/>
              <xdr:cNvSpPr>
                <a:spLocks noChangeShapeType="1"/>
              </xdr:cNvSpPr>
            </xdr:nvSpPr>
            <xdr:spPr bwMode="auto">
              <a:xfrm>
                <a:off x="295" y="451"/>
                <a:ext cx="18" cy="0"/>
              </a:xfrm>
              <a:prstGeom prst="line">
                <a:avLst/>
              </a:prstGeom>
              <a:noFill/>
              <a:ln w="38100">
                <a:solidFill>
                  <a:srgbClr val="000000"/>
                </a:solidFill>
                <a:round/>
                <a:headEnd/>
                <a:tailEnd/>
              </a:ln>
            </xdr:spPr>
          </xdr:sp>
        </xdr:grpSp>
        <xdr:sp macro="" textlink="">
          <xdr:nvSpPr>
            <xdr:cNvPr id="12406" name="Line 1278"/>
            <xdr:cNvSpPr>
              <a:spLocks noChangeShapeType="1"/>
            </xdr:cNvSpPr>
          </xdr:nvSpPr>
          <xdr:spPr bwMode="auto">
            <a:xfrm>
              <a:off x="1978269" y="5250964"/>
              <a:ext cx="366346" cy="2393460"/>
            </a:xfrm>
            <a:prstGeom prst="line">
              <a:avLst/>
            </a:prstGeom>
            <a:noFill/>
            <a:ln w="19050">
              <a:solidFill>
                <a:srgbClr val="000000"/>
              </a:solidFill>
              <a:round/>
              <a:headEnd/>
              <a:tailEnd/>
            </a:ln>
          </xdr:spPr>
        </xdr:sp>
        <xdr:sp macro="" textlink="">
          <xdr:nvSpPr>
            <xdr:cNvPr id="137471" name="AutoShape 1279"/>
            <xdr:cNvSpPr>
              <a:spLocks/>
            </xdr:cNvSpPr>
          </xdr:nvSpPr>
          <xdr:spPr bwMode="auto">
            <a:xfrm>
              <a:off x="2709008" y="5562112"/>
              <a:ext cx="2041280" cy="746125"/>
            </a:xfrm>
            <a:prstGeom prst="accentCallout1">
              <a:avLst>
                <a:gd name="adj1" fmla="val 15000"/>
                <a:gd name="adj2" fmla="val -3736"/>
                <a:gd name="adj3" fmla="val 145000"/>
                <a:gd name="adj4" fmla="val -9815"/>
              </a:avLst>
            </a:prstGeom>
            <a:solidFill>
              <a:srgbClr val="FFFFFF"/>
            </a:solidFill>
            <a:ln w="19050">
              <a:solidFill>
                <a:srgbClr val="000000"/>
              </a:solidFill>
              <a:miter lim="800000"/>
              <a:headEnd/>
              <a:tailEnd/>
            </a:ln>
          </xdr:spPr>
          <xdr:txBody>
            <a:bodyPr vertOverflow="clip" wrap="square" lIns="45720" tIns="41148" rIns="0" bIns="0" anchor="t" upright="1"/>
            <a:lstStyle/>
            <a:p>
              <a:pPr algn="l" rtl="0">
                <a:defRPr sz="1000"/>
              </a:pPr>
              <a:r>
                <a:rPr lang="en-US" sz="2000" b="1" i="0" u="none" strike="noStrike" baseline="0">
                  <a:solidFill>
                    <a:srgbClr val="000000"/>
                  </a:solidFill>
                  <a:latin typeface="Arial"/>
                  <a:cs typeface="Arial"/>
                </a:rPr>
                <a:t>Polymer Foam to Block Flow</a:t>
              </a:r>
            </a:p>
          </xdr:txBody>
        </xdr:sp>
        <xdr:sp macro="" textlink="">
          <xdr:nvSpPr>
            <xdr:cNvPr id="12408" name="Freeform 1280"/>
            <xdr:cNvSpPr>
              <a:spLocks/>
            </xdr:cNvSpPr>
          </xdr:nvSpPr>
          <xdr:spPr bwMode="auto">
            <a:xfrm>
              <a:off x="2775683" y="2498237"/>
              <a:ext cx="2442307" cy="1279525"/>
            </a:xfrm>
            <a:custGeom>
              <a:avLst/>
              <a:gdLst>
                <a:gd name="T0" fmla="*/ 0 w 256"/>
                <a:gd name="T1" fmla="*/ 2147483647 h 137"/>
                <a:gd name="T2" fmla="*/ 2147483647 w 256"/>
                <a:gd name="T3" fmla="*/ 2147483647 h 137"/>
                <a:gd name="T4" fmla="*/ 2147483647 w 256"/>
                <a:gd name="T5" fmla="*/ 2147483647 h 137"/>
                <a:gd name="T6" fmla="*/ 2147483647 w 256"/>
                <a:gd name="T7" fmla="*/ 0 h 137"/>
                <a:gd name="T8" fmla="*/ 0 w 256"/>
                <a:gd name="T9" fmla="*/ 2147483647 h 137"/>
                <a:gd name="T10" fmla="*/ 0 60000 65536"/>
                <a:gd name="T11" fmla="*/ 0 60000 65536"/>
                <a:gd name="T12" fmla="*/ 0 60000 65536"/>
                <a:gd name="T13" fmla="*/ 0 60000 65536"/>
                <a:gd name="T14" fmla="*/ 0 60000 65536"/>
                <a:gd name="T15" fmla="*/ 0 w 256"/>
                <a:gd name="T16" fmla="*/ 0 h 137"/>
                <a:gd name="T17" fmla="*/ 256 w 256"/>
                <a:gd name="T18" fmla="*/ 137 h 137"/>
              </a:gdLst>
              <a:ahLst/>
              <a:cxnLst>
                <a:cxn ang="T10">
                  <a:pos x="T0" y="T1"/>
                </a:cxn>
                <a:cxn ang="T11">
                  <a:pos x="T2" y="T3"/>
                </a:cxn>
                <a:cxn ang="T12">
                  <a:pos x="T4" y="T5"/>
                </a:cxn>
                <a:cxn ang="T13">
                  <a:pos x="T6" y="T7"/>
                </a:cxn>
                <a:cxn ang="T14">
                  <a:pos x="T8" y="T9"/>
                </a:cxn>
              </a:cxnLst>
              <a:rect l="T15" t="T16" r="T17" b="T18"/>
              <a:pathLst>
                <a:path w="256" h="137">
                  <a:moveTo>
                    <a:pt x="0" y="16"/>
                  </a:moveTo>
                  <a:lnTo>
                    <a:pt x="231" y="137"/>
                  </a:lnTo>
                  <a:lnTo>
                    <a:pt x="256" y="122"/>
                  </a:lnTo>
                  <a:lnTo>
                    <a:pt x="28" y="0"/>
                  </a:lnTo>
                  <a:lnTo>
                    <a:pt x="0" y="16"/>
                  </a:lnTo>
                  <a:close/>
                </a:path>
              </a:pathLst>
            </a:custGeom>
            <a:solidFill>
              <a:srgbClr val="FFFFFF"/>
            </a:solidFill>
            <a:ln w="9525">
              <a:solidFill>
                <a:srgbClr val="000000"/>
              </a:solidFill>
              <a:round/>
              <a:headEnd/>
              <a:tailEnd/>
            </a:ln>
          </xdr:spPr>
        </xdr:sp>
        <xdr:sp macro="" textlink="">
          <xdr:nvSpPr>
            <xdr:cNvPr id="12409" name="Freeform 1281"/>
            <xdr:cNvSpPr>
              <a:spLocks/>
            </xdr:cNvSpPr>
          </xdr:nvSpPr>
          <xdr:spPr bwMode="auto">
            <a:xfrm>
              <a:off x="4979865" y="3523762"/>
              <a:ext cx="238125" cy="254000"/>
            </a:xfrm>
            <a:custGeom>
              <a:avLst/>
              <a:gdLst>
                <a:gd name="T0" fmla="*/ 0 w 25"/>
                <a:gd name="T1" fmla="*/ 2147483647 h 27"/>
                <a:gd name="T2" fmla="*/ 0 w 25"/>
                <a:gd name="T3" fmla="*/ 2147483647 h 27"/>
                <a:gd name="T4" fmla="*/ 0 w 25"/>
                <a:gd name="T5" fmla="*/ 2147483647 h 27"/>
                <a:gd name="T6" fmla="*/ 0 w 25"/>
                <a:gd name="T7" fmla="*/ 2147483647 h 27"/>
                <a:gd name="T8" fmla="*/ 2147483647 w 25"/>
                <a:gd name="T9" fmla="*/ 0 h 27"/>
                <a:gd name="T10" fmla="*/ 2147483647 w 25"/>
                <a:gd name="T11" fmla="*/ 2147483647 h 27"/>
                <a:gd name="T12" fmla="*/ 2147483647 w 25"/>
                <a:gd name="T13" fmla="*/ 2147483647 h 27"/>
                <a:gd name="T14" fmla="*/ 2147483647 w 25"/>
                <a:gd name="T15" fmla="*/ 2147483647 h 27"/>
                <a:gd name="T16" fmla="*/ 0 w 25"/>
                <a:gd name="T17" fmla="*/ 2147483647 h 27"/>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25"/>
                <a:gd name="T28" fmla="*/ 0 h 27"/>
                <a:gd name="T29" fmla="*/ 25 w 25"/>
                <a:gd name="T30" fmla="*/ 27 h 27"/>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25" h="27">
                  <a:moveTo>
                    <a:pt x="0" y="27"/>
                  </a:moveTo>
                  <a:lnTo>
                    <a:pt x="0" y="22"/>
                  </a:lnTo>
                  <a:lnTo>
                    <a:pt x="0" y="17"/>
                  </a:lnTo>
                  <a:lnTo>
                    <a:pt x="0" y="14"/>
                  </a:lnTo>
                  <a:lnTo>
                    <a:pt x="20" y="0"/>
                  </a:lnTo>
                  <a:lnTo>
                    <a:pt x="23" y="2"/>
                  </a:lnTo>
                  <a:lnTo>
                    <a:pt x="25" y="6"/>
                  </a:lnTo>
                  <a:lnTo>
                    <a:pt x="25" y="11"/>
                  </a:lnTo>
                  <a:lnTo>
                    <a:pt x="0" y="27"/>
                  </a:lnTo>
                  <a:close/>
                </a:path>
              </a:pathLst>
            </a:custGeom>
            <a:solidFill>
              <a:srgbClr val="CCFFCC"/>
            </a:solidFill>
            <a:ln w="9525">
              <a:solidFill>
                <a:srgbClr val="000000"/>
              </a:solidFill>
              <a:round/>
              <a:headEnd/>
              <a:tailEnd/>
            </a:ln>
          </xdr:spPr>
        </xdr:sp>
        <xdr:sp macro="" textlink="">
          <xdr:nvSpPr>
            <xdr:cNvPr id="12410" name="Freeform 1282"/>
            <xdr:cNvSpPr>
              <a:spLocks/>
            </xdr:cNvSpPr>
          </xdr:nvSpPr>
          <xdr:spPr bwMode="auto">
            <a:xfrm>
              <a:off x="2804259" y="2422037"/>
              <a:ext cx="2366107" cy="1225550"/>
            </a:xfrm>
            <a:custGeom>
              <a:avLst/>
              <a:gdLst>
                <a:gd name="T0" fmla="*/ 0 w 245"/>
                <a:gd name="T1" fmla="*/ 2147483647 h 131"/>
                <a:gd name="T2" fmla="*/ 2147483647 w 245"/>
                <a:gd name="T3" fmla="*/ 2147483647 h 131"/>
                <a:gd name="T4" fmla="*/ 2147483647 w 245"/>
                <a:gd name="T5" fmla="*/ 2147483647 h 131"/>
                <a:gd name="T6" fmla="*/ 2147483647 w 245"/>
                <a:gd name="T7" fmla="*/ 2147483647 h 131"/>
                <a:gd name="T8" fmla="*/ 2147483647 w 245"/>
                <a:gd name="T9" fmla="*/ 2147483647 h 131"/>
                <a:gd name="T10" fmla="*/ 2147483647 w 245"/>
                <a:gd name="T11" fmla="*/ 2147483647 h 131"/>
                <a:gd name="T12" fmla="*/ 2147483647 w 245"/>
                <a:gd name="T13" fmla="*/ 2147483647 h 131"/>
                <a:gd name="T14" fmla="*/ 2147483647 w 245"/>
                <a:gd name="T15" fmla="*/ 2147483647 h 131"/>
                <a:gd name="T16" fmla="*/ 2147483647 w 245"/>
                <a:gd name="T17" fmla="*/ 2147483647 h 131"/>
                <a:gd name="T18" fmla="*/ 2147483647 w 245"/>
                <a:gd name="T19" fmla="*/ 2147483647 h 131"/>
                <a:gd name="T20" fmla="*/ 2147483647 w 245"/>
                <a:gd name="T21" fmla="*/ 2147483647 h 131"/>
                <a:gd name="T22" fmla="*/ 2147483647 w 245"/>
                <a:gd name="T23" fmla="*/ 2147483647 h 131"/>
                <a:gd name="T24" fmla="*/ 2147483647 w 245"/>
                <a:gd name="T25" fmla="*/ 2147483647 h 131"/>
                <a:gd name="T26" fmla="*/ 2147483647 w 245"/>
                <a:gd name="T27" fmla="*/ 2147483647 h 131"/>
                <a:gd name="T28" fmla="*/ 2147483647 w 245"/>
                <a:gd name="T29" fmla="*/ 0 h 131"/>
                <a:gd name="T30" fmla="*/ 2147483647 w 245"/>
                <a:gd name="T31" fmla="*/ 0 h 131"/>
                <a:gd name="T32" fmla="*/ 2147483647 w 245"/>
                <a:gd name="T33" fmla="*/ 2147483647 h 131"/>
                <a:gd name="T34" fmla="*/ 2147483647 w 245"/>
                <a:gd name="T35" fmla="*/ 2147483647 h 131"/>
                <a:gd name="T36" fmla="*/ 0 w 245"/>
                <a:gd name="T37" fmla="*/ 2147483647 h 131"/>
                <a:gd name="T38" fmla="*/ 0 w 245"/>
                <a:gd name="T39" fmla="*/ 2147483647 h 131"/>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w 245"/>
                <a:gd name="T61" fmla="*/ 0 h 131"/>
                <a:gd name="T62" fmla="*/ 245 w 245"/>
                <a:gd name="T63" fmla="*/ 131 h 131"/>
              </a:gdLst>
              <a:ahLst/>
              <a:cxnLst>
                <a:cxn ang="T40">
                  <a:pos x="T0" y="T1"/>
                </a:cxn>
                <a:cxn ang="T41">
                  <a:pos x="T2" y="T3"/>
                </a:cxn>
                <a:cxn ang="T42">
                  <a:pos x="T4" y="T5"/>
                </a:cxn>
                <a:cxn ang="T43">
                  <a:pos x="T6" y="T7"/>
                </a:cxn>
                <a:cxn ang="T44">
                  <a:pos x="T8" y="T9"/>
                </a:cxn>
                <a:cxn ang="T45">
                  <a:pos x="T10" y="T11"/>
                </a:cxn>
                <a:cxn ang="T46">
                  <a:pos x="T12" y="T13"/>
                </a:cxn>
                <a:cxn ang="T47">
                  <a:pos x="T14" y="T15"/>
                </a:cxn>
                <a:cxn ang="T48">
                  <a:pos x="T16" y="T17"/>
                </a:cxn>
                <a:cxn ang="T49">
                  <a:pos x="T18" y="T19"/>
                </a:cxn>
                <a:cxn ang="T50">
                  <a:pos x="T20" y="T21"/>
                </a:cxn>
                <a:cxn ang="T51">
                  <a:pos x="T22" y="T23"/>
                </a:cxn>
                <a:cxn ang="T52">
                  <a:pos x="T24" y="T25"/>
                </a:cxn>
                <a:cxn ang="T53">
                  <a:pos x="T26" y="T27"/>
                </a:cxn>
                <a:cxn ang="T54">
                  <a:pos x="T28" y="T29"/>
                </a:cxn>
                <a:cxn ang="T55">
                  <a:pos x="T30" y="T31"/>
                </a:cxn>
                <a:cxn ang="T56">
                  <a:pos x="T32" y="T33"/>
                </a:cxn>
                <a:cxn ang="T57">
                  <a:pos x="T34" y="T35"/>
                </a:cxn>
                <a:cxn ang="T58">
                  <a:pos x="T36" y="T37"/>
                </a:cxn>
                <a:cxn ang="T59">
                  <a:pos x="T38" y="T39"/>
                </a:cxn>
              </a:cxnLst>
              <a:rect l="T60" t="T61" r="T62" b="T63"/>
              <a:pathLst>
                <a:path w="245" h="131">
                  <a:moveTo>
                    <a:pt x="0" y="13"/>
                  </a:moveTo>
                  <a:lnTo>
                    <a:pt x="4" y="15"/>
                  </a:lnTo>
                  <a:lnTo>
                    <a:pt x="218" y="128"/>
                  </a:lnTo>
                  <a:lnTo>
                    <a:pt x="220" y="129"/>
                  </a:lnTo>
                  <a:lnTo>
                    <a:pt x="226" y="131"/>
                  </a:lnTo>
                  <a:lnTo>
                    <a:pt x="230" y="130"/>
                  </a:lnTo>
                  <a:lnTo>
                    <a:pt x="235" y="127"/>
                  </a:lnTo>
                  <a:lnTo>
                    <a:pt x="239" y="125"/>
                  </a:lnTo>
                  <a:lnTo>
                    <a:pt x="243" y="121"/>
                  </a:lnTo>
                  <a:lnTo>
                    <a:pt x="245" y="119"/>
                  </a:lnTo>
                  <a:lnTo>
                    <a:pt x="244" y="116"/>
                  </a:lnTo>
                  <a:lnTo>
                    <a:pt x="241" y="113"/>
                  </a:lnTo>
                  <a:lnTo>
                    <a:pt x="31" y="4"/>
                  </a:lnTo>
                  <a:lnTo>
                    <a:pt x="25" y="1"/>
                  </a:lnTo>
                  <a:lnTo>
                    <a:pt x="21" y="0"/>
                  </a:lnTo>
                  <a:lnTo>
                    <a:pt x="16" y="0"/>
                  </a:lnTo>
                  <a:lnTo>
                    <a:pt x="9" y="4"/>
                  </a:lnTo>
                  <a:lnTo>
                    <a:pt x="3" y="8"/>
                  </a:lnTo>
                  <a:lnTo>
                    <a:pt x="0" y="11"/>
                  </a:lnTo>
                  <a:lnTo>
                    <a:pt x="0" y="13"/>
                  </a:lnTo>
                  <a:close/>
                </a:path>
              </a:pathLst>
            </a:custGeom>
            <a:solidFill>
              <a:srgbClr val="CCFFCC"/>
            </a:solidFill>
            <a:ln w="9525">
              <a:solidFill>
                <a:srgbClr val="000000"/>
              </a:solidFill>
              <a:round/>
              <a:headEnd/>
              <a:tailEnd/>
            </a:ln>
          </xdr:spPr>
        </xdr:sp>
        <xdr:sp macro="" textlink="">
          <xdr:nvSpPr>
            <xdr:cNvPr id="12411" name="Freeform 1283"/>
            <xdr:cNvSpPr>
              <a:spLocks/>
            </xdr:cNvSpPr>
          </xdr:nvSpPr>
          <xdr:spPr bwMode="auto">
            <a:xfrm>
              <a:off x="2785208" y="2545862"/>
              <a:ext cx="2194657" cy="1241425"/>
            </a:xfrm>
            <a:custGeom>
              <a:avLst/>
              <a:gdLst>
                <a:gd name="T0" fmla="*/ 2147483647 w 230"/>
                <a:gd name="T1" fmla="*/ 2147483647 h 133"/>
                <a:gd name="T2" fmla="*/ 0 w 230"/>
                <a:gd name="T3" fmla="*/ 2147483647 h 133"/>
                <a:gd name="T4" fmla="*/ 0 w 230"/>
                <a:gd name="T5" fmla="*/ 2147483647 h 133"/>
                <a:gd name="T6" fmla="*/ 2147483647 w 230"/>
                <a:gd name="T7" fmla="*/ 2147483647 h 133"/>
                <a:gd name="T8" fmla="*/ 2147483647 w 230"/>
                <a:gd name="T9" fmla="*/ 2147483647 h 133"/>
                <a:gd name="T10" fmla="*/ 2147483647 w 230"/>
                <a:gd name="T11" fmla="*/ 0 h 133"/>
                <a:gd name="T12" fmla="*/ 2147483647 w 230"/>
                <a:gd name="T13" fmla="*/ 2147483647 h 133"/>
                <a:gd name="T14" fmla="*/ 0 60000 65536"/>
                <a:gd name="T15" fmla="*/ 0 60000 65536"/>
                <a:gd name="T16" fmla="*/ 0 60000 65536"/>
                <a:gd name="T17" fmla="*/ 0 60000 65536"/>
                <a:gd name="T18" fmla="*/ 0 60000 65536"/>
                <a:gd name="T19" fmla="*/ 0 60000 65536"/>
                <a:gd name="T20" fmla="*/ 0 60000 65536"/>
                <a:gd name="T21" fmla="*/ 0 w 230"/>
                <a:gd name="T22" fmla="*/ 0 h 133"/>
                <a:gd name="T23" fmla="*/ 230 w 230"/>
                <a:gd name="T24" fmla="*/ 133 h 133"/>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230" h="133">
                  <a:moveTo>
                    <a:pt x="2" y="2"/>
                  </a:moveTo>
                  <a:lnTo>
                    <a:pt x="0" y="5"/>
                  </a:lnTo>
                  <a:lnTo>
                    <a:pt x="0" y="12"/>
                  </a:lnTo>
                  <a:lnTo>
                    <a:pt x="230" y="133"/>
                  </a:lnTo>
                  <a:lnTo>
                    <a:pt x="230" y="120"/>
                  </a:lnTo>
                  <a:lnTo>
                    <a:pt x="4" y="0"/>
                  </a:lnTo>
                  <a:lnTo>
                    <a:pt x="2" y="2"/>
                  </a:lnTo>
                  <a:close/>
                </a:path>
              </a:pathLst>
            </a:custGeom>
            <a:solidFill>
              <a:srgbClr val="CCFFCC"/>
            </a:solidFill>
            <a:ln w="28575" cmpd="sng">
              <a:solidFill>
                <a:srgbClr val="00FFFF"/>
              </a:solidFill>
              <a:round/>
              <a:headEnd/>
              <a:tailEnd/>
            </a:ln>
          </xdr:spPr>
        </xdr:sp>
        <xdr:sp macro="" textlink="">
          <xdr:nvSpPr>
            <xdr:cNvPr id="12412" name="Oval 1284"/>
            <xdr:cNvSpPr>
              <a:spLocks noChangeArrowheads="1"/>
            </xdr:cNvSpPr>
          </xdr:nvSpPr>
          <xdr:spPr bwMode="auto">
            <a:xfrm>
              <a:off x="3863487" y="2926862"/>
              <a:ext cx="276225" cy="196850"/>
            </a:xfrm>
            <a:prstGeom prst="ellipse">
              <a:avLst/>
            </a:prstGeom>
            <a:gradFill rotWithShape="1">
              <a:gsLst>
                <a:gs pos="0">
                  <a:srgbClr val="69FFFF"/>
                </a:gs>
                <a:gs pos="50000">
                  <a:srgbClr val="CCFFCC"/>
                </a:gs>
                <a:gs pos="100000">
                  <a:srgbClr val="69FFFF"/>
                </a:gs>
              </a:gsLst>
              <a:lin ang="0" scaled="1"/>
            </a:gradFill>
            <a:ln w="9525">
              <a:solidFill>
                <a:srgbClr val="000000"/>
              </a:solidFill>
              <a:round/>
              <a:headEnd/>
              <a:tailEnd/>
            </a:ln>
          </xdr:spPr>
        </xdr:sp>
        <xdr:sp macro="" textlink="">
          <xdr:nvSpPr>
            <xdr:cNvPr id="12413" name="Rectangle 1285"/>
            <xdr:cNvSpPr>
              <a:spLocks noChangeArrowheads="1"/>
            </xdr:cNvSpPr>
          </xdr:nvSpPr>
          <xdr:spPr bwMode="auto">
            <a:xfrm>
              <a:off x="3863487" y="2853837"/>
              <a:ext cx="276225" cy="174625"/>
            </a:xfrm>
            <a:prstGeom prst="rect">
              <a:avLst/>
            </a:prstGeom>
            <a:gradFill rotWithShape="1">
              <a:gsLst>
                <a:gs pos="0">
                  <a:srgbClr val="69FFFF"/>
                </a:gs>
                <a:gs pos="50000">
                  <a:srgbClr val="CCFFCC"/>
                </a:gs>
                <a:gs pos="100000">
                  <a:srgbClr val="69FFFF"/>
                </a:gs>
              </a:gsLst>
              <a:lin ang="0" scaled="1"/>
            </a:gradFill>
            <a:ln w="9525">
              <a:noFill/>
              <a:miter lim="800000"/>
              <a:headEnd/>
              <a:tailEnd/>
            </a:ln>
          </xdr:spPr>
        </xdr:sp>
        <xdr:sp macro="" textlink="">
          <xdr:nvSpPr>
            <xdr:cNvPr id="12415" name="Line 1287"/>
            <xdr:cNvSpPr>
              <a:spLocks noChangeShapeType="1"/>
            </xdr:cNvSpPr>
          </xdr:nvSpPr>
          <xdr:spPr bwMode="auto">
            <a:xfrm>
              <a:off x="3863487" y="2844312"/>
              <a:ext cx="0" cy="193675"/>
            </a:xfrm>
            <a:prstGeom prst="line">
              <a:avLst/>
            </a:prstGeom>
            <a:noFill/>
            <a:ln w="9525">
              <a:solidFill>
                <a:srgbClr val="000000"/>
              </a:solidFill>
              <a:round/>
              <a:headEnd/>
              <a:tailEnd/>
            </a:ln>
          </xdr:spPr>
        </xdr:sp>
        <xdr:sp macro="" textlink="">
          <xdr:nvSpPr>
            <xdr:cNvPr id="12416" name="Line 1288"/>
            <xdr:cNvSpPr>
              <a:spLocks noChangeShapeType="1"/>
            </xdr:cNvSpPr>
          </xdr:nvSpPr>
          <xdr:spPr bwMode="auto">
            <a:xfrm>
              <a:off x="4139712" y="2844312"/>
              <a:ext cx="0" cy="193675"/>
            </a:xfrm>
            <a:prstGeom prst="line">
              <a:avLst/>
            </a:prstGeom>
            <a:noFill/>
            <a:ln w="9525">
              <a:solidFill>
                <a:srgbClr val="000000"/>
              </a:solidFill>
              <a:round/>
              <a:headEnd/>
              <a:tailEnd/>
            </a:ln>
          </xdr:spPr>
        </xdr:sp>
        <xdr:sp macro="" textlink="">
          <xdr:nvSpPr>
            <xdr:cNvPr id="12417" name="Oval 1289"/>
            <xdr:cNvSpPr>
              <a:spLocks noChangeArrowheads="1"/>
            </xdr:cNvSpPr>
          </xdr:nvSpPr>
          <xdr:spPr bwMode="auto">
            <a:xfrm>
              <a:off x="3863487" y="2739537"/>
              <a:ext cx="276225" cy="187325"/>
            </a:xfrm>
            <a:prstGeom prst="ellipse">
              <a:avLst/>
            </a:prstGeom>
            <a:solidFill>
              <a:srgbClr val="66FFFF"/>
            </a:solidFill>
            <a:ln w="9525">
              <a:solidFill>
                <a:srgbClr val="000000"/>
              </a:solidFill>
              <a:round/>
              <a:headEnd/>
              <a:tailEnd/>
            </a:ln>
          </xdr:spPr>
        </xdr:sp>
        <xdr:sp macro="" textlink="">
          <xdr:nvSpPr>
            <xdr:cNvPr id="12414" name="Oval 1286"/>
            <xdr:cNvSpPr>
              <a:spLocks noChangeArrowheads="1"/>
            </xdr:cNvSpPr>
          </xdr:nvSpPr>
          <xdr:spPr bwMode="auto">
            <a:xfrm>
              <a:off x="3879536" y="2756629"/>
              <a:ext cx="247650" cy="155489"/>
            </a:xfrm>
            <a:prstGeom prst="ellipse">
              <a:avLst/>
            </a:prstGeom>
            <a:solidFill>
              <a:srgbClr val="C0C0C0"/>
            </a:solidFill>
            <a:ln w="9525">
              <a:solidFill>
                <a:sysClr val="windowText" lastClr="000000"/>
              </a:solidFill>
              <a:round/>
              <a:headEnd/>
              <a:tailEnd/>
            </a:ln>
          </xdr:spPr>
        </xdr:sp>
        <xdr:sp macro="" textlink="">
          <xdr:nvSpPr>
            <xdr:cNvPr id="12418" name="Line 1290"/>
            <xdr:cNvSpPr>
              <a:spLocks noChangeShapeType="1"/>
            </xdr:cNvSpPr>
          </xdr:nvSpPr>
          <xdr:spPr bwMode="auto">
            <a:xfrm>
              <a:off x="2771768" y="2640286"/>
              <a:ext cx="2208097" cy="1137476"/>
            </a:xfrm>
            <a:prstGeom prst="line">
              <a:avLst/>
            </a:prstGeom>
            <a:noFill/>
            <a:ln w="9525">
              <a:solidFill>
                <a:srgbClr val="000000"/>
              </a:solidFill>
              <a:round/>
              <a:headEnd/>
              <a:tailEnd/>
            </a:ln>
          </xdr:spPr>
        </xdr:sp>
        <xdr:sp macro="" textlink="">
          <xdr:nvSpPr>
            <xdr:cNvPr id="12419" name="Freeform 1291"/>
            <xdr:cNvSpPr>
              <a:spLocks/>
            </xdr:cNvSpPr>
          </xdr:nvSpPr>
          <xdr:spPr bwMode="auto">
            <a:xfrm>
              <a:off x="4979865" y="3523762"/>
              <a:ext cx="190500" cy="123825"/>
            </a:xfrm>
            <a:custGeom>
              <a:avLst/>
              <a:gdLst>
                <a:gd name="T0" fmla="*/ 0 w 20"/>
                <a:gd name="T1" fmla="*/ 2147483647 h 13"/>
                <a:gd name="T2" fmla="*/ 2147483647 w 20"/>
                <a:gd name="T3" fmla="*/ 2147483647 h 13"/>
                <a:gd name="T4" fmla="*/ 2147483647 w 20"/>
                <a:gd name="T5" fmla="*/ 2147483647 h 13"/>
                <a:gd name="T6" fmla="*/ 2147483647 w 20"/>
                <a:gd name="T7" fmla="*/ 2147483647 h 13"/>
                <a:gd name="T8" fmla="*/ 2147483647 w 20"/>
                <a:gd name="T9" fmla="*/ 2147483647 h 13"/>
                <a:gd name="T10" fmla="*/ 2147483647 w 20"/>
                <a:gd name="T11" fmla="*/ 0 h 13"/>
                <a:gd name="T12" fmla="*/ 0 60000 65536"/>
                <a:gd name="T13" fmla="*/ 0 60000 65536"/>
                <a:gd name="T14" fmla="*/ 0 60000 65536"/>
                <a:gd name="T15" fmla="*/ 0 60000 65536"/>
                <a:gd name="T16" fmla="*/ 0 60000 65536"/>
                <a:gd name="T17" fmla="*/ 0 60000 65536"/>
                <a:gd name="T18" fmla="*/ 0 w 20"/>
                <a:gd name="T19" fmla="*/ 0 h 13"/>
                <a:gd name="T20" fmla="*/ 20 w 20"/>
                <a:gd name="T21" fmla="*/ 13 h 13"/>
              </a:gdLst>
              <a:ahLst/>
              <a:cxnLst>
                <a:cxn ang="T12">
                  <a:pos x="T0" y="T1"/>
                </a:cxn>
                <a:cxn ang="T13">
                  <a:pos x="T2" y="T3"/>
                </a:cxn>
                <a:cxn ang="T14">
                  <a:pos x="T4" y="T5"/>
                </a:cxn>
                <a:cxn ang="T15">
                  <a:pos x="T6" y="T7"/>
                </a:cxn>
                <a:cxn ang="T16">
                  <a:pos x="T8" y="T9"/>
                </a:cxn>
                <a:cxn ang="T17">
                  <a:pos x="T10" y="T11"/>
                </a:cxn>
              </a:cxnLst>
              <a:rect l="T18" t="T19" r="T20" b="T21"/>
              <a:pathLst>
                <a:path w="20" h="13">
                  <a:moveTo>
                    <a:pt x="0" y="13"/>
                  </a:moveTo>
                  <a:lnTo>
                    <a:pt x="5" y="12"/>
                  </a:lnTo>
                  <a:lnTo>
                    <a:pt x="10" y="10"/>
                  </a:lnTo>
                  <a:lnTo>
                    <a:pt x="15" y="6"/>
                  </a:lnTo>
                  <a:lnTo>
                    <a:pt x="19" y="2"/>
                  </a:lnTo>
                  <a:lnTo>
                    <a:pt x="20" y="0"/>
                  </a:lnTo>
                </a:path>
              </a:pathLst>
            </a:custGeom>
            <a:noFill/>
            <a:ln w="28575" cmpd="sng">
              <a:solidFill>
                <a:srgbClr val="00FFFF"/>
              </a:solidFill>
              <a:round/>
              <a:headEnd/>
              <a:tailEnd/>
            </a:ln>
          </xdr:spPr>
        </xdr:sp>
        <xdr:sp macro="" textlink="">
          <xdr:nvSpPr>
            <xdr:cNvPr id="12420" name="Line 1292"/>
            <xdr:cNvSpPr>
              <a:spLocks noChangeShapeType="1"/>
            </xdr:cNvSpPr>
          </xdr:nvSpPr>
          <xdr:spPr bwMode="auto">
            <a:xfrm flipV="1">
              <a:off x="3433885" y="506535"/>
              <a:ext cx="4093063" cy="2356827"/>
            </a:xfrm>
            <a:prstGeom prst="line">
              <a:avLst/>
            </a:prstGeom>
            <a:noFill/>
            <a:ln w="25400">
              <a:solidFill>
                <a:srgbClr val="000000"/>
              </a:solidFill>
              <a:prstDash val="lgDashDotDot"/>
              <a:round/>
              <a:headEnd/>
              <a:tailEnd/>
            </a:ln>
          </xdr:spPr>
        </xdr:sp>
        <xdr:sp macro="" textlink="">
          <xdr:nvSpPr>
            <xdr:cNvPr id="12421" name="Line 1293"/>
            <xdr:cNvSpPr>
              <a:spLocks noChangeShapeType="1"/>
            </xdr:cNvSpPr>
          </xdr:nvSpPr>
          <xdr:spPr bwMode="auto">
            <a:xfrm>
              <a:off x="3433885" y="2853837"/>
              <a:ext cx="0" cy="511175"/>
            </a:xfrm>
            <a:prstGeom prst="line">
              <a:avLst/>
            </a:prstGeom>
            <a:noFill/>
            <a:ln w="25400">
              <a:solidFill>
                <a:srgbClr val="000000"/>
              </a:solidFill>
              <a:round/>
              <a:headEnd/>
              <a:tailEnd type="triangle" w="lg" len="lg"/>
            </a:ln>
          </xdr:spPr>
        </xdr:sp>
        <xdr:sp macro="" textlink="">
          <xdr:nvSpPr>
            <xdr:cNvPr id="12422" name="AutoShape 1157"/>
            <xdr:cNvSpPr>
              <a:spLocks noChangeArrowheads="1"/>
            </xdr:cNvSpPr>
          </xdr:nvSpPr>
          <xdr:spPr bwMode="auto">
            <a:xfrm rot="10800000" flipH="1" flipV="1">
              <a:off x="5923817" y="7632212"/>
              <a:ext cx="133350" cy="142875"/>
            </a:xfrm>
            <a:custGeom>
              <a:avLst/>
              <a:gdLst>
                <a:gd name="T0" fmla="*/ 2147483647 w 21600"/>
                <a:gd name="T1" fmla="*/ 0 h 21600"/>
                <a:gd name="T2" fmla="*/ 2147483647 w 21600"/>
                <a:gd name="T3" fmla="*/ 2147483647 h 21600"/>
                <a:gd name="T4" fmla="*/ 2147483647 w 21600"/>
                <a:gd name="T5" fmla="*/ 2147483647 h 21600"/>
                <a:gd name="T6" fmla="*/ 2147483647 w 21600"/>
                <a:gd name="T7" fmla="*/ 2147483647 h 21600"/>
                <a:gd name="T8" fmla="*/ 17694720 60000 65536"/>
                <a:gd name="T9" fmla="*/ 5898240 60000 65536"/>
                <a:gd name="T10" fmla="*/ 5898240 60000 65536"/>
                <a:gd name="T11" fmla="*/ 0 60000 65536"/>
                <a:gd name="T12" fmla="*/ 12427 w 21600"/>
                <a:gd name="T13" fmla="*/ 2912 h 21600"/>
                <a:gd name="T14" fmla="*/ 18227 w 21600"/>
                <a:gd name="T15" fmla="*/ 9246 h 21600"/>
              </a:gdLst>
              <a:ahLst/>
              <a:cxnLst>
                <a:cxn ang="T8">
                  <a:pos x="T0" y="T1"/>
                </a:cxn>
                <a:cxn ang="T9">
                  <a:pos x="T2" y="T3"/>
                </a:cxn>
                <a:cxn ang="T10">
                  <a:pos x="T4" y="T5"/>
                </a:cxn>
                <a:cxn ang="T11">
                  <a:pos x="T6" y="T7"/>
                </a:cxn>
              </a:cxnLst>
              <a:rect l="T12" t="T13" r="T14" b="T15"/>
              <a:pathLst>
                <a:path w="21600" h="21600">
                  <a:moveTo>
                    <a:pt x="21600" y="6079"/>
                  </a:moveTo>
                  <a:lnTo>
                    <a:pt x="15126" y="0"/>
                  </a:lnTo>
                  <a:lnTo>
                    <a:pt x="15126" y="2912"/>
                  </a:lnTo>
                  <a:lnTo>
                    <a:pt x="12427" y="2912"/>
                  </a:lnTo>
                  <a:cubicBezTo>
                    <a:pt x="5564" y="2912"/>
                    <a:pt x="0" y="7052"/>
                    <a:pt x="0" y="12158"/>
                  </a:cubicBezTo>
                  <a:lnTo>
                    <a:pt x="0" y="21600"/>
                  </a:lnTo>
                  <a:lnTo>
                    <a:pt x="6474" y="21600"/>
                  </a:lnTo>
                  <a:lnTo>
                    <a:pt x="6474" y="12158"/>
                  </a:lnTo>
                  <a:cubicBezTo>
                    <a:pt x="6474" y="10550"/>
                    <a:pt x="9139" y="9246"/>
                    <a:pt x="12427" y="9246"/>
                  </a:cubicBezTo>
                  <a:lnTo>
                    <a:pt x="15126" y="9246"/>
                  </a:lnTo>
                  <a:lnTo>
                    <a:pt x="15126" y="12158"/>
                  </a:lnTo>
                  <a:lnTo>
                    <a:pt x="21600" y="6079"/>
                  </a:lnTo>
                  <a:close/>
                </a:path>
              </a:pathLst>
            </a:custGeom>
            <a:solidFill>
              <a:srgbClr val="33CCCC"/>
            </a:solidFill>
            <a:ln w="9525">
              <a:solidFill>
                <a:srgbClr val="000000"/>
              </a:solidFill>
              <a:miter lim="800000"/>
              <a:headEnd/>
              <a:tailEnd/>
            </a:ln>
          </xdr:spPr>
        </xdr:sp>
        <xdr:sp macro="" textlink="">
          <xdr:nvSpPr>
            <xdr:cNvPr id="12423" name="AutoShape 1294"/>
            <xdr:cNvSpPr>
              <a:spLocks noChangeArrowheads="1"/>
            </xdr:cNvSpPr>
          </xdr:nvSpPr>
          <xdr:spPr bwMode="auto">
            <a:xfrm rot="10800000" flipV="1">
              <a:off x="9358679" y="6457462"/>
              <a:ext cx="133350" cy="139700"/>
            </a:xfrm>
            <a:custGeom>
              <a:avLst/>
              <a:gdLst>
                <a:gd name="T0" fmla="*/ 2147483647 w 21600"/>
                <a:gd name="T1" fmla="*/ 0 h 21600"/>
                <a:gd name="T2" fmla="*/ 2147483647 w 21600"/>
                <a:gd name="T3" fmla="*/ 2147483647 h 21600"/>
                <a:gd name="T4" fmla="*/ 2147483647 w 21600"/>
                <a:gd name="T5" fmla="*/ 2147483647 h 21600"/>
                <a:gd name="T6" fmla="*/ 2147483647 w 21600"/>
                <a:gd name="T7" fmla="*/ 2147483647 h 21600"/>
                <a:gd name="T8" fmla="*/ 17694720 60000 65536"/>
                <a:gd name="T9" fmla="*/ 5898240 60000 65536"/>
                <a:gd name="T10" fmla="*/ 5898240 60000 65536"/>
                <a:gd name="T11" fmla="*/ 0 60000 65536"/>
                <a:gd name="T12" fmla="*/ 12427 w 21600"/>
                <a:gd name="T13" fmla="*/ 2912 h 21600"/>
                <a:gd name="T14" fmla="*/ 18227 w 21600"/>
                <a:gd name="T15" fmla="*/ 9246 h 21600"/>
              </a:gdLst>
              <a:ahLst/>
              <a:cxnLst>
                <a:cxn ang="T8">
                  <a:pos x="T0" y="T1"/>
                </a:cxn>
                <a:cxn ang="T9">
                  <a:pos x="T2" y="T3"/>
                </a:cxn>
                <a:cxn ang="T10">
                  <a:pos x="T4" y="T5"/>
                </a:cxn>
                <a:cxn ang="T11">
                  <a:pos x="T6" y="T7"/>
                </a:cxn>
              </a:cxnLst>
              <a:rect l="T12" t="T13" r="T14" b="T15"/>
              <a:pathLst>
                <a:path w="21600" h="21600">
                  <a:moveTo>
                    <a:pt x="21600" y="6079"/>
                  </a:moveTo>
                  <a:lnTo>
                    <a:pt x="15126" y="0"/>
                  </a:lnTo>
                  <a:lnTo>
                    <a:pt x="15126" y="2912"/>
                  </a:lnTo>
                  <a:lnTo>
                    <a:pt x="12427" y="2912"/>
                  </a:lnTo>
                  <a:cubicBezTo>
                    <a:pt x="5564" y="2912"/>
                    <a:pt x="0" y="7052"/>
                    <a:pt x="0" y="12158"/>
                  </a:cubicBezTo>
                  <a:lnTo>
                    <a:pt x="0" y="21600"/>
                  </a:lnTo>
                  <a:lnTo>
                    <a:pt x="6474" y="21600"/>
                  </a:lnTo>
                  <a:lnTo>
                    <a:pt x="6474" y="12158"/>
                  </a:lnTo>
                  <a:cubicBezTo>
                    <a:pt x="6474" y="10550"/>
                    <a:pt x="9139" y="9246"/>
                    <a:pt x="12427" y="9246"/>
                  </a:cubicBezTo>
                  <a:lnTo>
                    <a:pt x="15126" y="9246"/>
                  </a:lnTo>
                  <a:lnTo>
                    <a:pt x="15126" y="12158"/>
                  </a:lnTo>
                  <a:lnTo>
                    <a:pt x="21600" y="6079"/>
                  </a:lnTo>
                  <a:close/>
                </a:path>
              </a:pathLst>
            </a:custGeom>
            <a:solidFill>
              <a:srgbClr val="33CCCC"/>
            </a:solidFill>
            <a:ln w="9525">
              <a:solidFill>
                <a:srgbClr val="000000"/>
              </a:solidFill>
              <a:miter lim="800000"/>
              <a:headEnd/>
              <a:tailEnd/>
            </a:ln>
          </xdr:spPr>
        </xdr:sp>
        <xdr:sp macro="" textlink="">
          <xdr:nvSpPr>
            <xdr:cNvPr id="5" name="Freeform 4"/>
            <xdr:cNvSpPr/>
          </xdr:nvSpPr>
          <xdr:spPr>
            <a:xfrm>
              <a:off x="2776168" y="2535853"/>
              <a:ext cx="20232" cy="112680"/>
            </a:xfrm>
            <a:custGeom>
              <a:avLst/>
              <a:gdLst>
                <a:gd name="connsiteX0" fmla="*/ 32107 w 32107"/>
                <a:gd name="connsiteY0" fmla="*/ 0 h 117725"/>
                <a:gd name="connsiteX1" fmla="*/ 0 w 32107"/>
                <a:gd name="connsiteY1" fmla="*/ 58862 h 117725"/>
                <a:gd name="connsiteX2" fmla="*/ 5351 w 32107"/>
                <a:gd name="connsiteY2" fmla="*/ 85618 h 117725"/>
                <a:gd name="connsiteX3" fmla="*/ 5351 w 32107"/>
                <a:gd name="connsiteY3" fmla="*/ 117725 h 117725"/>
                <a:gd name="connsiteX0" fmla="*/ 26756 w 26756"/>
                <a:gd name="connsiteY0" fmla="*/ 0 h 117725"/>
                <a:gd name="connsiteX1" fmla="*/ 10959 w 26756"/>
                <a:gd name="connsiteY1" fmla="*/ 26938 h 117725"/>
                <a:gd name="connsiteX2" fmla="*/ 0 w 26756"/>
                <a:gd name="connsiteY2" fmla="*/ 85618 h 117725"/>
                <a:gd name="connsiteX3" fmla="*/ 0 w 26756"/>
                <a:gd name="connsiteY3" fmla="*/ 117725 h 117725"/>
                <a:gd name="connsiteX0" fmla="*/ 26756 w 26756"/>
                <a:gd name="connsiteY0" fmla="*/ 0 h 117725"/>
                <a:gd name="connsiteX1" fmla="*/ 10959 w 26756"/>
                <a:gd name="connsiteY1" fmla="*/ 26938 h 117725"/>
                <a:gd name="connsiteX2" fmla="*/ 3262 w 26756"/>
                <a:gd name="connsiteY2" fmla="*/ 66463 h 117725"/>
                <a:gd name="connsiteX3" fmla="*/ 0 w 26756"/>
                <a:gd name="connsiteY3" fmla="*/ 117725 h 117725"/>
                <a:gd name="connsiteX0" fmla="*/ 16970 w 16970"/>
                <a:gd name="connsiteY0" fmla="*/ 0 h 114533"/>
                <a:gd name="connsiteX1" fmla="*/ 10959 w 16970"/>
                <a:gd name="connsiteY1" fmla="*/ 23746 h 114533"/>
                <a:gd name="connsiteX2" fmla="*/ 3262 w 16970"/>
                <a:gd name="connsiteY2" fmla="*/ 63271 h 114533"/>
                <a:gd name="connsiteX3" fmla="*/ 0 w 16970"/>
                <a:gd name="connsiteY3" fmla="*/ 114533 h 114533"/>
                <a:gd name="connsiteX0" fmla="*/ 16970 w 16970"/>
                <a:gd name="connsiteY0" fmla="*/ 0 h 114533"/>
                <a:gd name="connsiteX1" fmla="*/ 4435 w 16970"/>
                <a:gd name="connsiteY1" fmla="*/ 33323 h 114533"/>
                <a:gd name="connsiteX2" fmla="*/ 3262 w 16970"/>
                <a:gd name="connsiteY2" fmla="*/ 63271 h 114533"/>
                <a:gd name="connsiteX3" fmla="*/ 0 w 16970"/>
                <a:gd name="connsiteY3" fmla="*/ 114533 h 114533"/>
                <a:gd name="connsiteX0" fmla="*/ 20232 w 20232"/>
                <a:gd name="connsiteY0" fmla="*/ 0 h 114533"/>
                <a:gd name="connsiteX1" fmla="*/ 7697 w 20232"/>
                <a:gd name="connsiteY1" fmla="*/ 33323 h 114533"/>
                <a:gd name="connsiteX2" fmla="*/ 0 w 20232"/>
                <a:gd name="connsiteY2" fmla="*/ 76041 h 114533"/>
                <a:gd name="connsiteX3" fmla="*/ 3262 w 20232"/>
                <a:gd name="connsiteY3" fmla="*/ 114533 h 114533"/>
              </a:gdLst>
              <a:ahLst/>
              <a:cxnLst>
                <a:cxn ang="0">
                  <a:pos x="connsiteX0" y="connsiteY0"/>
                </a:cxn>
                <a:cxn ang="0">
                  <a:pos x="connsiteX1" y="connsiteY1"/>
                </a:cxn>
                <a:cxn ang="0">
                  <a:pos x="connsiteX2" y="connsiteY2"/>
                </a:cxn>
                <a:cxn ang="0">
                  <a:pos x="connsiteX3" y="connsiteY3"/>
                </a:cxn>
              </a:cxnLst>
              <a:rect l="l" t="t" r="r" b="b"/>
              <a:pathLst>
                <a:path w="20232" h="114533">
                  <a:moveTo>
                    <a:pt x="20232" y="0"/>
                  </a:moveTo>
                  <a:lnTo>
                    <a:pt x="7697" y="33323"/>
                  </a:lnTo>
                  <a:lnTo>
                    <a:pt x="0" y="76041"/>
                  </a:lnTo>
                  <a:lnTo>
                    <a:pt x="3262" y="114533"/>
                  </a:lnTo>
                </a:path>
              </a:pathLst>
            </a:cu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4" name="Rectangle 13"/>
          <xdr:cNvSpPr/>
        </xdr:nvSpPr>
        <xdr:spPr>
          <a:xfrm>
            <a:off x="488461" y="6887312"/>
            <a:ext cx="109904" cy="378558"/>
          </a:xfrm>
          <a:prstGeom prst="rect">
            <a:avLst/>
          </a:prstGeom>
          <a:solidFill>
            <a:schemeClr val="accent3">
              <a:lumMod val="60000"/>
              <a:lumOff val="40000"/>
            </a:schemeClr>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87" name="Rectangle 586"/>
          <xdr:cNvSpPr/>
        </xdr:nvSpPr>
        <xdr:spPr>
          <a:xfrm>
            <a:off x="4353168" y="6893168"/>
            <a:ext cx="109904" cy="378558"/>
          </a:xfrm>
          <a:prstGeom prst="rect">
            <a:avLst/>
          </a:prstGeom>
          <a:solidFill>
            <a:schemeClr val="accent3">
              <a:lumMod val="60000"/>
              <a:lumOff val="40000"/>
            </a:schemeClr>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1" name="Group 20"/>
          <xdr:cNvGrpSpPr/>
        </xdr:nvGrpSpPr>
        <xdr:grpSpPr>
          <a:xfrm>
            <a:off x="439127" y="9695962"/>
            <a:ext cx="2880458" cy="1263650"/>
            <a:chOff x="439127" y="9695962"/>
            <a:chExt cx="2880458" cy="1263650"/>
          </a:xfrm>
        </xdr:grpSpPr>
        <xdr:sp macro="" textlink="">
          <xdr:nvSpPr>
            <xdr:cNvPr id="12425" name="AutoShape 1297"/>
            <xdr:cNvSpPr>
              <a:spLocks noChangeArrowheads="1"/>
            </xdr:cNvSpPr>
          </xdr:nvSpPr>
          <xdr:spPr bwMode="auto">
            <a:xfrm>
              <a:off x="466725" y="9695962"/>
              <a:ext cx="2852860" cy="1263650"/>
            </a:xfrm>
            <a:prstGeom prst="roundRect">
              <a:avLst>
                <a:gd name="adj" fmla="val 11111"/>
              </a:avLst>
            </a:prstGeom>
            <a:solidFill>
              <a:srgbClr val="999933"/>
            </a:solidFill>
            <a:ln w="19050">
              <a:solidFill>
                <a:srgbClr val="000000"/>
              </a:solidFill>
              <a:round/>
              <a:headEnd/>
              <a:tailEnd/>
            </a:ln>
          </xdr:spPr>
        </xdr:sp>
        <xdr:sp macro="" textlink="">
          <xdr:nvSpPr>
            <xdr:cNvPr id="12426" name="AutoShape 1298"/>
            <xdr:cNvSpPr>
              <a:spLocks noChangeArrowheads="1"/>
            </xdr:cNvSpPr>
          </xdr:nvSpPr>
          <xdr:spPr bwMode="auto">
            <a:xfrm>
              <a:off x="552450" y="9772162"/>
              <a:ext cx="2690935" cy="1101725"/>
            </a:xfrm>
            <a:prstGeom prst="roundRect">
              <a:avLst>
                <a:gd name="adj" fmla="val 6616"/>
              </a:avLst>
            </a:prstGeom>
            <a:solidFill>
              <a:srgbClr val="FFFFFF"/>
            </a:solidFill>
            <a:ln w="19050">
              <a:solidFill>
                <a:srgbClr val="000000"/>
              </a:solidFill>
              <a:round/>
              <a:headEnd/>
              <a:tailEnd/>
            </a:ln>
          </xdr:spPr>
        </xdr:sp>
        <xdr:sp macro="" textlink="">
          <xdr:nvSpPr>
            <xdr:cNvPr id="12427" name="Rectangle 1299" descr="10%"/>
            <xdr:cNvSpPr>
              <a:spLocks noChangeArrowheads="1"/>
            </xdr:cNvSpPr>
          </xdr:nvSpPr>
          <xdr:spPr bwMode="auto">
            <a:xfrm>
              <a:off x="3062410" y="9838837"/>
              <a:ext cx="171450" cy="942975"/>
            </a:xfrm>
            <a:prstGeom prst="rect">
              <a:avLst/>
            </a:prstGeom>
            <a:pattFill prst="pct10">
              <a:fgClr>
                <a:srgbClr val="000000"/>
              </a:fgClr>
              <a:bgClr>
                <a:srgbClr val="FFFF66"/>
              </a:bgClr>
            </a:pattFill>
            <a:ln w="9525">
              <a:solidFill>
                <a:srgbClr val="000000"/>
              </a:solidFill>
              <a:miter lim="800000"/>
              <a:headEnd/>
              <a:tailEnd/>
            </a:ln>
          </xdr:spPr>
        </xdr:sp>
        <xdr:sp macro="" textlink="">
          <xdr:nvSpPr>
            <xdr:cNvPr id="12428" name="Rectangle 1300"/>
            <xdr:cNvSpPr>
              <a:spLocks noChangeArrowheads="1"/>
            </xdr:cNvSpPr>
          </xdr:nvSpPr>
          <xdr:spPr bwMode="auto">
            <a:xfrm>
              <a:off x="552450" y="9838837"/>
              <a:ext cx="2509960" cy="942975"/>
            </a:xfrm>
            <a:prstGeom prst="rect">
              <a:avLst/>
            </a:prstGeom>
            <a:solidFill>
              <a:srgbClr val="C0C0C0"/>
            </a:solidFill>
            <a:ln w="9525">
              <a:solidFill>
                <a:srgbClr val="000000"/>
              </a:solidFill>
              <a:miter lim="800000"/>
              <a:headEnd/>
              <a:tailEnd/>
            </a:ln>
          </xdr:spPr>
        </xdr:sp>
        <xdr:sp macro="" textlink="">
          <xdr:nvSpPr>
            <xdr:cNvPr id="12429" name="Line 1302"/>
            <xdr:cNvSpPr>
              <a:spLocks noChangeShapeType="1"/>
            </xdr:cNvSpPr>
          </xdr:nvSpPr>
          <xdr:spPr bwMode="auto">
            <a:xfrm>
              <a:off x="600075" y="10854837"/>
              <a:ext cx="2576635" cy="0"/>
            </a:xfrm>
            <a:prstGeom prst="line">
              <a:avLst/>
            </a:prstGeom>
            <a:noFill/>
            <a:ln w="28575">
              <a:solidFill>
                <a:srgbClr val="0000FF"/>
              </a:solidFill>
              <a:round/>
              <a:headEnd/>
              <a:tailEnd/>
            </a:ln>
          </xdr:spPr>
        </xdr:sp>
        <xdr:sp macro="" textlink="">
          <xdr:nvSpPr>
            <xdr:cNvPr id="12430" name="Line 1303"/>
            <xdr:cNvSpPr>
              <a:spLocks noChangeShapeType="1"/>
            </xdr:cNvSpPr>
          </xdr:nvSpPr>
          <xdr:spPr bwMode="auto">
            <a:xfrm>
              <a:off x="715352" y="10791337"/>
              <a:ext cx="352425" cy="0"/>
            </a:xfrm>
            <a:prstGeom prst="line">
              <a:avLst/>
            </a:prstGeom>
            <a:noFill/>
            <a:ln w="28575">
              <a:solidFill>
                <a:srgbClr val="0000FF"/>
              </a:solidFill>
              <a:round/>
              <a:headEnd/>
              <a:tailEnd/>
            </a:ln>
          </xdr:spPr>
        </xdr:sp>
        <xdr:sp macro="" textlink="">
          <xdr:nvSpPr>
            <xdr:cNvPr id="12431" name="Line 1305"/>
            <xdr:cNvSpPr>
              <a:spLocks noChangeShapeType="1"/>
            </xdr:cNvSpPr>
          </xdr:nvSpPr>
          <xdr:spPr bwMode="auto">
            <a:xfrm>
              <a:off x="2861408" y="10791337"/>
              <a:ext cx="353402" cy="0"/>
            </a:xfrm>
            <a:prstGeom prst="line">
              <a:avLst/>
            </a:prstGeom>
            <a:noFill/>
            <a:ln w="28575">
              <a:solidFill>
                <a:srgbClr val="0000FF"/>
              </a:solidFill>
              <a:round/>
              <a:headEnd/>
              <a:tailEnd/>
            </a:ln>
          </xdr:spPr>
        </xdr:sp>
        <xdr:sp macro="" textlink="">
          <xdr:nvSpPr>
            <xdr:cNvPr id="12432" name="Line 1308"/>
            <xdr:cNvSpPr>
              <a:spLocks noChangeShapeType="1"/>
            </xdr:cNvSpPr>
          </xdr:nvSpPr>
          <xdr:spPr bwMode="auto">
            <a:xfrm flipV="1">
              <a:off x="2956658" y="10791337"/>
              <a:ext cx="0" cy="63500"/>
            </a:xfrm>
            <a:prstGeom prst="line">
              <a:avLst/>
            </a:prstGeom>
            <a:noFill/>
            <a:ln w="28575">
              <a:solidFill>
                <a:srgbClr val="0000FF"/>
              </a:solidFill>
              <a:round/>
              <a:headEnd/>
              <a:tailEnd/>
            </a:ln>
          </xdr:spPr>
        </xdr:sp>
        <xdr:sp macro="" textlink="">
          <xdr:nvSpPr>
            <xdr:cNvPr id="12433" name="Line 1309"/>
            <xdr:cNvSpPr>
              <a:spLocks noChangeShapeType="1"/>
            </xdr:cNvSpPr>
          </xdr:nvSpPr>
          <xdr:spPr bwMode="auto">
            <a:xfrm flipV="1">
              <a:off x="3110035" y="10791337"/>
              <a:ext cx="0" cy="63500"/>
            </a:xfrm>
            <a:prstGeom prst="line">
              <a:avLst/>
            </a:prstGeom>
            <a:noFill/>
            <a:ln w="28575">
              <a:solidFill>
                <a:srgbClr val="0000FF"/>
              </a:solidFill>
              <a:round/>
              <a:headEnd/>
              <a:tailEnd/>
            </a:ln>
          </xdr:spPr>
        </xdr:sp>
        <xdr:sp macro="" textlink="">
          <xdr:nvSpPr>
            <xdr:cNvPr id="12434" name="Line 1310"/>
            <xdr:cNvSpPr>
              <a:spLocks noChangeShapeType="1"/>
            </xdr:cNvSpPr>
          </xdr:nvSpPr>
          <xdr:spPr bwMode="auto">
            <a:xfrm flipV="1">
              <a:off x="810602" y="10781812"/>
              <a:ext cx="0" cy="63500"/>
            </a:xfrm>
            <a:prstGeom prst="line">
              <a:avLst/>
            </a:prstGeom>
            <a:noFill/>
            <a:ln w="28575">
              <a:solidFill>
                <a:srgbClr val="0000FF"/>
              </a:solidFill>
              <a:round/>
              <a:headEnd/>
              <a:tailEnd/>
            </a:ln>
          </xdr:spPr>
        </xdr:sp>
        <xdr:sp macro="" textlink="">
          <xdr:nvSpPr>
            <xdr:cNvPr id="12435" name="Line 1311"/>
            <xdr:cNvSpPr>
              <a:spLocks noChangeShapeType="1"/>
            </xdr:cNvSpPr>
          </xdr:nvSpPr>
          <xdr:spPr bwMode="auto">
            <a:xfrm flipV="1">
              <a:off x="963002" y="10781812"/>
              <a:ext cx="0" cy="63500"/>
            </a:xfrm>
            <a:prstGeom prst="line">
              <a:avLst/>
            </a:prstGeom>
            <a:noFill/>
            <a:ln w="28575">
              <a:solidFill>
                <a:srgbClr val="0000FF"/>
              </a:solidFill>
              <a:round/>
              <a:headEnd/>
              <a:tailEnd/>
            </a:ln>
          </xdr:spPr>
        </xdr:sp>
        <xdr:sp macro="" textlink="">
          <xdr:nvSpPr>
            <xdr:cNvPr id="12436" name="Rectangle 1322"/>
            <xdr:cNvSpPr>
              <a:spLocks noChangeArrowheads="1"/>
            </xdr:cNvSpPr>
          </xdr:nvSpPr>
          <xdr:spPr bwMode="auto">
            <a:xfrm>
              <a:off x="3100510" y="10296037"/>
              <a:ext cx="76200" cy="352425"/>
            </a:xfrm>
            <a:prstGeom prst="rect">
              <a:avLst/>
            </a:prstGeom>
            <a:solidFill>
              <a:srgbClr val="FF9933"/>
            </a:solidFill>
            <a:ln w="9525">
              <a:solidFill>
                <a:srgbClr val="000000"/>
              </a:solidFill>
              <a:miter lim="800000"/>
              <a:headEnd/>
              <a:tailEnd/>
            </a:ln>
          </xdr:spPr>
        </xdr:sp>
        <xdr:grpSp>
          <xdr:nvGrpSpPr>
            <xdr:cNvPr id="12441" name="Group 411"/>
            <xdr:cNvGrpSpPr>
              <a:grpSpLocks/>
            </xdr:cNvGrpSpPr>
          </xdr:nvGrpSpPr>
          <xdr:grpSpPr bwMode="auto">
            <a:xfrm>
              <a:off x="3062410" y="9921387"/>
              <a:ext cx="114300" cy="260350"/>
              <a:chOff x="0" y="0"/>
              <a:chExt cx="12" cy="28"/>
            </a:xfrm>
          </xdr:grpSpPr>
          <xdr:sp macro="" textlink="">
            <xdr:nvSpPr>
              <xdr:cNvPr id="12552" name="Rectangle 412"/>
              <xdr:cNvSpPr>
                <a:spLocks noChangeArrowheads="1"/>
              </xdr:cNvSpPr>
            </xdr:nvSpPr>
            <xdr:spPr bwMode="auto">
              <a:xfrm>
                <a:off x="0" y="8"/>
                <a:ext cx="12" cy="11"/>
              </a:xfrm>
              <a:prstGeom prst="rect">
                <a:avLst/>
              </a:prstGeom>
              <a:solidFill>
                <a:srgbClr val="FF9933"/>
              </a:solidFill>
              <a:ln w="9525">
                <a:solidFill>
                  <a:srgbClr val="000000"/>
                </a:solidFill>
                <a:miter lim="800000"/>
                <a:headEnd/>
                <a:tailEnd/>
              </a:ln>
            </xdr:spPr>
          </xdr:sp>
          <xdr:sp macro="" textlink="">
            <xdr:nvSpPr>
              <xdr:cNvPr id="12553" name="Rectangle 413"/>
              <xdr:cNvSpPr>
                <a:spLocks noChangeArrowheads="1"/>
              </xdr:cNvSpPr>
            </xdr:nvSpPr>
            <xdr:spPr bwMode="auto">
              <a:xfrm>
                <a:off x="6" y="5"/>
                <a:ext cx="4" cy="18"/>
              </a:xfrm>
              <a:prstGeom prst="rect">
                <a:avLst/>
              </a:prstGeom>
              <a:solidFill>
                <a:srgbClr val="FFCC00"/>
              </a:solidFill>
              <a:ln w="9525">
                <a:solidFill>
                  <a:srgbClr val="000000"/>
                </a:solidFill>
                <a:miter lim="800000"/>
                <a:headEnd/>
                <a:tailEnd/>
              </a:ln>
            </xdr:spPr>
          </xdr:sp>
          <xdr:sp macro="" textlink="">
            <xdr:nvSpPr>
              <xdr:cNvPr id="12554" name="Rectangle 414"/>
              <xdr:cNvSpPr>
                <a:spLocks noChangeArrowheads="1"/>
              </xdr:cNvSpPr>
            </xdr:nvSpPr>
            <xdr:spPr bwMode="auto">
              <a:xfrm>
                <a:off x="3" y="0"/>
                <a:ext cx="3" cy="28"/>
              </a:xfrm>
              <a:prstGeom prst="rect">
                <a:avLst/>
              </a:prstGeom>
              <a:solidFill>
                <a:srgbClr val="FF9933"/>
              </a:solidFill>
              <a:ln w="9525">
                <a:solidFill>
                  <a:srgbClr val="000000"/>
                </a:solidFill>
                <a:miter lim="800000"/>
                <a:headEnd/>
                <a:tailEnd/>
              </a:ln>
            </xdr:spPr>
          </xdr:sp>
          <xdr:sp macro="" textlink="">
            <xdr:nvSpPr>
              <xdr:cNvPr id="12555" name="Rectangle 415"/>
              <xdr:cNvSpPr>
                <a:spLocks noChangeArrowheads="1"/>
              </xdr:cNvSpPr>
            </xdr:nvSpPr>
            <xdr:spPr bwMode="auto">
              <a:xfrm>
                <a:off x="0" y="2"/>
                <a:ext cx="3" cy="24"/>
              </a:xfrm>
              <a:prstGeom prst="rect">
                <a:avLst/>
              </a:prstGeom>
              <a:solidFill>
                <a:srgbClr val="FF9933"/>
              </a:solidFill>
              <a:ln w="9525">
                <a:solidFill>
                  <a:srgbClr val="000000"/>
                </a:solidFill>
                <a:miter lim="800000"/>
                <a:headEnd/>
                <a:tailEnd/>
              </a:ln>
            </xdr:spPr>
          </xdr:sp>
        </xdr:grpSp>
        <xdr:sp macro="" textlink="">
          <xdr:nvSpPr>
            <xdr:cNvPr id="588" name="Rectangle 587"/>
            <xdr:cNvSpPr/>
          </xdr:nvSpPr>
          <xdr:spPr>
            <a:xfrm>
              <a:off x="439127" y="10098458"/>
              <a:ext cx="109904" cy="378558"/>
            </a:xfrm>
            <a:prstGeom prst="rect">
              <a:avLst/>
            </a:prstGeom>
            <a:solidFill>
              <a:schemeClr val="accent3">
                <a:lumMod val="60000"/>
                <a:lumOff val="40000"/>
              </a:schemeClr>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589" name="AutoShape 1279"/>
          <xdr:cNvSpPr>
            <a:spLocks/>
          </xdr:cNvSpPr>
        </xdr:nvSpPr>
        <xdr:spPr bwMode="auto">
          <a:xfrm>
            <a:off x="852610" y="8340481"/>
            <a:ext cx="1565275" cy="1270000"/>
          </a:xfrm>
          <a:prstGeom prst="accentCallout1">
            <a:avLst>
              <a:gd name="adj1" fmla="val 15000"/>
              <a:gd name="adj2" fmla="val -3736"/>
              <a:gd name="adj3" fmla="val 148846"/>
              <a:gd name="adj4" fmla="val -22297"/>
            </a:avLst>
          </a:prstGeom>
          <a:solidFill>
            <a:srgbClr val="FFFFFF"/>
          </a:solidFill>
          <a:ln w="19050">
            <a:solidFill>
              <a:srgbClr val="000000"/>
            </a:solidFill>
            <a:miter lim="800000"/>
            <a:headEnd/>
            <a:tailEnd/>
          </a:ln>
        </xdr:spPr>
        <xdr:txBody>
          <a:bodyPr vertOverflow="clip" wrap="square" lIns="45720" tIns="41148" rIns="0" bIns="0" anchor="t" upright="1"/>
          <a:lstStyle/>
          <a:p>
            <a:pPr algn="l" rtl="0">
              <a:defRPr sz="1000"/>
            </a:pPr>
            <a:r>
              <a:rPr lang="en-US" sz="2000" b="1" i="0" u="none" strike="noStrike" baseline="0">
                <a:solidFill>
                  <a:srgbClr val="000000"/>
                </a:solidFill>
                <a:latin typeface="Arial"/>
                <a:cs typeface="Arial"/>
              </a:rPr>
              <a:t>Pressure Relief Disk at Each</a:t>
            </a:r>
          </a:p>
          <a:p>
            <a:pPr algn="l" rtl="0">
              <a:defRPr sz="1000"/>
            </a:pPr>
            <a:r>
              <a:rPr lang="en-US" sz="2000" b="1" i="0" u="none" strike="noStrike" baseline="0">
                <a:solidFill>
                  <a:srgbClr val="000000"/>
                </a:solidFill>
                <a:latin typeface="Arial"/>
                <a:cs typeface="Arial"/>
              </a:rPr>
              <a:t>Module</a:t>
            </a:r>
          </a:p>
        </xdr:txBody>
      </xdr:sp>
      <xdr:cxnSp macro="">
        <xdr:nvCxnSpPr>
          <xdr:cNvPr id="18" name="Straight Connector 17"/>
          <xdr:cNvCxnSpPr>
            <a:endCxn id="12298" idx="1"/>
          </xdr:cNvCxnSpPr>
        </xdr:nvCxnSpPr>
        <xdr:spPr>
          <a:xfrm flipH="1" flipV="1">
            <a:off x="590550" y="7090875"/>
            <a:ext cx="203200" cy="1457202"/>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nvGrpSpPr>
          <xdr:cNvPr id="20" name="Group 19"/>
          <xdr:cNvGrpSpPr/>
        </xdr:nvGrpSpPr>
        <xdr:grpSpPr>
          <a:xfrm>
            <a:off x="3920637" y="9492762"/>
            <a:ext cx="5685692" cy="1670050"/>
            <a:chOff x="3920637" y="9492762"/>
            <a:chExt cx="5685692" cy="1670050"/>
          </a:xfrm>
        </xdr:grpSpPr>
        <xdr:sp macro="" textlink="">
          <xdr:nvSpPr>
            <xdr:cNvPr id="12556" name="AutoShape 1323"/>
            <xdr:cNvSpPr>
              <a:spLocks noChangeArrowheads="1"/>
            </xdr:cNvSpPr>
          </xdr:nvSpPr>
          <xdr:spPr bwMode="auto">
            <a:xfrm>
              <a:off x="3958796" y="9688690"/>
              <a:ext cx="5647533" cy="1278195"/>
            </a:xfrm>
            <a:prstGeom prst="roundRect">
              <a:avLst>
                <a:gd name="adj" fmla="val 11111"/>
              </a:avLst>
            </a:prstGeom>
            <a:solidFill>
              <a:srgbClr val="999933"/>
            </a:solidFill>
            <a:ln w="19050">
              <a:solidFill>
                <a:srgbClr val="000000"/>
              </a:solidFill>
              <a:round/>
              <a:headEnd/>
              <a:tailEnd/>
            </a:ln>
          </xdr:spPr>
        </xdr:sp>
        <xdr:sp macro="" textlink="">
          <xdr:nvSpPr>
            <xdr:cNvPr id="12557" name="AutoShape 1324"/>
            <xdr:cNvSpPr>
              <a:spLocks noChangeArrowheads="1"/>
            </xdr:cNvSpPr>
          </xdr:nvSpPr>
          <xdr:spPr bwMode="auto">
            <a:xfrm>
              <a:off x="4369005" y="9763329"/>
              <a:ext cx="5151466" cy="1138246"/>
            </a:xfrm>
            <a:prstGeom prst="roundRect">
              <a:avLst>
                <a:gd name="adj" fmla="val 6616"/>
              </a:avLst>
            </a:prstGeom>
            <a:solidFill>
              <a:srgbClr val="FFFFFF"/>
            </a:solidFill>
            <a:ln w="19050">
              <a:solidFill>
                <a:srgbClr val="000000"/>
              </a:solidFill>
              <a:round/>
              <a:headEnd/>
              <a:tailEnd/>
            </a:ln>
          </xdr:spPr>
        </xdr:sp>
        <xdr:sp macro="" textlink="">
          <xdr:nvSpPr>
            <xdr:cNvPr id="12558" name="Rectangle 1326" descr="Dark upward diagonal"/>
            <xdr:cNvSpPr>
              <a:spLocks noChangeArrowheads="1"/>
            </xdr:cNvSpPr>
          </xdr:nvSpPr>
          <xdr:spPr bwMode="auto">
            <a:xfrm>
              <a:off x="9377375" y="9837968"/>
              <a:ext cx="28619" cy="951649"/>
            </a:xfrm>
            <a:prstGeom prst="rect">
              <a:avLst/>
            </a:prstGeom>
            <a:pattFill prst="dkUpDiag">
              <a:fgClr>
                <a:srgbClr val="000000"/>
              </a:fgClr>
              <a:bgClr>
                <a:srgbClr val="FFFFFF"/>
              </a:bgClr>
            </a:pattFill>
            <a:ln w="9525">
              <a:solidFill>
                <a:srgbClr val="000000"/>
              </a:solidFill>
              <a:miter lim="800000"/>
              <a:headEnd/>
              <a:tailEnd/>
            </a:ln>
          </xdr:spPr>
        </xdr:sp>
        <xdr:sp macro="" textlink="">
          <xdr:nvSpPr>
            <xdr:cNvPr id="12559" name="Rectangle 1327" descr="Dark upward diagonal"/>
            <xdr:cNvSpPr>
              <a:spLocks noChangeArrowheads="1"/>
            </xdr:cNvSpPr>
          </xdr:nvSpPr>
          <xdr:spPr bwMode="auto">
            <a:xfrm>
              <a:off x="4388085" y="9856628"/>
              <a:ext cx="38159" cy="942319"/>
            </a:xfrm>
            <a:prstGeom prst="rect">
              <a:avLst/>
            </a:prstGeom>
            <a:pattFill prst="dkUpDiag">
              <a:fgClr>
                <a:srgbClr val="000000"/>
              </a:fgClr>
              <a:bgClr>
                <a:srgbClr val="FFFFFF"/>
              </a:bgClr>
            </a:pattFill>
            <a:ln w="9525">
              <a:solidFill>
                <a:srgbClr val="000000"/>
              </a:solidFill>
              <a:miter lim="800000"/>
              <a:headEnd/>
              <a:tailEnd/>
            </a:ln>
          </xdr:spPr>
        </xdr:sp>
        <xdr:sp macro="" textlink="">
          <xdr:nvSpPr>
            <xdr:cNvPr id="12560" name="Rectangle 1332"/>
            <xdr:cNvSpPr>
              <a:spLocks noChangeArrowheads="1"/>
            </xdr:cNvSpPr>
          </xdr:nvSpPr>
          <xdr:spPr bwMode="auto">
            <a:xfrm>
              <a:off x="3920637" y="9492762"/>
              <a:ext cx="352971" cy="1642060"/>
            </a:xfrm>
            <a:prstGeom prst="rect">
              <a:avLst/>
            </a:prstGeom>
            <a:solidFill>
              <a:srgbClr val="FFFFFF"/>
            </a:solidFill>
            <a:ln w="9525">
              <a:noFill/>
              <a:miter lim="800000"/>
              <a:headEnd/>
              <a:tailEnd/>
            </a:ln>
          </xdr:spPr>
        </xdr:sp>
        <xdr:grpSp>
          <xdr:nvGrpSpPr>
            <xdr:cNvPr id="12561" name="Group 1351"/>
            <xdr:cNvGrpSpPr>
              <a:grpSpLocks/>
            </xdr:cNvGrpSpPr>
          </xdr:nvGrpSpPr>
          <xdr:grpSpPr bwMode="auto">
            <a:xfrm>
              <a:off x="4445323" y="9492762"/>
              <a:ext cx="391130" cy="279897"/>
              <a:chOff x="595" y="629"/>
              <a:chExt cx="59" cy="30"/>
            </a:xfrm>
          </xdr:grpSpPr>
          <xdr:sp macro="" textlink="">
            <xdr:nvSpPr>
              <xdr:cNvPr id="12669" name="Rectangle 1352" descr="Wide downward diagonal"/>
              <xdr:cNvSpPr>
                <a:spLocks noChangeArrowheads="1"/>
              </xdr:cNvSpPr>
            </xdr:nvSpPr>
            <xdr:spPr bwMode="auto">
              <a:xfrm>
                <a:off x="595" y="629"/>
                <a:ext cx="59" cy="30"/>
              </a:xfrm>
              <a:prstGeom prst="rect">
                <a:avLst/>
              </a:prstGeom>
              <a:pattFill prst="wdDnDiag">
                <a:fgClr>
                  <a:srgbClr val="000000"/>
                </a:fgClr>
                <a:bgClr>
                  <a:srgbClr val="FFFFFF"/>
                </a:bgClr>
              </a:pattFill>
              <a:ln w="9525">
                <a:solidFill>
                  <a:srgbClr val="000000"/>
                </a:solidFill>
                <a:miter lim="800000"/>
                <a:headEnd/>
                <a:tailEnd/>
              </a:ln>
            </xdr:spPr>
          </xdr:sp>
          <xdr:sp macro="" textlink="">
            <xdr:nvSpPr>
              <xdr:cNvPr id="12670" name="Rectangle 1353"/>
              <xdr:cNvSpPr>
                <a:spLocks noChangeArrowheads="1"/>
              </xdr:cNvSpPr>
            </xdr:nvSpPr>
            <xdr:spPr bwMode="auto">
              <a:xfrm>
                <a:off x="598" y="629"/>
                <a:ext cx="53" cy="30"/>
              </a:xfrm>
              <a:prstGeom prst="rect">
                <a:avLst/>
              </a:prstGeom>
              <a:solidFill>
                <a:srgbClr val="FFFFFF"/>
              </a:solidFill>
              <a:ln w="9525">
                <a:solidFill>
                  <a:srgbClr val="000000"/>
                </a:solidFill>
                <a:miter lim="800000"/>
                <a:headEnd/>
                <a:tailEnd/>
              </a:ln>
            </xdr:spPr>
          </xdr:sp>
        </xdr:grpSp>
        <xdr:sp macro="" textlink="">
          <xdr:nvSpPr>
            <xdr:cNvPr id="12562" name="Line 1354"/>
            <xdr:cNvSpPr>
              <a:spLocks noChangeShapeType="1"/>
            </xdr:cNvSpPr>
          </xdr:nvSpPr>
          <xdr:spPr bwMode="auto">
            <a:xfrm>
              <a:off x="4414802" y="10884284"/>
              <a:ext cx="5000294" cy="0"/>
            </a:xfrm>
            <a:prstGeom prst="line">
              <a:avLst/>
            </a:prstGeom>
            <a:noFill/>
            <a:ln w="19050">
              <a:solidFill>
                <a:srgbClr val="0000FF"/>
              </a:solidFill>
              <a:round/>
              <a:headEnd/>
              <a:tailEnd/>
            </a:ln>
          </xdr:spPr>
        </xdr:sp>
        <xdr:sp macro="" textlink="">
          <xdr:nvSpPr>
            <xdr:cNvPr id="12563" name="Line 1355"/>
            <xdr:cNvSpPr>
              <a:spLocks noChangeShapeType="1"/>
            </xdr:cNvSpPr>
          </xdr:nvSpPr>
          <xdr:spPr bwMode="auto">
            <a:xfrm>
              <a:off x="6725324" y="10826936"/>
              <a:ext cx="314812" cy="0"/>
            </a:xfrm>
            <a:prstGeom prst="line">
              <a:avLst/>
            </a:prstGeom>
            <a:noFill/>
            <a:ln w="19050">
              <a:solidFill>
                <a:srgbClr val="0000FF"/>
              </a:solidFill>
              <a:round/>
              <a:headEnd/>
              <a:tailEnd/>
            </a:ln>
          </xdr:spPr>
        </xdr:sp>
        <xdr:sp macro="" textlink="">
          <xdr:nvSpPr>
            <xdr:cNvPr id="12564" name="Line 1356"/>
            <xdr:cNvSpPr>
              <a:spLocks noChangeShapeType="1"/>
            </xdr:cNvSpPr>
          </xdr:nvSpPr>
          <xdr:spPr bwMode="auto">
            <a:xfrm>
              <a:off x="5494696" y="10826936"/>
              <a:ext cx="314812" cy="0"/>
            </a:xfrm>
            <a:prstGeom prst="line">
              <a:avLst/>
            </a:prstGeom>
            <a:noFill/>
            <a:ln w="19050">
              <a:solidFill>
                <a:srgbClr val="0000FF"/>
              </a:solidFill>
              <a:round/>
              <a:headEnd/>
              <a:tailEnd/>
            </a:ln>
          </xdr:spPr>
        </xdr:sp>
        <xdr:sp macro="" textlink="">
          <xdr:nvSpPr>
            <xdr:cNvPr id="12565" name="Line 1357"/>
            <xdr:cNvSpPr>
              <a:spLocks noChangeShapeType="1"/>
            </xdr:cNvSpPr>
          </xdr:nvSpPr>
          <xdr:spPr bwMode="auto">
            <a:xfrm>
              <a:off x="4378545" y="10817606"/>
              <a:ext cx="314812" cy="0"/>
            </a:xfrm>
            <a:prstGeom prst="line">
              <a:avLst/>
            </a:prstGeom>
            <a:noFill/>
            <a:ln w="19050">
              <a:solidFill>
                <a:srgbClr val="0000FF"/>
              </a:solidFill>
              <a:round/>
              <a:headEnd/>
              <a:tailEnd/>
            </a:ln>
          </xdr:spPr>
        </xdr:sp>
        <xdr:grpSp>
          <xdr:nvGrpSpPr>
            <xdr:cNvPr id="12567" name="Group 1504"/>
            <xdr:cNvGrpSpPr>
              <a:grpSpLocks/>
            </xdr:cNvGrpSpPr>
          </xdr:nvGrpSpPr>
          <xdr:grpSpPr bwMode="auto">
            <a:xfrm>
              <a:off x="4206830" y="9679360"/>
              <a:ext cx="181255" cy="1287525"/>
              <a:chOff x="597" y="978"/>
              <a:chExt cx="19" cy="155"/>
            </a:xfrm>
          </xdr:grpSpPr>
          <xdr:sp macro="" textlink="">
            <xdr:nvSpPr>
              <xdr:cNvPr id="12648" name="Rectangle 1330"/>
              <xdr:cNvSpPr>
                <a:spLocks noChangeArrowheads="1"/>
              </xdr:cNvSpPr>
            </xdr:nvSpPr>
            <xdr:spPr bwMode="auto">
              <a:xfrm>
                <a:off x="606" y="979"/>
                <a:ext cx="5" cy="8"/>
              </a:xfrm>
              <a:prstGeom prst="rect">
                <a:avLst/>
              </a:prstGeom>
              <a:solidFill>
                <a:srgbClr val="000000"/>
              </a:solidFill>
              <a:ln w="9525">
                <a:solidFill>
                  <a:srgbClr val="000000"/>
                </a:solidFill>
                <a:miter lim="800000"/>
                <a:headEnd/>
                <a:tailEnd/>
              </a:ln>
            </xdr:spPr>
          </xdr:sp>
          <xdr:sp macro="" textlink="">
            <xdr:nvSpPr>
              <xdr:cNvPr id="12649" name="Rectangle 1331"/>
              <xdr:cNvSpPr>
                <a:spLocks noChangeArrowheads="1"/>
              </xdr:cNvSpPr>
            </xdr:nvSpPr>
            <xdr:spPr bwMode="auto">
              <a:xfrm>
                <a:off x="606" y="989"/>
                <a:ext cx="8" cy="134"/>
              </a:xfrm>
              <a:prstGeom prst="rect">
                <a:avLst/>
              </a:prstGeom>
              <a:solidFill>
                <a:srgbClr val="999933"/>
              </a:solidFill>
              <a:ln w="9525">
                <a:solidFill>
                  <a:srgbClr val="000000"/>
                </a:solidFill>
                <a:miter lim="800000"/>
                <a:headEnd/>
                <a:tailEnd/>
              </a:ln>
            </xdr:spPr>
          </xdr:sp>
          <xdr:sp macro="" textlink="">
            <xdr:nvSpPr>
              <xdr:cNvPr id="12650" name="Rectangle 1333" descr="Dark downward diagonal"/>
              <xdr:cNvSpPr>
                <a:spLocks noChangeArrowheads="1"/>
              </xdr:cNvSpPr>
            </xdr:nvSpPr>
            <xdr:spPr bwMode="auto">
              <a:xfrm>
                <a:off x="603" y="978"/>
                <a:ext cx="3" cy="155"/>
              </a:xfrm>
              <a:prstGeom prst="rect">
                <a:avLst/>
              </a:prstGeom>
              <a:pattFill prst="dkDnDiag">
                <a:fgClr>
                  <a:srgbClr val="000000"/>
                </a:fgClr>
                <a:bgClr>
                  <a:srgbClr val="6699FF"/>
                </a:bgClr>
              </a:pattFill>
              <a:ln w="9525">
                <a:solidFill>
                  <a:srgbClr val="000000"/>
                </a:solidFill>
                <a:miter lim="800000"/>
                <a:headEnd/>
                <a:tailEnd/>
              </a:ln>
            </xdr:spPr>
          </xdr:sp>
          <xdr:sp macro="" textlink="">
            <xdr:nvSpPr>
              <xdr:cNvPr id="12651" name="Rectangle 1334"/>
              <xdr:cNvSpPr>
                <a:spLocks noChangeArrowheads="1"/>
              </xdr:cNvSpPr>
            </xdr:nvSpPr>
            <xdr:spPr bwMode="auto">
              <a:xfrm>
                <a:off x="607" y="1124"/>
                <a:ext cx="5" cy="8"/>
              </a:xfrm>
              <a:prstGeom prst="rect">
                <a:avLst/>
              </a:prstGeom>
              <a:solidFill>
                <a:srgbClr val="000000"/>
              </a:solidFill>
              <a:ln w="9525">
                <a:solidFill>
                  <a:srgbClr val="000000"/>
                </a:solidFill>
                <a:miter lim="800000"/>
                <a:headEnd/>
                <a:tailEnd/>
              </a:ln>
            </xdr:spPr>
          </xdr:sp>
          <xdr:grpSp>
            <xdr:nvGrpSpPr>
              <xdr:cNvPr id="12652" name="Group 1335"/>
              <xdr:cNvGrpSpPr>
                <a:grpSpLocks/>
              </xdr:cNvGrpSpPr>
            </xdr:nvGrpSpPr>
            <xdr:grpSpPr bwMode="auto">
              <a:xfrm>
                <a:off x="597" y="978"/>
                <a:ext cx="15" cy="11"/>
                <a:chOff x="719" y="713"/>
                <a:chExt cx="15" cy="11"/>
              </a:xfrm>
            </xdr:grpSpPr>
            <xdr:grpSp>
              <xdr:nvGrpSpPr>
                <xdr:cNvPr id="12664" name="Group 1336"/>
                <xdr:cNvGrpSpPr>
                  <a:grpSpLocks/>
                </xdr:cNvGrpSpPr>
              </xdr:nvGrpSpPr>
              <xdr:grpSpPr bwMode="auto">
                <a:xfrm>
                  <a:off x="719" y="713"/>
                  <a:ext cx="5" cy="11"/>
                  <a:chOff x="719" y="713"/>
                  <a:chExt cx="5" cy="10"/>
                </a:xfrm>
              </xdr:grpSpPr>
              <xdr:sp macro="" textlink="">
                <xdr:nvSpPr>
                  <xdr:cNvPr id="12666" name="Rectangle 1337"/>
                  <xdr:cNvSpPr>
                    <a:spLocks noChangeArrowheads="1"/>
                  </xdr:cNvSpPr>
                </xdr:nvSpPr>
                <xdr:spPr bwMode="auto">
                  <a:xfrm>
                    <a:off x="719" y="713"/>
                    <a:ext cx="5" cy="10"/>
                  </a:xfrm>
                  <a:prstGeom prst="rect">
                    <a:avLst/>
                  </a:prstGeom>
                  <a:solidFill>
                    <a:srgbClr val="FFFFFF"/>
                  </a:solidFill>
                  <a:ln w="9525">
                    <a:solidFill>
                      <a:srgbClr val="000000"/>
                    </a:solidFill>
                    <a:miter lim="800000"/>
                    <a:headEnd/>
                    <a:tailEnd/>
                  </a:ln>
                </xdr:spPr>
              </xdr:sp>
              <xdr:sp macro="" textlink="">
                <xdr:nvSpPr>
                  <xdr:cNvPr id="12667" name="Line 1338"/>
                  <xdr:cNvSpPr>
                    <a:spLocks noChangeShapeType="1"/>
                  </xdr:cNvSpPr>
                </xdr:nvSpPr>
                <xdr:spPr bwMode="auto">
                  <a:xfrm>
                    <a:off x="719" y="716"/>
                    <a:ext cx="5" cy="0"/>
                  </a:xfrm>
                  <a:prstGeom prst="line">
                    <a:avLst/>
                  </a:prstGeom>
                  <a:noFill/>
                  <a:ln w="9525">
                    <a:solidFill>
                      <a:srgbClr val="000000"/>
                    </a:solidFill>
                    <a:round/>
                    <a:headEnd/>
                    <a:tailEnd/>
                  </a:ln>
                </xdr:spPr>
              </xdr:sp>
              <xdr:sp macro="" textlink="">
                <xdr:nvSpPr>
                  <xdr:cNvPr id="12668" name="Line 1339"/>
                  <xdr:cNvSpPr>
                    <a:spLocks noChangeShapeType="1"/>
                  </xdr:cNvSpPr>
                </xdr:nvSpPr>
                <xdr:spPr bwMode="auto">
                  <a:xfrm>
                    <a:off x="719" y="721"/>
                    <a:ext cx="5" cy="0"/>
                  </a:xfrm>
                  <a:prstGeom prst="line">
                    <a:avLst/>
                  </a:prstGeom>
                  <a:noFill/>
                  <a:ln w="9525">
                    <a:solidFill>
                      <a:srgbClr val="000000"/>
                    </a:solidFill>
                    <a:round/>
                    <a:headEnd/>
                    <a:tailEnd/>
                  </a:ln>
                </xdr:spPr>
              </xdr:sp>
            </xdr:grpSp>
            <xdr:sp macro="" textlink="">
              <xdr:nvSpPr>
                <xdr:cNvPr id="12665" name="Rectangle 1340" descr="Dark upward diagonal"/>
                <xdr:cNvSpPr>
                  <a:spLocks noChangeArrowheads="1"/>
                </xdr:cNvSpPr>
              </xdr:nvSpPr>
              <xdr:spPr bwMode="auto">
                <a:xfrm flipV="1">
                  <a:off x="724" y="717"/>
                  <a:ext cx="10" cy="3"/>
                </a:xfrm>
                <a:prstGeom prst="rect">
                  <a:avLst/>
                </a:prstGeom>
                <a:pattFill prst="dkUpDiag">
                  <a:fgClr>
                    <a:srgbClr val="000000"/>
                  </a:fgClr>
                  <a:bgClr>
                    <a:srgbClr val="FFFFFF"/>
                  </a:bgClr>
                </a:pattFill>
                <a:ln w="9525">
                  <a:solidFill>
                    <a:srgbClr val="000000"/>
                  </a:solidFill>
                  <a:miter lim="800000"/>
                  <a:headEnd/>
                  <a:tailEnd/>
                </a:ln>
              </xdr:spPr>
            </xdr:sp>
          </xdr:grpSp>
          <xdr:grpSp>
            <xdr:nvGrpSpPr>
              <xdr:cNvPr id="12653" name="Group 1341"/>
              <xdr:cNvGrpSpPr>
                <a:grpSpLocks/>
              </xdr:cNvGrpSpPr>
            </xdr:nvGrpSpPr>
            <xdr:grpSpPr bwMode="auto">
              <a:xfrm>
                <a:off x="598" y="1122"/>
                <a:ext cx="15" cy="11"/>
                <a:chOff x="719" y="713"/>
                <a:chExt cx="15" cy="11"/>
              </a:xfrm>
            </xdr:grpSpPr>
            <xdr:grpSp>
              <xdr:nvGrpSpPr>
                <xdr:cNvPr id="12659" name="Group 1342"/>
                <xdr:cNvGrpSpPr>
                  <a:grpSpLocks/>
                </xdr:cNvGrpSpPr>
              </xdr:nvGrpSpPr>
              <xdr:grpSpPr bwMode="auto">
                <a:xfrm>
                  <a:off x="719" y="713"/>
                  <a:ext cx="5" cy="11"/>
                  <a:chOff x="719" y="713"/>
                  <a:chExt cx="5" cy="10"/>
                </a:xfrm>
              </xdr:grpSpPr>
              <xdr:sp macro="" textlink="">
                <xdr:nvSpPr>
                  <xdr:cNvPr id="12661" name="Rectangle 1343"/>
                  <xdr:cNvSpPr>
                    <a:spLocks noChangeArrowheads="1"/>
                  </xdr:cNvSpPr>
                </xdr:nvSpPr>
                <xdr:spPr bwMode="auto">
                  <a:xfrm>
                    <a:off x="719" y="713"/>
                    <a:ext cx="5" cy="10"/>
                  </a:xfrm>
                  <a:prstGeom prst="rect">
                    <a:avLst/>
                  </a:prstGeom>
                  <a:solidFill>
                    <a:srgbClr val="FFFFFF"/>
                  </a:solidFill>
                  <a:ln w="9525">
                    <a:solidFill>
                      <a:srgbClr val="000000"/>
                    </a:solidFill>
                    <a:miter lim="800000"/>
                    <a:headEnd/>
                    <a:tailEnd/>
                  </a:ln>
                </xdr:spPr>
              </xdr:sp>
              <xdr:sp macro="" textlink="">
                <xdr:nvSpPr>
                  <xdr:cNvPr id="12662" name="Line 1344"/>
                  <xdr:cNvSpPr>
                    <a:spLocks noChangeShapeType="1"/>
                  </xdr:cNvSpPr>
                </xdr:nvSpPr>
                <xdr:spPr bwMode="auto">
                  <a:xfrm>
                    <a:off x="719" y="716"/>
                    <a:ext cx="5" cy="0"/>
                  </a:xfrm>
                  <a:prstGeom prst="line">
                    <a:avLst/>
                  </a:prstGeom>
                  <a:noFill/>
                  <a:ln w="9525">
                    <a:solidFill>
                      <a:srgbClr val="000000"/>
                    </a:solidFill>
                    <a:round/>
                    <a:headEnd/>
                    <a:tailEnd/>
                  </a:ln>
                </xdr:spPr>
              </xdr:sp>
              <xdr:sp macro="" textlink="">
                <xdr:nvSpPr>
                  <xdr:cNvPr id="12663" name="Line 1345"/>
                  <xdr:cNvSpPr>
                    <a:spLocks noChangeShapeType="1"/>
                  </xdr:cNvSpPr>
                </xdr:nvSpPr>
                <xdr:spPr bwMode="auto">
                  <a:xfrm>
                    <a:off x="719" y="721"/>
                    <a:ext cx="5" cy="0"/>
                  </a:xfrm>
                  <a:prstGeom prst="line">
                    <a:avLst/>
                  </a:prstGeom>
                  <a:noFill/>
                  <a:ln w="9525">
                    <a:solidFill>
                      <a:srgbClr val="000000"/>
                    </a:solidFill>
                    <a:round/>
                    <a:headEnd/>
                    <a:tailEnd/>
                  </a:ln>
                </xdr:spPr>
              </xdr:sp>
            </xdr:grpSp>
            <xdr:sp macro="" textlink="">
              <xdr:nvSpPr>
                <xdr:cNvPr id="12660" name="Rectangle 1346" descr="Dark upward diagonal"/>
                <xdr:cNvSpPr>
                  <a:spLocks noChangeArrowheads="1"/>
                </xdr:cNvSpPr>
              </xdr:nvSpPr>
              <xdr:spPr bwMode="auto">
                <a:xfrm flipV="1">
                  <a:off x="724" y="717"/>
                  <a:ext cx="10" cy="3"/>
                </a:xfrm>
                <a:prstGeom prst="rect">
                  <a:avLst/>
                </a:prstGeom>
                <a:pattFill prst="dkUpDiag">
                  <a:fgClr>
                    <a:srgbClr val="000000"/>
                  </a:fgClr>
                  <a:bgClr>
                    <a:srgbClr val="FFFFFF"/>
                  </a:bgClr>
                </a:pattFill>
                <a:ln w="9525">
                  <a:solidFill>
                    <a:srgbClr val="000000"/>
                  </a:solidFill>
                  <a:miter lim="800000"/>
                  <a:headEnd/>
                  <a:tailEnd/>
                </a:ln>
              </xdr:spPr>
            </xdr:sp>
          </xdr:grpSp>
          <xdr:grpSp>
            <xdr:nvGrpSpPr>
              <xdr:cNvPr id="12654" name="Group 1347"/>
              <xdr:cNvGrpSpPr>
                <a:grpSpLocks/>
              </xdr:cNvGrpSpPr>
            </xdr:nvGrpSpPr>
            <xdr:grpSpPr bwMode="auto">
              <a:xfrm>
                <a:off x="597" y="1044"/>
                <a:ext cx="5" cy="11"/>
                <a:chOff x="719" y="713"/>
                <a:chExt cx="5" cy="10"/>
              </a:xfrm>
            </xdr:grpSpPr>
            <xdr:sp macro="" textlink="">
              <xdr:nvSpPr>
                <xdr:cNvPr id="12656" name="Rectangle 1348"/>
                <xdr:cNvSpPr>
                  <a:spLocks noChangeArrowheads="1"/>
                </xdr:cNvSpPr>
              </xdr:nvSpPr>
              <xdr:spPr bwMode="auto">
                <a:xfrm>
                  <a:off x="719" y="713"/>
                  <a:ext cx="5" cy="10"/>
                </a:xfrm>
                <a:prstGeom prst="rect">
                  <a:avLst/>
                </a:prstGeom>
                <a:solidFill>
                  <a:srgbClr val="FFFFFF"/>
                </a:solidFill>
                <a:ln w="9525">
                  <a:solidFill>
                    <a:srgbClr val="000000"/>
                  </a:solidFill>
                  <a:miter lim="800000"/>
                  <a:headEnd/>
                  <a:tailEnd/>
                </a:ln>
              </xdr:spPr>
            </xdr:sp>
            <xdr:sp macro="" textlink="">
              <xdr:nvSpPr>
                <xdr:cNvPr id="12657" name="Line 1349"/>
                <xdr:cNvSpPr>
                  <a:spLocks noChangeShapeType="1"/>
                </xdr:cNvSpPr>
              </xdr:nvSpPr>
              <xdr:spPr bwMode="auto">
                <a:xfrm>
                  <a:off x="719" y="716"/>
                  <a:ext cx="5" cy="0"/>
                </a:xfrm>
                <a:prstGeom prst="line">
                  <a:avLst/>
                </a:prstGeom>
                <a:noFill/>
                <a:ln w="9525">
                  <a:solidFill>
                    <a:srgbClr val="000000"/>
                  </a:solidFill>
                  <a:round/>
                  <a:headEnd/>
                  <a:tailEnd/>
                </a:ln>
              </xdr:spPr>
            </xdr:sp>
            <xdr:sp macro="" textlink="">
              <xdr:nvSpPr>
                <xdr:cNvPr id="12658" name="Line 1350"/>
                <xdr:cNvSpPr>
                  <a:spLocks noChangeShapeType="1"/>
                </xdr:cNvSpPr>
              </xdr:nvSpPr>
              <xdr:spPr bwMode="auto">
                <a:xfrm>
                  <a:off x="719" y="721"/>
                  <a:ext cx="5" cy="0"/>
                </a:xfrm>
                <a:prstGeom prst="line">
                  <a:avLst/>
                </a:prstGeom>
                <a:noFill/>
                <a:ln w="9525">
                  <a:solidFill>
                    <a:srgbClr val="000000"/>
                  </a:solidFill>
                  <a:round/>
                  <a:headEnd/>
                  <a:tailEnd/>
                </a:ln>
              </xdr:spPr>
            </xdr:sp>
          </xdr:grpSp>
          <xdr:sp macro="" textlink="">
            <xdr:nvSpPr>
              <xdr:cNvPr id="12655" name="Line 1359"/>
              <xdr:cNvSpPr>
                <a:spLocks noChangeShapeType="1"/>
              </xdr:cNvSpPr>
            </xdr:nvSpPr>
            <xdr:spPr bwMode="auto">
              <a:xfrm flipH="1" flipV="1">
                <a:off x="615" y="1113"/>
                <a:ext cx="1" cy="9"/>
              </a:xfrm>
              <a:prstGeom prst="line">
                <a:avLst/>
              </a:prstGeom>
              <a:noFill/>
              <a:ln w="19050">
                <a:solidFill>
                  <a:srgbClr val="0000FF"/>
                </a:solidFill>
                <a:round/>
                <a:headEnd/>
                <a:tailEnd/>
              </a:ln>
            </xdr:spPr>
          </xdr:sp>
        </xdr:grpSp>
        <xdr:sp macro="" textlink="">
          <xdr:nvSpPr>
            <xdr:cNvPr id="12568" name="AutoShape 1360"/>
            <xdr:cNvSpPr>
              <a:spLocks noChangeArrowheads="1"/>
            </xdr:cNvSpPr>
          </xdr:nvSpPr>
          <xdr:spPr bwMode="auto">
            <a:xfrm flipH="1">
              <a:off x="6696705" y="9772659"/>
              <a:ext cx="372050" cy="74639"/>
            </a:xfrm>
            <a:prstGeom prst="rightArrow">
              <a:avLst>
                <a:gd name="adj1" fmla="val 50000"/>
                <a:gd name="adj2" fmla="val 121875"/>
              </a:avLst>
            </a:prstGeom>
            <a:solidFill>
              <a:srgbClr val="33CCCC"/>
            </a:solidFill>
            <a:ln w="9525">
              <a:solidFill>
                <a:srgbClr val="000000"/>
              </a:solidFill>
              <a:miter lim="800000"/>
              <a:headEnd/>
              <a:tailEnd/>
            </a:ln>
          </xdr:spPr>
        </xdr:sp>
        <xdr:sp macro="" textlink="">
          <xdr:nvSpPr>
            <xdr:cNvPr id="12569" name="AutoShape 1361"/>
            <xdr:cNvSpPr>
              <a:spLocks noChangeArrowheads="1"/>
            </xdr:cNvSpPr>
          </xdr:nvSpPr>
          <xdr:spPr bwMode="auto">
            <a:xfrm rot="10800000" flipH="1">
              <a:off x="7211851" y="10817606"/>
              <a:ext cx="372050" cy="74639"/>
            </a:xfrm>
            <a:prstGeom prst="rightArrow">
              <a:avLst>
                <a:gd name="adj1" fmla="val 50000"/>
                <a:gd name="adj2" fmla="val 121875"/>
              </a:avLst>
            </a:prstGeom>
            <a:solidFill>
              <a:srgbClr val="33CCCC"/>
            </a:solidFill>
            <a:ln w="9525">
              <a:solidFill>
                <a:srgbClr val="000000"/>
              </a:solidFill>
              <a:miter lim="800000"/>
              <a:headEnd/>
              <a:tailEnd/>
            </a:ln>
          </xdr:spPr>
        </xdr:sp>
        <xdr:sp macro="" textlink="">
          <xdr:nvSpPr>
            <xdr:cNvPr id="12570" name="AutoShape 1362"/>
            <xdr:cNvSpPr>
              <a:spLocks noChangeArrowheads="1"/>
            </xdr:cNvSpPr>
          </xdr:nvSpPr>
          <xdr:spPr bwMode="auto">
            <a:xfrm>
              <a:off x="4378545" y="9847298"/>
              <a:ext cx="5046529" cy="960978"/>
            </a:xfrm>
            <a:prstGeom prst="roundRect">
              <a:avLst>
                <a:gd name="adj" fmla="val 4917"/>
              </a:avLst>
            </a:prstGeom>
            <a:noFill/>
            <a:ln w="19050">
              <a:solidFill>
                <a:srgbClr val="993366"/>
              </a:solidFill>
              <a:round/>
              <a:headEnd/>
              <a:tailEnd/>
            </a:ln>
          </xdr:spPr>
        </xdr:sp>
        <xdr:sp macro="" textlink="">
          <xdr:nvSpPr>
            <xdr:cNvPr id="12571" name="Line 1386"/>
            <xdr:cNvSpPr>
              <a:spLocks noChangeShapeType="1"/>
            </xdr:cNvSpPr>
          </xdr:nvSpPr>
          <xdr:spPr bwMode="auto">
            <a:xfrm>
              <a:off x="6887500" y="10798946"/>
              <a:ext cx="9540" cy="111959"/>
            </a:xfrm>
            <a:prstGeom prst="line">
              <a:avLst/>
            </a:prstGeom>
            <a:noFill/>
            <a:ln w="19050">
              <a:solidFill>
                <a:srgbClr val="0000FF"/>
              </a:solidFill>
              <a:prstDash val="sysDot"/>
              <a:round/>
              <a:headEnd/>
              <a:tailEnd/>
            </a:ln>
          </xdr:spPr>
        </xdr:sp>
        <xdr:grpSp>
          <xdr:nvGrpSpPr>
            <xdr:cNvPr id="19" name="Group 18"/>
            <xdr:cNvGrpSpPr/>
          </xdr:nvGrpSpPr>
          <xdr:grpSpPr>
            <a:xfrm>
              <a:off x="7984571" y="10826936"/>
              <a:ext cx="314812" cy="83969"/>
              <a:chOff x="7984571" y="10826936"/>
              <a:chExt cx="314812" cy="83969"/>
            </a:xfrm>
          </xdr:grpSpPr>
          <xdr:sp macro="" textlink="">
            <xdr:nvSpPr>
              <xdr:cNvPr id="12566" name="Line 1358"/>
              <xdr:cNvSpPr>
                <a:spLocks noChangeShapeType="1"/>
              </xdr:cNvSpPr>
            </xdr:nvSpPr>
            <xdr:spPr bwMode="auto">
              <a:xfrm>
                <a:off x="7984571" y="10826936"/>
                <a:ext cx="314812" cy="0"/>
              </a:xfrm>
              <a:prstGeom prst="line">
                <a:avLst/>
              </a:prstGeom>
              <a:noFill/>
              <a:ln w="19050">
                <a:solidFill>
                  <a:srgbClr val="0000FF"/>
                </a:solidFill>
                <a:round/>
                <a:headEnd/>
                <a:tailEnd/>
              </a:ln>
            </xdr:spPr>
          </xdr:sp>
          <xdr:sp macro="" textlink="">
            <xdr:nvSpPr>
              <xdr:cNvPr id="12572" name="Line 1387"/>
              <xdr:cNvSpPr>
                <a:spLocks noChangeShapeType="1"/>
              </xdr:cNvSpPr>
            </xdr:nvSpPr>
            <xdr:spPr bwMode="auto">
              <a:xfrm>
                <a:off x="8137207" y="10836266"/>
                <a:ext cx="0" cy="74639"/>
              </a:xfrm>
              <a:prstGeom prst="line">
                <a:avLst/>
              </a:prstGeom>
              <a:noFill/>
              <a:ln w="19050">
                <a:solidFill>
                  <a:srgbClr val="0000FF"/>
                </a:solidFill>
                <a:prstDash val="sysDot"/>
                <a:round/>
                <a:headEnd/>
                <a:tailEnd/>
              </a:ln>
            </xdr:spPr>
          </xdr:sp>
        </xdr:grpSp>
        <xdr:sp macro="" textlink="">
          <xdr:nvSpPr>
            <xdr:cNvPr id="12573" name="Line 1410"/>
            <xdr:cNvSpPr>
              <a:spLocks noChangeShapeType="1"/>
            </xdr:cNvSpPr>
          </xdr:nvSpPr>
          <xdr:spPr bwMode="auto">
            <a:xfrm rot="16200000">
              <a:off x="9255352" y="10369771"/>
              <a:ext cx="177268" cy="0"/>
            </a:xfrm>
            <a:prstGeom prst="line">
              <a:avLst/>
            </a:prstGeom>
            <a:noFill/>
            <a:ln w="9525">
              <a:solidFill>
                <a:srgbClr val="000000"/>
              </a:solidFill>
              <a:prstDash val="sysDot"/>
              <a:round/>
              <a:headEnd/>
              <a:tailEnd/>
            </a:ln>
          </xdr:spPr>
        </xdr:sp>
        <xdr:grpSp>
          <xdr:nvGrpSpPr>
            <xdr:cNvPr id="12574" name="Group 1420"/>
            <xdr:cNvGrpSpPr>
              <a:grpSpLocks/>
            </xdr:cNvGrpSpPr>
          </xdr:nvGrpSpPr>
          <xdr:grpSpPr bwMode="auto">
            <a:xfrm>
              <a:off x="4473943" y="10882915"/>
              <a:ext cx="391130" cy="279897"/>
              <a:chOff x="595" y="629"/>
              <a:chExt cx="59" cy="30"/>
            </a:xfrm>
          </xdr:grpSpPr>
          <xdr:sp macro="" textlink="">
            <xdr:nvSpPr>
              <xdr:cNvPr id="12646" name="Rectangle 1421" descr="Wide downward diagonal"/>
              <xdr:cNvSpPr>
                <a:spLocks noChangeArrowheads="1"/>
              </xdr:cNvSpPr>
            </xdr:nvSpPr>
            <xdr:spPr bwMode="auto">
              <a:xfrm>
                <a:off x="595" y="629"/>
                <a:ext cx="59" cy="30"/>
              </a:xfrm>
              <a:prstGeom prst="rect">
                <a:avLst/>
              </a:prstGeom>
              <a:pattFill prst="wdDnDiag">
                <a:fgClr>
                  <a:srgbClr val="000000"/>
                </a:fgClr>
                <a:bgClr>
                  <a:srgbClr val="FFFFFF"/>
                </a:bgClr>
              </a:pattFill>
              <a:ln w="9525">
                <a:solidFill>
                  <a:srgbClr val="000000"/>
                </a:solidFill>
                <a:miter lim="800000"/>
                <a:headEnd/>
                <a:tailEnd/>
              </a:ln>
            </xdr:spPr>
          </xdr:sp>
          <xdr:sp macro="" textlink="">
            <xdr:nvSpPr>
              <xdr:cNvPr id="12647" name="Rectangle 1422"/>
              <xdr:cNvSpPr>
                <a:spLocks noChangeArrowheads="1"/>
              </xdr:cNvSpPr>
            </xdr:nvSpPr>
            <xdr:spPr bwMode="auto">
              <a:xfrm>
                <a:off x="598" y="629"/>
                <a:ext cx="53" cy="30"/>
              </a:xfrm>
              <a:prstGeom prst="rect">
                <a:avLst/>
              </a:prstGeom>
              <a:solidFill>
                <a:srgbClr val="FFFFFF"/>
              </a:solidFill>
              <a:ln w="9525">
                <a:solidFill>
                  <a:srgbClr val="000000"/>
                </a:solidFill>
                <a:miter lim="800000"/>
                <a:headEnd/>
                <a:tailEnd/>
              </a:ln>
            </xdr:spPr>
          </xdr:sp>
        </xdr:grpSp>
        <xdr:sp macro="" textlink="">
          <xdr:nvSpPr>
            <xdr:cNvPr id="12575" name="AutoShape 1423"/>
            <xdr:cNvSpPr>
              <a:spLocks noChangeArrowheads="1"/>
            </xdr:cNvSpPr>
          </xdr:nvSpPr>
          <xdr:spPr bwMode="auto">
            <a:xfrm rot="5514549" flipH="1" flipV="1">
              <a:off x="4637587" y="9724435"/>
              <a:ext cx="130618" cy="143096"/>
            </a:xfrm>
            <a:custGeom>
              <a:avLst/>
              <a:gdLst>
                <a:gd name="T0" fmla="*/ 0 w 21600"/>
                <a:gd name="T1" fmla="*/ 0 h 21600"/>
                <a:gd name="T2" fmla="*/ 0 w 21600"/>
                <a:gd name="T3" fmla="*/ 0 h 21600"/>
                <a:gd name="T4" fmla="*/ 0 w 21600"/>
                <a:gd name="T5" fmla="*/ 0 h 21600"/>
                <a:gd name="T6" fmla="*/ 0 w 21600"/>
                <a:gd name="T7" fmla="*/ 0 h 21600"/>
                <a:gd name="T8" fmla="*/ 17694720 60000 65536"/>
                <a:gd name="T9" fmla="*/ 5898240 60000 65536"/>
                <a:gd name="T10" fmla="*/ 5898240 60000 65536"/>
                <a:gd name="T11" fmla="*/ 0 60000 65536"/>
                <a:gd name="T12" fmla="*/ 12343 w 21600"/>
                <a:gd name="T13" fmla="*/ 2880 h 21600"/>
                <a:gd name="T14" fmla="*/ 18514 w 21600"/>
                <a:gd name="T15" fmla="*/ 8640 h 21600"/>
              </a:gdLst>
              <a:ahLst/>
              <a:cxnLst>
                <a:cxn ang="T8">
                  <a:pos x="T0" y="T1"/>
                </a:cxn>
                <a:cxn ang="T9">
                  <a:pos x="T2" y="T3"/>
                </a:cxn>
                <a:cxn ang="T10">
                  <a:pos x="T4" y="T5"/>
                </a:cxn>
                <a:cxn ang="T11">
                  <a:pos x="T6" y="T7"/>
                </a:cxn>
              </a:cxnLst>
              <a:rect l="T12" t="T13" r="T14" b="T15"/>
              <a:pathLst>
                <a:path w="21600" h="21600">
                  <a:moveTo>
                    <a:pt x="21600" y="6079"/>
                  </a:moveTo>
                  <a:lnTo>
                    <a:pt x="15126" y="0"/>
                  </a:lnTo>
                  <a:lnTo>
                    <a:pt x="15126" y="2912"/>
                  </a:lnTo>
                  <a:lnTo>
                    <a:pt x="12427" y="2912"/>
                  </a:lnTo>
                  <a:cubicBezTo>
                    <a:pt x="5564" y="2912"/>
                    <a:pt x="0" y="7052"/>
                    <a:pt x="0" y="12158"/>
                  </a:cubicBezTo>
                  <a:lnTo>
                    <a:pt x="0" y="21600"/>
                  </a:lnTo>
                  <a:lnTo>
                    <a:pt x="6474" y="21600"/>
                  </a:lnTo>
                  <a:lnTo>
                    <a:pt x="6474" y="12158"/>
                  </a:lnTo>
                  <a:cubicBezTo>
                    <a:pt x="6474" y="10550"/>
                    <a:pt x="9139" y="9246"/>
                    <a:pt x="12427" y="9246"/>
                  </a:cubicBezTo>
                  <a:lnTo>
                    <a:pt x="15126" y="9246"/>
                  </a:lnTo>
                  <a:lnTo>
                    <a:pt x="15126" y="12158"/>
                  </a:lnTo>
                  <a:lnTo>
                    <a:pt x="21600" y="6079"/>
                  </a:lnTo>
                  <a:close/>
                </a:path>
              </a:pathLst>
            </a:custGeom>
            <a:solidFill>
              <a:srgbClr val="33CCCC"/>
            </a:solidFill>
            <a:ln w="9525">
              <a:solidFill>
                <a:srgbClr val="000000"/>
              </a:solidFill>
              <a:miter lim="800000"/>
              <a:headEnd/>
              <a:tailEnd/>
            </a:ln>
          </xdr:spPr>
        </xdr:sp>
        <xdr:sp macro="" textlink="">
          <xdr:nvSpPr>
            <xdr:cNvPr id="12576" name="AutoShape 1439"/>
            <xdr:cNvSpPr>
              <a:spLocks noChangeArrowheads="1"/>
            </xdr:cNvSpPr>
          </xdr:nvSpPr>
          <xdr:spPr bwMode="auto">
            <a:xfrm rot="10800000" flipH="1" flipV="1">
              <a:off x="4664738" y="10892245"/>
              <a:ext cx="133557" cy="139948"/>
            </a:xfrm>
            <a:custGeom>
              <a:avLst/>
              <a:gdLst>
                <a:gd name="T0" fmla="*/ 0 w 21600"/>
                <a:gd name="T1" fmla="*/ 0 h 21600"/>
                <a:gd name="T2" fmla="*/ 0 w 21600"/>
                <a:gd name="T3" fmla="*/ 0 h 21600"/>
                <a:gd name="T4" fmla="*/ 0 w 21600"/>
                <a:gd name="T5" fmla="*/ 0 h 21600"/>
                <a:gd name="T6" fmla="*/ 0 w 21600"/>
                <a:gd name="T7" fmla="*/ 0 h 21600"/>
                <a:gd name="T8" fmla="*/ 17694720 60000 65536"/>
                <a:gd name="T9" fmla="*/ 5898240 60000 65536"/>
                <a:gd name="T10" fmla="*/ 5898240 60000 65536"/>
                <a:gd name="T11" fmla="*/ 0 60000 65536"/>
                <a:gd name="T12" fmla="*/ 12343 w 21600"/>
                <a:gd name="T13" fmla="*/ 2880 h 21600"/>
                <a:gd name="T14" fmla="*/ 18514 w 21600"/>
                <a:gd name="T15" fmla="*/ 8640 h 21600"/>
              </a:gdLst>
              <a:ahLst/>
              <a:cxnLst>
                <a:cxn ang="T8">
                  <a:pos x="T0" y="T1"/>
                </a:cxn>
                <a:cxn ang="T9">
                  <a:pos x="T2" y="T3"/>
                </a:cxn>
                <a:cxn ang="T10">
                  <a:pos x="T4" y="T5"/>
                </a:cxn>
                <a:cxn ang="T11">
                  <a:pos x="T6" y="T7"/>
                </a:cxn>
              </a:cxnLst>
              <a:rect l="T12" t="T13" r="T14" b="T15"/>
              <a:pathLst>
                <a:path w="21600" h="21600">
                  <a:moveTo>
                    <a:pt x="21600" y="6079"/>
                  </a:moveTo>
                  <a:lnTo>
                    <a:pt x="15126" y="0"/>
                  </a:lnTo>
                  <a:lnTo>
                    <a:pt x="15126" y="2912"/>
                  </a:lnTo>
                  <a:lnTo>
                    <a:pt x="12427" y="2912"/>
                  </a:lnTo>
                  <a:cubicBezTo>
                    <a:pt x="5564" y="2912"/>
                    <a:pt x="0" y="7052"/>
                    <a:pt x="0" y="12158"/>
                  </a:cubicBezTo>
                  <a:lnTo>
                    <a:pt x="0" y="21600"/>
                  </a:lnTo>
                  <a:lnTo>
                    <a:pt x="6474" y="21600"/>
                  </a:lnTo>
                  <a:lnTo>
                    <a:pt x="6474" y="12158"/>
                  </a:lnTo>
                  <a:cubicBezTo>
                    <a:pt x="6474" y="10550"/>
                    <a:pt x="9139" y="9246"/>
                    <a:pt x="12427" y="9246"/>
                  </a:cubicBezTo>
                  <a:lnTo>
                    <a:pt x="15126" y="9246"/>
                  </a:lnTo>
                  <a:lnTo>
                    <a:pt x="15126" y="12158"/>
                  </a:lnTo>
                  <a:lnTo>
                    <a:pt x="21600" y="6079"/>
                  </a:lnTo>
                  <a:close/>
                </a:path>
              </a:pathLst>
            </a:custGeom>
            <a:solidFill>
              <a:srgbClr val="33CCCC"/>
            </a:solidFill>
            <a:ln w="9525">
              <a:solidFill>
                <a:srgbClr val="000000"/>
              </a:solidFill>
              <a:miter lim="800000"/>
              <a:headEnd/>
              <a:tailEnd/>
            </a:ln>
          </xdr:spPr>
        </xdr:sp>
        <xdr:sp macro="" textlink="">
          <xdr:nvSpPr>
            <xdr:cNvPr id="12577" name="AutoShape 1440"/>
            <xdr:cNvSpPr>
              <a:spLocks noChangeArrowheads="1"/>
            </xdr:cNvSpPr>
          </xdr:nvSpPr>
          <xdr:spPr bwMode="auto">
            <a:xfrm rot="10800000" flipV="1">
              <a:off x="9358295" y="9772659"/>
              <a:ext cx="133557" cy="139948"/>
            </a:xfrm>
            <a:custGeom>
              <a:avLst/>
              <a:gdLst>
                <a:gd name="T0" fmla="*/ 0 w 21600"/>
                <a:gd name="T1" fmla="*/ 0 h 21600"/>
                <a:gd name="T2" fmla="*/ 0 w 21600"/>
                <a:gd name="T3" fmla="*/ 0 h 21600"/>
                <a:gd name="T4" fmla="*/ 0 w 21600"/>
                <a:gd name="T5" fmla="*/ 0 h 21600"/>
                <a:gd name="T6" fmla="*/ 0 w 21600"/>
                <a:gd name="T7" fmla="*/ 0 h 21600"/>
                <a:gd name="T8" fmla="*/ 17694720 60000 65536"/>
                <a:gd name="T9" fmla="*/ 5898240 60000 65536"/>
                <a:gd name="T10" fmla="*/ 5898240 60000 65536"/>
                <a:gd name="T11" fmla="*/ 0 60000 65536"/>
                <a:gd name="T12" fmla="*/ 12343 w 21600"/>
                <a:gd name="T13" fmla="*/ 2880 h 21600"/>
                <a:gd name="T14" fmla="*/ 18514 w 21600"/>
                <a:gd name="T15" fmla="*/ 8640 h 21600"/>
              </a:gdLst>
              <a:ahLst/>
              <a:cxnLst>
                <a:cxn ang="T8">
                  <a:pos x="T0" y="T1"/>
                </a:cxn>
                <a:cxn ang="T9">
                  <a:pos x="T2" y="T3"/>
                </a:cxn>
                <a:cxn ang="T10">
                  <a:pos x="T4" y="T5"/>
                </a:cxn>
                <a:cxn ang="T11">
                  <a:pos x="T6" y="T7"/>
                </a:cxn>
              </a:cxnLst>
              <a:rect l="T12" t="T13" r="T14" b="T15"/>
              <a:pathLst>
                <a:path w="21600" h="21600">
                  <a:moveTo>
                    <a:pt x="21600" y="6079"/>
                  </a:moveTo>
                  <a:lnTo>
                    <a:pt x="15126" y="0"/>
                  </a:lnTo>
                  <a:lnTo>
                    <a:pt x="15126" y="2912"/>
                  </a:lnTo>
                  <a:lnTo>
                    <a:pt x="12427" y="2912"/>
                  </a:lnTo>
                  <a:cubicBezTo>
                    <a:pt x="5564" y="2912"/>
                    <a:pt x="0" y="7052"/>
                    <a:pt x="0" y="12158"/>
                  </a:cubicBezTo>
                  <a:lnTo>
                    <a:pt x="0" y="21600"/>
                  </a:lnTo>
                  <a:lnTo>
                    <a:pt x="6474" y="21600"/>
                  </a:lnTo>
                  <a:lnTo>
                    <a:pt x="6474" y="12158"/>
                  </a:lnTo>
                  <a:cubicBezTo>
                    <a:pt x="6474" y="10550"/>
                    <a:pt x="9139" y="9246"/>
                    <a:pt x="12427" y="9246"/>
                  </a:cubicBezTo>
                  <a:lnTo>
                    <a:pt x="15126" y="9246"/>
                  </a:lnTo>
                  <a:lnTo>
                    <a:pt x="15126" y="12158"/>
                  </a:lnTo>
                  <a:lnTo>
                    <a:pt x="21600" y="6079"/>
                  </a:lnTo>
                  <a:close/>
                </a:path>
              </a:pathLst>
            </a:custGeom>
            <a:solidFill>
              <a:srgbClr val="33CCCC"/>
            </a:solidFill>
            <a:ln w="9525">
              <a:solidFill>
                <a:srgbClr val="000000"/>
              </a:solidFill>
              <a:miter lim="800000"/>
              <a:headEnd/>
              <a:tailEnd/>
            </a:ln>
          </xdr:spPr>
        </xdr:sp>
        <xdr:sp macro="" textlink="">
          <xdr:nvSpPr>
            <xdr:cNvPr id="12578" name="AutoShape 1456"/>
            <xdr:cNvSpPr>
              <a:spLocks noChangeArrowheads="1"/>
            </xdr:cNvSpPr>
          </xdr:nvSpPr>
          <xdr:spPr bwMode="auto">
            <a:xfrm>
              <a:off x="8146747" y="9847298"/>
              <a:ext cx="1230628" cy="942319"/>
            </a:xfrm>
            <a:prstGeom prst="roundRect">
              <a:avLst>
                <a:gd name="adj" fmla="val 6778"/>
              </a:avLst>
            </a:prstGeom>
            <a:solidFill>
              <a:srgbClr val="C0C0C0"/>
            </a:solidFill>
            <a:ln w="9525">
              <a:solidFill>
                <a:srgbClr val="000000"/>
              </a:solidFill>
              <a:round/>
              <a:headEnd/>
              <a:tailEnd/>
            </a:ln>
          </xdr:spPr>
        </xdr:sp>
        <xdr:grpSp>
          <xdr:nvGrpSpPr>
            <xdr:cNvPr id="12579" name="Group 1468"/>
            <xdr:cNvGrpSpPr>
              <a:grpSpLocks/>
            </xdr:cNvGrpSpPr>
          </xdr:nvGrpSpPr>
          <xdr:grpSpPr bwMode="auto">
            <a:xfrm>
              <a:off x="6906579" y="9847298"/>
              <a:ext cx="1516821" cy="942319"/>
              <a:chOff x="620" y="1011"/>
              <a:chExt cx="159" cy="101"/>
            </a:xfrm>
          </xdr:grpSpPr>
          <xdr:sp macro="" textlink="">
            <xdr:nvSpPr>
              <xdr:cNvPr id="12634" name="AutoShape 1469"/>
              <xdr:cNvSpPr>
                <a:spLocks noChangeArrowheads="1"/>
              </xdr:cNvSpPr>
            </xdr:nvSpPr>
            <xdr:spPr bwMode="auto">
              <a:xfrm>
                <a:off x="620" y="1011"/>
                <a:ext cx="129" cy="101"/>
              </a:xfrm>
              <a:prstGeom prst="roundRect">
                <a:avLst>
                  <a:gd name="adj" fmla="val 6778"/>
                </a:avLst>
              </a:prstGeom>
              <a:solidFill>
                <a:srgbClr val="C0C0C0"/>
              </a:solidFill>
              <a:ln w="9525">
                <a:solidFill>
                  <a:srgbClr val="000000"/>
                </a:solidFill>
                <a:round/>
                <a:headEnd/>
                <a:tailEnd/>
              </a:ln>
            </xdr:spPr>
          </xdr:sp>
          <xdr:grpSp>
            <xdr:nvGrpSpPr>
              <xdr:cNvPr id="12635" name="Group 1470"/>
              <xdr:cNvGrpSpPr>
                <a:grpSpLocks/>
              </xdr:cNvGrpSpPr>
            </xdr:nvGrpSpPr>
            <xdr:grpSpPr bwMode="auto">
              <a:xfrm>
                <a:off x="719" y="1019"/>
                <a:ext cx="60" cy="28"/>
                <a:chOff x="692" y="685"/>
                <a:chExt cx="60" cy="28"/>
              </a:xfrm>
            </xdr:grpSpPr>
            <xdr:grpSp>
              <xdr:nvGrpSpPr>
                <xdr:cNvPr id="12636" name="Group 1471"/>
                <xdr:cNvGrpSpPr>
                  <a:grpSpLocks/>
                </xdr:cNvGrpSpPr>
              </xdr:nvGrpSpPr>
              <xdr:grpSpPr bwMode="auto">
                <a:xfrm>
                  <a:off x="692" y="685"/>
                  <a:ext cx="60" cy="28"/>
                  <a:chOff x="692" y="685"/>
                  <a:chExt cx="60" cy="28"/>
                </a:xfrm>
              </xdr:grpSpPr>
              <xdr:sp macro="" textlink="">
                <xdr:nvSpPr>
                  <xdr:cNvPr id="12641" name="Oval 1472"/>
                  <xdr:cNvSpPr>
                    <a:spLocks noChangeArrowheads="1"/>
                  </xdr:cNvSpPr>
                </xdr:nvSpPr>
                <xdr:spPr bwMode="auto">
                  <a:xfrm>
                    <a:off x="692" y="685"/>
                    <a:ext cx="28" cy="28"/>
                  </a:xfrm>
                  <a:prstGeom prst="ellipse">
                    <a:avLst/>
                  </a:prstGeom>
                  <a:solidFill>
                    <a:srgbClr val="FF9933"/>
                  </a:solidFill>
                  <a:ln w="9525">
                    <a:solidFill>
                      <a:srgbClr val="000000"/>
                    </a:solidFill>
                    <a:round/>
                    <a:headEnd/>
                    <a:tailEnd/>
                  </a:ln>
                </xdr:spPr>
              </xdr:sp>
              <xdr:sp macro="" textlink="">
                <xdr:nvSpPr>
                  <xdr:cNvPr id="12642" name="Oval 1473"/>
                  <xdr:cNvSpPr>
                    <a:spLocks noChangeArrowheads="1"/>
                  </xdr:cNvSpPr>
                </xdr:nvSpPr>
                <xdr:spPr bwMode="auto">
                  <a:xfrm>
                    <a:off x="724" y="685"/>
                    <a:ext cx="28" cy="28"/>
                  </a:xfrm>
                  <a:prstGeom prst="ellipse">
                    <a:avLst/>
                  </a:prstGeom>
                  <a:solidFill>
                    <a:srgbClr val="FF9933"/>
                  </a:solidFill>
                  <a:ln w="9525">
                    <a:solidFill>
                      <a:srgbClr val="000000"/>
                    </a:solidFill>
                    <a:round/>
                    <a:headEnd/>
                    <a:tailEnd/>
                  </a:ln>
                </xdr:spPr>
              </xdr:sp>
              <xdr:sp macro="" textlink="">
                <xdr:nvSpPr>
                  <xdr:cNvPr id="12643" name="Rectangle 1474"/>
                  <xdr:cNvSpPr>
                    <a:spLocks noChangeArrowheads="1"/>
                  </xdr:cNvSpPr>
                </xdr:nvSpPr>
                <xdr:spPr bwMode="auto">
                  <a:xfrm>
                    <a:off x="706" y="685"/>
                    <a:ext cx="32" cy="28"/>
                  </a:xfrm>
                  <a:prstGeom prst="rect">
                    <a:avLst/>
                  </a:prstGeom>
                  <a:solidFill>
                    <a:srgbClr val="FF9933"/>
                  </a:solidFill>
                  <a:ln w="9525">
                    <a:noFill/>
                    <a:miter lim="800000"/>
                    <a:headEnd/>
                    <a:tailEnd/>
                  </a:ln>
                </xdr:spPr>
              </xdr:sp>
              <xdr:sp macro="" textlink="">
                <xdr:nvSpPr>
                  <xdr:cNvPr id="12644" name="Line 1475"/>
                  <xdr:cNvSpPr>
                    <a:spLocks noChangeShapeType="1"/>
                  </xdr:cNvSpPr>
                </xdr:nvSpPr>
                <xdr:spPr bwMode="auto">
                  <a:xfrm>
                    <a:off x="706" y="685"/>
                    <a:ext cx="32" cy="0"/>
                  </a:xfrm>
                  <a:prstGeom prst="line">
                    <a:avLst/>
                  </a:prstGeom>
                  <a:noFill/>
                  <a:ln w="9525">
                    <a:solidFill>
                      <a:srgbClr val="000000"/>
                    </a:solidFill>
                    <a:round/>
                    <a:headEnd/>
                    <a:tailEnd/>
                  </a:ln>
                </xdr:spPr>
              </xdr:sp>
              <xdr:sp macro="" textlink="">
                <xdr:nvSpPr>
                  <xdr:cNvPr id="12645" name="Line 1476"/>
                  <xdr:cNvSpPr>
                    <a:spLocks noChangeShapeType="1"/>
                  </xdr:cNvSpPr>
                </xdr:nvSpPr>
                <xdr:spPr bwMode="auto">
                  <a:xfrm>
                    <a:off x="705" y="713"/>
                    <a:ext cx="32" cy="0"/>
                  </a:xfrm>
                  <a:prstGeom prst="line">
                    <a:avLst/>
                  </a:prstGeom>
                  <a:noFill/>
                  <a:ln w="9525">
                    <a:solidFill>
                      <a:srgbClr val="000000"/>
                    </a:solidFill>
                    <a:round/>
                    <a:headEnd/>
                    <a:tailEnd/>
                  </a:ln>
                </xdr:spPr>
              </xdr:sp>
            </xdr:grpSp>
            <xdr:sp macro="" textlink="">
              <xdr:nvSpPr>
                <xdr:cNvPr id="12637" name="AutoShape 1477"/>
                <xdr:cNvSpPr>
                  <a:spLocks noChangeArrowheads="1"/>
                </xdr:cNvSpPr>
              </xdr:nvSpPr>
              <xdr:spPr bwMode="auto">
                <a:xfrm>
                  <a:off x="695" y="690"/>
                  <a:ext cx="22" cy="18"/>
                </a:xfrm>
                <a:prstGeom prst="hexagon">
                  <a:avLst>
                    <a:gd name="adj" fmla="val 30556"/>
                    <a:gd name="vf" fmla="val 115470"/>
                  </a:avLst>
                </a:prstGeom>
                <a:solidFill>
                  <a:srgbClr val="FFCC00"/>
                </a:solidFill>
                <a:ln w="9525">
                  <a:solidFill>
                    <a:srgbClr val="000000"/>
                  </a:solidFill>
                  <a:miter lim="800000"/>
                  <a:headEnd/>
                  <a:tailEnd/>
                </a:ln>
              </xdr:spPr>
            </xdr:sp>
            <xdr:sp macro="" textlink="">
              <xdr:nvSpPr>
                <xdr:cNvPr id="12638" name="Oval 1478"/>
                <xdr:cNvSpPr>
                  <a:spLocks noChangeArrowheads="1"/>
                </xdr:cNvSpPr>
              </xdr:nvSpPr>
              <xdr:spPr bwMode="auto">
                <a:xfrm>
                  <a:off x="700" y="693"/>
                  <a:ext cx="12" cy="12"/>
                </a:xfrm>
                <a:prstGeom prst="ellipse">
                  <a:avLst/>
                </a:prstGeom>
                <a:solidFill>
                  <a:srgbClr val="FF9933"/>
                </a:solidFill>
                <a:ln w="9525">
                  <a:solidFill>
                    <a:srgbClr val="000000"/>
                  </a:solidFill>
                  <a:round/>
                  <a:headEnd/>
                  <a:tailEnd/>
                </a:ln>
              </xdr:spPr>
            </xdr:sp>
            <xdr:sp macro="" textlink="">
              <xdr:nvSpPr>
                <xdr:cNvPr id="12639" name="AutoShape 1479"/>
                <xdr:cNvSpPr>
                  <a:spLocks noChangeArrowheads="1"/>
                </xdr:cNvSpPr>
              </xdr:nvSpPr>
              <xdr:spPr bwMode="auto">
                <a:xfrm>
                  <a:off x="727" y="690"/>
                  <a:ext cx="22" cy="18"/>
                </a:xfrm>
                <a:prstGeom prst="hexagon">
                  <a:avLst>
                    <a:gd name="adj" fmla="val 30556"/>
                    <a:gd name="vf" fmla="val 115470"/>
                  </a:avLst>
                </a:prstGeom>
                <a:solidFill>
                  <a:srgbClr val="FFCC00"/>
                </a:solidFill>
                <a:ln w="9525">
                  <a:solidFill>
                    <a:srgbClr val="000000"/>
                  </a:solidFill>
                  <a:miter lim="800000"/>
                  <a:headEnd/>
                  <a:tailEnd/>
                </a:ln>
              </xdr:spPr>
            </xdr:sp>
            <xdr:sp macro="" textlink="">
              <xdr:nvSpPr>
                <xdr:cNvPr id="12640" name="Oval 1480"/>
                <xdr:cNvSpPr>
                  <a:spLocks noChangeArrowheads="1"/>
                </xdr:cNvSpPr>
              </xdr:nvSpPr>
              <xdr:spPr bwMode="auto">
                <a:xfrm>
                  <a:off x="732" y="693"/>
                  <a:ext cx="12" cy="12"/>
                </a:xfrm>
                <a:prstGeom prst="ellipse">
                  <a:avLst/>
                </a:prstGeom>
                <a:solidFill>
                  <a:srgbClr val="FF9933"/>
                </a:solidFill>
                <a:ln w="9525">
                  <a:solidFill>
                    <a:srgbClr val="000000"/>
                  </a:solidFill>
                  <a:round/>
                  <a:headEnd/>
                  <a:tailEnd/>
                </a:ln>
              </xdr:spPr>
            </xdr:sp>
          </xdr:grpSp>
        </xdr:grpSp>
        <xdr:grpSp>
          <xdr:nvGrpSpPr>
            <xdr:cNvPr id="12580" name="Group 1442"/>
            <xdr:cNvGrpSpPr>
              <a:grpSpLocks/>
            </xdr:cNvGrpSpPr>
          </xdr:nvGrpSpPr>
          <xdr:grpSpPr bwMode="auto">
            <a:xfrm>
              <a:off x="5666412" y="9856628"/>
              <a:ext cx="1516821" cy="942319"/>
              <a:chOff x="620" y="1011"/>
              <a:chExt cx="159" cy="101"/>
            </a:xfrm>
          </xdr:grpSpPr>
          <xdr:sp macro="" textlink="">
            <xdr:nvSpPr>
              <xdr:cNvPr id="12622" name="AutoShape 1443"/>
              <xdr:cNvSpPr>
                <a:spLocks noChangeArrowheads="1"/>
              </xdr:cNvSpPr>
            </xdr:nvSpPr>
            <xdr:spPr bwMode="auto">
              <a:xfrm>
                <a:off x="620" y="1011"/>
                <a:ext cx="129" cy="101"/>
              </a:xfrm>
              <a:prstGeom prst="roundRect">
                <a:avLst>
                  <a:gd name="adj" fmla="val 6778"/>
                </a:avLst>
              </a:prstGeom>
              <a:solidFill>
                <a:srgbClr val="C0C0C0"/>
              </a:solidFill>
              <a:ln w="9525">
                <a:solidFill>
                  <a:srgbClr val="000000"/>
                </a:solidFill>
                <a:round/>
                <a:headEnd/>
                <a:tailEnd/>
              </a:ln>
            </xdr:spPr>
          </xdr:sp>
          <xdr:grpSp>
            <xdr:nvGrpSpPr>
              <xdr:cNvPr id="12623" name="Group 1444"/>
              <xdr:cNvGrpSpPr>
                <a:grpSpLocks/>
              </xdr:cNvGrpSpPr>
            </xdr:nvGrpSpPr>
            <xdr:grpSpPr bwMode="auto">
              <a:xfrm>
                <a:off x="719" y="1019"/>
                <a:ext cx="60" cy="28"/>
                <a:chOff x="692" y="685"/>
                <a:chExt cx="60" cy="28"/>
              </a:xfrm>
            </xdr:grpSpPr>
            <xdr:grpSp>
              <xdr:nvGrpSpPr>
                <xdr:cNvPr id="12624" name="Group 1445"/>
                <xdr:cNvGrpSpPr>
                  <a:grpSpLocks/>
                </xdr:cNvGrpSpPr>
              </xdr:nvGrpSpPr>
              <xdr:grpSpPr bwMode="auto">
                <a:xfrm>
                  <a:off x="692" y="685"/>
                  <a:ext cx="60" cy="28"/>
                  <a:chOff x="692" y="685"/>
                  <a:chExt cx="60" cy="28"/>
                </a:xfrm>
              </xdr:grpSpPr>
              <xdr:sp macro="" textlink="">
                <xdr:nvSpPr>
                  <xdr:cNvPr id="12629" name="Oval 1446"/>
                  <xdr:cNvSpPr>
                    <a:spLocks noChangeArrowheads="1"/>
                  </xdr:cNvSpPr>
                </xdr:nvSpPr>
                <xdr:spPr bwMode="auto">
                  <a:xfrm>
                    <a:off x="692" y="685"/>
                    <a:ext cx="28" cy="28"/>
                  </a:xfrm>
                  <a:prstGeom prst="ellipse">
                    <a:avLst/>
                  </a:prstGeom>
                  <a:solidFill>
                    <a:srgbClr val="FF9933"/>
                  </a:solidFill>
                  <a:ln w="9525">
                    <a:solidFill>
                      <a:srgbClr val="000000"/>
                    </a:solidFill>
                    <a:round/>
                    <a:headEnd/>
                    <a:tailEnd/>
                  </a:ln>
                </xdr:spPr>
              </xdr:sp>
              <xdr:sp macro="" textlink="">
                <xdr:nvSpPr>
                  <xdr:cNvPr id="12630" name="Oval 1447"/>
                  <xdr:cNvSpPr>
                    <a:spLocks noChangeArrowheads="1"/>
                  </xdr:cNvSpPr>
                </xdr:nvSpPr>
                <xdr:spPr bwMode="auto">
                  <a:xfrm>
                    <a:off x="724" y="685"/>
                    <a:ext cx="28" cy="28"/>
                  </a:xfrm>
                  <a:prstGeom prst="ellipse">
                    <a:avLst/>
                  </a:prstGeom>
                  <a:solidFill>
                    <a:srgbClr val="FF9933"/>
                  </a:solidFill>
                  <a:ln w="9525">
                    <a:solidFill>
                      <a:srgbClr val="000000"/>
                    </a:solidFill>
                    <a:round/>
                    <a:headEnd/>
                    <a:tailEnd/>
                  </a:ln>
                </xdr:spPr>
              </xdr:sp>
              <xdr:sp macro="" textlink="">
                <xdr:nvSpPr>
                  <xdr:cNvPr id="12631" name="Rectangle 1448"/>
                  <xdr:cNvSpPr>
                    <a:spLocks noChangeArrowheads="1"/>
                  </xdr:cNvSpPr>
                </xdr:nvSpPr>
                <xdr:spPr bwMode="auto">
                  <a:xfrm>
                    <a:off x="706" y="685"/>
                    <a:ext cx="32" cy="28"/>
                  </a:xfrm>
                  <a:prstGeom prst="rect">
                    <a:avLst/>
                  </a:prstGeom>
                  <a:solidFill>
                    <a:srgbClr val="FF9933"/>
                  </a:solidFill>
                  <a:ln w="9525">
                    <a:noFill/>
                    <a:miter lim="800000"/>
                    <a:headEnd/>
                    <a:tailEnd/>
                  </a:ln>
                </xdr:spPr>
              </xdr:sp>
              <xdr:sp macro="" textlink="">
                <xdr:nvSpPr>
                  <xdr:cNvPr id="12632" name="Line 1449"/>
                  <xdr:cNvSpPr>
                    <a:spLocks noChangeShapeType="1"/>
                  </xdr:cNvSpPr>
                </xdr:nvSpPr>
                <xdr:spPr bwMode="auto">
                  <a:xfrm>
                    <a:off x="706" y="685"/>
                    <a:ext cx="32" cy="0"/>
                  </a:xfrm>
                  <a:prstGeom prst="line">
                    <a:avLst/>
                  </a:prstGeom>
                  <a:noFill/>
                  <a:ln w="9525">
                    <a:solidFill>
                      <a:srgbClr val="000000"/>
                    </a:solidFill>
                    <a:round/>
                    <a:headEnd/>
                    <a:tailEnd/>
                  </a:ln>
                </xdr:spPr>
              </xdr:sp>
              <xdr:sp macro="" textlink="">
                <xdr:nvSpPr>
                  <xdr:cNvPr id="12633" name="Line 1450"/>
                  <xdr:cNvSpPr>
                    <a:spLocks noChangeShapeType="1"/>
                  </xdr:cNvSpPr>
                </xdr:nvSpPr>
                <xdr:spPr bwMode="auto">
                  <a:xfrm>
                    <a:off x="705" y="713"/>
                    <a:ext cx="32" cy="0"/>
                  </a:xfrm>
                  <a:prstGeom prst="line">
                    <a:avLst/>
                  </a:prstGeom>
                  <a:noFill/>
                  <a:ln w="9525">
                    <a:solidFill>
                      <a:srgbClr val="000000"/>
                    </a:solidFill>
                    <a:round/>
                    <a:headEnd/>
                    <a:tailEnd/>
                  </a:ln>
                </xdr:spPr>
              </xdr:sp>
            </xdr:grpSp>
            <xdr:sp macro="" textlink="">
              <xdr:nvSpPr>
                <xdr:cNvPr id="12625" name="AutoShape 1451"/>
                <xdr:cNvSpPr>
                  <a:spLocks noChangeArrowheads="1"/>
                </xdr:cNvSpPr>
              </xdr:nvSpPr>
              <xdr:spPr bwMode="auto">
                <a:xfrm>
                  <a:off x="695" y="690"/>
                  <a:ext cx="22" cy="18"/>
                </a:xfrm>
                <a:prstGeom prst="hexagon">
                  <a:avLst>
                    <a:gd name="adj" fmla="val 30556"/>
                    <a:gd name="vf" fmla="val 115470"/>
                  </a:avLst>
                </a:prstGeom>
                <a:solidFill>
                  <a:srgbClr val="FFCC00"/>
                </a:solidFill>
                <a:ln w="9525">
                  <a:solidFill>
                    <a:srgbClr val="000000"/>
                  </a:solidFill>
                  <a:miter lim="800000"/>
                  <a:headEnd/>
                  <a:tailEnd/>
                </a:ln>
              </xdr:spPr>
            </xdr:sp>
            <xdr:sp macro="" textlink="">
              <xdr:nvSpPr>
                <xdr:cNvPr id="12626" name="Oval 1452"/>
                <xdr:cNvSpPr>
                  <a:spLocks noChangeArrowheads="1"/>
                </xdr:cNvSpPr>
              </xdr:nvSpPr>
              <xdr:spPr bwMode="auto">
                <a:xfrm>
                  <a:off x="700" y="693"/>
                  <a:ext cx="12" cy="12"/>
                </a:xfrm>
                <a:prstGeom prst="ellipse">
                  <a:avLst/>
                </a:prstGeom>
                <a:solidFill>
                  <a:srgbClr val="FF9933"/>
                </a:solidFill>
                <a:ln w="9525">
                  <a:solidFill>
                    <a:srgbClr val="000000"/>
                  </a:solidFill>
                  <a:round/>
                  <a:headEnd/>
                  <a:tailEnd/>
                </a:ln>
              </xdr:spPr>
            </xdr:sp>
            <xdr:sp macro="" textlink="">
              <xdr:nvSpPr>
                <xdr:cNvPr id="12627" name="AutoShape 1453"/>
                <xdr:cNvSpPr>
                  <a:spLocks noChangeArrowheads="1"/>
                </xdr:cNvSpPr>
              </xdr:nvSpPr>
              <xdr:spPr bwMode="auto">
                <a:xfrm>
                  <a:off x="727" y="690"/>
                  <a:ext cx="22" cy="18"/>
                </a:xfrm>
                <a:prstGeom prst="hexagon">
                  <a:avLst>
                    <a:gd name="adj" fmla="val 30556"/>
                    <a:gd name="vf" fmla="val 115470"/>
                  </a:avLst>
                </a:prstGeom>
                <a:solidFill>
                  <a:srgbClr val="FFCC00"/>
                </a:solidFill>
                <a:ln w="9525">
                  <a:solidFill>
                    <a:srgbClr val="000000"/>
                  </a:solidFill>
                  <a:miter lim="800000"/>
                  <a:headEnd/>
                  <a:tailEnd/>
                </a:ln>
              </xdr:spPr>
            </xdr:sp>
            <xdr:sp macro="" textlink="">
              <xdr:nvSpPr>
                <xdr:cNvPr id="12628" name="Oval 1454"/>
                <xdr:cNvSpPr>
                  <a:spLocks noChangeArrowheads="1"/>
                </xdr:cNvSpPr>
              </xdr:nvSpPr>
              <xdr:spPr bwMode="auto">
                <a:xfrm>
                  <a:off x="732" y="693"/>
                  <a:ext cx="12" cy="12"/>
                </a:xfrm>
                <a:prstGeom prst="ellipse">
                  <a:avLst/>
                </a:prstGeom>
                <a:solidFill>
                  <a:srgbClr val="FF9933"/>
                </a:solidFill>
                <a:ln w="9525">
                  <a:solidFill>
                    <a:srgbClr val="000000"/>
                  </a:solidFill>
                  <a:round/>
                  <a:headEnd/>
                  <a:tailEnd/>
                </a:ln>
              </xdr:spPr>
            </xdr:sp>
          </xdr:grpSp>
        </xdr:grpSp>
        <xdr:sp macro="" textlink="">
          <xdr:nvSpPr>
            <xdr:cNvPr id="12581" name="AutoShape 1328"/>
            <xdr:cNvSpPr>
              <a:spLocks noChangeArrowheads="1"/>
            </xdr:cNvSpPr>
          </xdr:nvSpPr>
          <xdr:spPr bwMode="auto">
            <a:xfrm>
              <a:off x="4426244" y="9856628"/>
              <a:ext cx="1230628" cy="942319"/>
            </a:xfrm>
            <a:prstGeom prst="roundRect">
              <a:avLst>
                <a:gd name="adj" fmla="val 6778"/>
              </a:avLst>
            </a:prstGeom>
            <a:solidFill>
              <a:srgbClr val="C0C0C0"/>
            </a:solidFill>
            <a:ln w="9525">
              <a:solidFill>
                <a:srgbClr val="000000"/>
              </a:solidFill>
              <a:round/>
              <a:headEnd/>
              <a:tailEnd/>
            </a:ln>
          </xdr:spPr>
        </xdr:sp>
        <xdr:grpSp>
          <xdr:nvGrpSpPr>
            <xdr:cNvPr id="12582" name="Group 1364"/>
            <xdr:cNvGrpSpPr>
              <a:grpSpLocks/>
            </xdr:cNvGrpSpPr>
          </xdr:nvGrpSpPr>
          <xdr:grpSpPr bwMode="auto">
            <a:xfrm>
              <a:off x="5370679" y="9931267"/>
              <a:ext cx="572385" cy="261237"/>
              <a:chOff x="692" y="685"/>
              <a:chExt cx="60" cy="28"/>
            </a:xfrm>
          </xdr:grpSpPr>
          <xdr:sp macro="" textlink="">
            <xdr:nvSpPr>
              <xdr:cNvPr id="12617" name="Oval 1365"/>
              <xdr:cNvSpPr>
                <a:spLocks noChangeArrowheads="1"/>
              </xdr:cNvSpPr>
            </xdr:nvSpPr>
            <xdr:spPr bwMode="auto">
              <a:xfrm>
                <a:off x="692" y="685"/>
                <a:ext cx="28" cy="28"/>
              </a:xfrm>
              <a:prstGeom prst="ellipse">
                <a:avLst/>
              </a:prstGeom>
              <a:solidFill>
                <a:srgbClr val="FF9933"/>
              </a:solidFill>
              <a:ln w="9525">
                <a:solidFill>
                  <a:srgbClr val="000000"/>
                </a:solidFill>
                <a:round/>
                <a:headEnd/>
                <a:tailEnd/>
              </a:ln>
            </xdr:spPr>
          </xdr:sp>
          <xdr:sp macro="" textlink="">
            <xdr:nvSpPr>
              <xdr:cNvPr id="12618" name="Oval 1366"/>
              <xdr:cNvSpPr>
                <a:spLocks noChangeArrowheads="1"/>
              </xdr:cNvSpPr>
            </xdr:nvSpPr>
            <xdr:spPr bwMode="auto">
              <a:xfrm>
                <a:off x="724" y="685"/>
                <a:ext cx="28" cy="28"/>
              </a:xfrm>
              <a:prstGeom prst="ellipse">
                <a:avLst/>
              </a:prstGeom>
              <a:solidFill>
                <a:srgbClr val="FF9933"/>
              </a:solidFill>
              <a:ln w="9525">
                <a:solidFill>
                  <a:srgbClr val="000000"/>
                </a:solidFill>
                <a:round/>
                <a:headEnd/>
                <a:tailEnd/>
              </a:ln>
            </xdr:spPr>
          </xdr:sp>
          <xdr:sp macro="" textlink="">
            <xdr:nvSpPr>
              <xdr:cNvPr id="12619" name="Rectangle 1367"/>
              <xdr:cNvSpPr>
                <a:spLocks noChangeArrowheads="1"/>
              </xdr:cNvSpPr>
            </xdr:nvSpPr>
            <xdr:spPr bwMode="auto">
              <a:xfrm>
                <a:off x="706" y="685"/>
                <a:ext cx="32" cy="28"/>
              </a:xfrm>
              <a:prstGeom prst="rect">
                <a:avLst/>
              </a:prstGeom>
              <a:solidFill>
                <a:srgbClr val="FF9933"/>
              </a:solidFill>
              <a:ln w="9525">
                <a:noFill/>
                <a:miter lim="800000"/>
                <a:headEnd/>
                <a:tailEnd/>
              </a:ln>
            </xdr:spPr>
          </xdr:sp>
          <xdr:sp macro="" textlink="">
            <xdr:nvSpPr>
              <xdr:cNvPr id="12620" name="Line 1368"/>
              <xdr:cNvSpPr>
                <a:spLocks noChangeShapeType="1"/>
              </xdr:cNvSpPr>
            </xdr:nvSpPr>
            <xdr:spPr bwMode="auto">
              <a:xfrm>
                <a:off x="706" y="685"/>
                <a:ext cx="32" cy="0"/>
              </a:xfrm>
              <a:prstGeom prst="line">
                <a:avLst/>
              </a:prstGeom>
              <a:noFill/>
              <a:ln w="9525">
                <a:solidFill>
                  <a:srgbClr val="000000"/>
                </a:solidFill>
                <a:round/>
                <a:headEnd/>
                <a:tailEnd/>
              </a:ln>
            </xdr:spPr>
          </xdr:sp>
          <xdr:sp macro="" textlink="">
            <xdr:nvSpPr>
              <xdr:cNvPr id="12621" name="Line 1369"/>
              <xdr:cNvSpPr>
                <a:spLocks noChangeShapeType="1"/>
              </xdr:cNvSpPr>
            </xdr:nvSpPr>
            <xdr:spPr bwMode="auto">
              <a:xfrm>
                <a:off x="705" y="713"/>
                <a:ext cx="32" cy="0"/>
              </a:xfrm>
              <a:prstGeom prst="line">
                <a:avLst/>
              </a:prstGeom>
              <a:noFill/>
              <a:ln w="9525">
                <a:solidFill>
                  <a:srgbClr val="000000"/>
                </a:solidFill>
                <a:round/>
                <a:headEnd/>
                <a:tailEnd/>
              </a:ln>
            </xdr:spPr>
          </xdr:sp>
        </xdr:grpSp>
        <xdr:sp macro="" textlink="">
          <xdr:nvSpPr>
            <xdr:cNvPr id="12583" name="AutoShape 1370"/>
            <xdr:cNvSpPr>
              <a:spLocks noChangeArrowheads="1"/>
            </xdr:cNvSpPr>
          </xdr:nvSpPr>
          <xdr:spPr bwMode="auto">
            <a:xfrm>
              <a:off x="5399299" y="9977916"/>
              <a:ext cx="209875" cy="167938"/>
            </a:xfrm>
            <a:prstGeom prst="hexagon">
              <a:avLst>
                <a:gd name="adj" fmla="val 30556"/>
                <a:gd name="vf" fmla="val 115470"/>
              </a:avLst>
            </a:prstGeom>
            <a:solidFill>
              <a:srgbClr val="FFCC00"/>
            </a:solidFill>
            <a:ln w="9525">
              <a:solidFill>
                <a:srgbClr val="000000"/>
              </a:solidFill>
              <a:miter lim="800000"/>
              <a:headEnd/>
              <a:tailEnd/>
            </a:ln>
          </xdr:spPr>
        </xdr:sp>
        <xdr:sp macro="" textlink="">
          <xdr:nvSpPr>
            <xdr:cNvPr id="12584" name="Oval 1371"/>
            <xdr:cNvSpPr>
              <a:spLocks noChangeArrowheads="1"/>
            </xdr:cNvSpPr>
          </xdr:nvSpPr>
          <xdr:spPr bwMode="auto">
            <a:xfrm>
              <a:off x="5446997" y="10005906"/>
              <a:ext cx="114477" cy="111959"/>
            </a:xfrm>
            <a:prstGeom prst="ellipse">
              <a:avLst/>
            </a:prstGeom>
            <a:solidFill>
              <a:srgbClr val="FF9933"/>
            </a:solidFill>
            <a:ln w="9525">
              <a:solidFill>
                <a:srgbClr val="000000"/>
              </a:solidFill>
              <a:round/>
              <a:headEnd/>
              <a:tailEnd/>
            </a:ln>
          </xdr:spPr>
        </xdr:sp>
        <xdr:sp macro="" textlink="">
          <xdr:nvSpPr>
            <xdr:cNvPr id="12585" name="AutoShape 1372"/>
            <xdr:cNvSpPr>
              <a:spLocks noChangeArrowheads="1"/>
            </xdr:cNvSpPr>
          </xdr:nvSpPr>
          <xdr:spPr bwMode="auto">
            <a:xfrm>
              <a:off x="5704571" y="9977916"/>
              <a:ext cx="209875" cy="167938"/>
            </a:xfrm>
            <a:prstGeom prst="hexagon">
              <a:avLst>
                <a:gd name="adj" fmla="val 30556"/>
                <a:gd name="vf" fmla="val 115470"/>
              </a:avLst>
            </a:prstGeom>
            <a:solidFill>
              <a:srgbClr val="FFCC00"/>
            </a:solidFill>
            <a:ln w="9525">
              <a:solidFill>
                <a:srgbClr val="000000"/>
              </a:solidFill>
              <a:miter lim="800000"/>
              <a:headEnd/>
              <a:tailEnd/>
            </a:ln>
          </xdr:spPr>
        </xdr:sp>
        <xdr:sp macro="" textlink="">
          <xdr:nvSpPr>
            <xdr:cNvPr id="12586" name="Oval 1373"/>
            <xdr:cNvSpPr>
              <a:spLocks noChangeArrowheads="1"/>
            </xdr:cNvSpPr>
          </xdr:nvSpPr>
          <xdr:spPr bwMode="auto">
            <a:xfrm>
              <a:off x="5752269" y="10005906"/>
              <a:ext cx="114477" cy="111959"/>
            </a:xfrm>
            <a:prstGeom prst="ellipse">
              <a:avLst/>
            </a:prstGeom>
            <a:solidFill>
              <a:srgbClr val="FF9933"/>
            </a:solidFill>
            <a:ln w="9525">
              <a:solidFill>
                <a:srgbClr val="000000"/>
              </a:solidFill>
              <a:round/>
              <a:headEnd/>
              <a:tailEnd/>
            </a:ln>
          </xdr:spPr>
        </xdr:sp>
        <xdr:sp macro="" textlink="">
          <xdr:nvSpPr>
            <xdr:cNvPr id="12587" name="Oval 1483"/>
            <xdr:cNvSpPr>
              <a:spLocks noChangeArrowheads="1"/>
            </xdr:cNvSpPr>
          </xdr:nvSpPr>
          <xdr:spPr bwMode="auto">
            <a:xfrm>
              <a:off x="9081643" y="10388431"/>
              <a:ext cx="267113" cy="261237"/>
            </a:xfrm>
            <a:prstGeom prst="ellipse">
              <a:avLst/>
            </a:prstGeom>
            <a:solidFill>
              <a:srgbClr val="FF9933"/>
            </a:solidFill>
            <a:ln w="9525">
              <a:solidFill>
                <a:srgbClr val="000000"/>
              </a:solidFill>
              <a:round/>
              <a:headEnd/>
              <a:tailEnd/>
            </a:ln>
          </xdr:spPr>
        </xdr:sp>
        <xdr:sp macro="" textlink="">
          <xdr:nvSpPr>
            <xdr:cNvPr id="12588" name="Rectangle 1484"/>
            <xdr:cNvSpPr>
              <a:spLocks noChangeArrowheads="1"/>
            </xdr:cNvSpPr>
          </xdr:nvSpPr>
          <xdr:spPr bwMode="auto">
            <a:xfrm>
              <a:off x="4569340" y="10388431"/>
              <a:ext cx="4645859" cy="261237"/>
            </a:xfrm>
            <a:prstGeom prst="rect">
              <a:avLst/>
            </a:prstGeom>
            <a:solidFill>
              <a:srgbClr val="FF9933"/>
            </a:solidFill>
            <a:ln w="9525">
              <a:noFill/>
              <a:miter lim="800000"/>
              <a:headEnd/>
              <a:tailEnd/>
            </a:ln>
          </xdr:spPr>
        </xdr:sp>
        <xdr:sp macro="" textlink="">
          <xdr:nvSpPr>
            <xdr:cNvPr id="12590" name="Line 1486"/>
            <xdr:cNvSpPr>
              <a:spLocks noChangeShapeType="1"/>
            </xdr:cNvSpPr>
          </xdr:nvSpPr>
          <xdr:spPr bwMode="auto">
            <a:xfrm>
              <a:off x="4569340" y="10649668"/>
              <a:ext cx="4636319" cy="0"/>
            </a:xfrm>
            <a:prstGeom prst="line">
              <a:avLst/>
            </a:prstGeom>
            <a:noFill/>
            <a:ln w="9525">
              <a:solidFill>
                <a:srgbClr val="000000"/>
              </a:solidFill>
              <a:round/>
              <a:headEnd/>
              <a:tailEnd/>
            </a:ln>
          </xdr:spPr>
        </xdr:sp>
        <xdr:grpSp>
          <xdr:nvGrpSpPr>
            <xdr:cNvPr id="12591" name="Group 1424"/>
            <xdr:cNvGrpSpPr>
              <a:grpSpLocks/>
            </xdr:cNvGrpSpPr>
          </xdr:nvGrpSpPr>
          <xdr:grpSpPr bwMode="auto">
            <a:xfrm>
              <a:off x="4120972" y="9931267"/>
              <a:ext cx="581925" cy="261237"/>
              <a:chOff x="561" y="685"/>
              <a:chExt cx="61" cy="28"/>
            </a:xfrm>
          </xdr:grpSpPr>
          <xdr:sp macro="" textlink="">
            <xdr:nvSpPr>
              <xdr:cNvPr id="12611" name="Rectangle 1425"/>
              <xdr:cNvSpPr>
                <a:spLocks noChangeArrowheads="1"/>
              </xdr:cNvSpPr>
            </xdr:nvSpPr>
            <xdr:spPr bwMode="auto">
              <a:xfrm>
                <a:off x="569" y="686"/>
                <a:ext cx="20" cy="23"/>
              </a:xfrm>
              <a:prstGeom prst="rect">
                <a:avLst/>
              </a:prstGeom>
              <a:solidFill>
                <a:srgbClr val="FFFF99"/>
              </a:solidFill>
              <a:ln w="9525">
                <a:solidFill>
                  <a:srgbClr val="000000"/>
                </a:solidFill>
                <a:miter lim="800000"/>
                <a:headEnd/>
                <a:tailEnd/>
              </a:ln>
            </xdr:spPr>
          </xdr:sp>
          <xdr:sp macro="" textlink="">
            <xdr:nvSpPr>
              <xdr:cNvPr id="12612" name="Rectangle 1426"/>
              <xdr:cNvSpPr>
                <a:spLocks noChangeArrowheads="1"/>
              </xdr:cNvSpPr>
            </xdr:nvSpPr>
            <xdr:spPr bwMode="auto">
              <a:xfrm>
                <a:off x="561" y="690"/>
                <a:ext cx="39" cy="15"/>
              </a:xfrm>
              <a:prstGeom prst="rect">
                <a:avLst/>
              </a:prstGeom>
              <a:solidFill>
                <a:srgbClr val="FF9933"/>
              </a:solidFill>
              <a:ln w="9525">
                <a:solidFill>
                  <a:srgbClr val="000000"/>
                </a:solidFill>
                <a:miter lim="800000"/>
                <a:headEnd/>
                <a:tailEnd/>
              </a:ln>
            </xdr:spPr>
          </xdr:sp>
          <xdr:sp macro="" textlink="">
            <xdr:nvSpPr>
              <xdr:cNvPr id="12613" name="Oval 1427"/>
              <xdr:cNvSpPr>
                <a:spLocks noChangeArrowheads="1"/>
              </xdr:cNvSpPr>
            </xdr:nvSpPr>
            <xdr:spPr bwMode="auto">
              <a:xfrm>
                <a:off x="596" y="685"/>
                <a:ext cx="26" cy="28"/>
              </a:xfrm>
              <a:prstGeom prst="ellipse">
                <a:avLst/>
              </a:prstGeom>
              <a:solidFill>
                <a:srgbClr val="FF9933"/>
              </a:solidFill>
              <a:ln w="9525">
                <a:solidFill>
                  <a:srgbClr val="000000"/>
                </a:solidFill>
                <a:round/>
                <a:headEnd/>
                <a:tailEnd/>
              </a:ln>
            </xdr:spPr>
          </xdr:sp>
          <xdr:sp macro="" textlink="">
            <xdr:nvSpPr>
              <xdr:cNvPr id="12614" name="Rectangle 1428"/>
              <xdr:cNvSpPr>
                <a:spLocks noChangeArrowheads="1"/>
              </xdr:cNvSpPr>
            </xdr:nvSpPr>
            <xdr:spPr bwMode="auto">
              <a:xfrm>
                <a:off x="591" y="691"/>
                <a:ext cx="8" cy="13"/>
              </a:xfrm>
              <a:prstGeom prst="rect">
                <a:avLst/>
              </a:prstGeom>
              <a:solidFill>
                <a:srgbClr val="FF9933"/>
              </a:solidFill>
              <a:ln w="9525">
                <a:noFill/>
                <a:miter lim="800000"/>
                <a:headEnd/>
                <a:tailEnd/>
              </a:ln>
            </xdr:spPr>
          </xdr:sp>
          <xdr:sp macro="" textlink="">
            <xdr:nvSpPr>
              <xdr:cNvPr id="12615" name="AutoShape 1429"/>
              <xdr:cNvSpPr>
                <a:spLocks noChangeArrowheads="1"/>
              </xdr:cNvSpPr>
            </xdr:nvSpPr>
            <xdr:spPr bwMode="auto">
              <a:xfrm>
                <a:off x="598" y="690"/>
                <a:ext cx="22" cy="18"/>
              </a:xfrm>
              <a:prstGeom prst="hexagon">
                <a:avLst>
                  <a:gd name="adj" fmla="val 30556"/>
                  <a:gd name="vf" fmla="val 115470"/>
                </a:avLst>
              </a:prstGeom>
              <a:solidFill>
                <a:srgbClr val="FFCC00"/>
              </a:solidFill>
              <a:ln w="9525">
                <a:solidFill>
                  <a:srgbClr val="000000"/>
                </a:solidFill>
                <a:miter lim="800000"/>
                <a:headEnd/>
                <a:tailEnd/>
              </a:ln>
            </xdr:spPr>
          </xdr:sp>
          <xdr:sp macro="" textlink="">
            <xdr:nvSpPr>
              <xdr:cNvPr id="12616" name="Oval 1430"/>
              <xdr:cNvSpPr>
                <a:spLocks noChangeArrowheads="1"/>
              </xdr:cNvSpPr>
            </xdr:nvSpPr>
            <xdr:spPr bwMode="auto">
              <a:xfrm>
                <a:off x="603" y="693"/>
                <a:ext cx="12" cy="12"/>
              </a:xfrm>
              <a:prstGeom prst="ellipse">
                <a:avLst/>
              </a:prstGeom>
              <a:solidFill>
                <a:srgbClr val="FF9933"/>
              </a:solidFill>
              <a:ln w="9525">
                <a:solidFill>
                  <a:srgbClr val="000000"/>
                </a:solidFill>
                <a:round/>
                <a:headEnd/>
                <a:tailEnd/>
              </a:ln>
            </xdr:spPr>
          </xdr:sp>
        </xdr:grpSp>
        <xdr:grpSp>
          <xdr:nvGrpSpPr>
            <xdr:cNvPr id="12592" name="Group 1494"/>
            <xdr:cNvGrpSpPr>
              <a:grpSpLocks/>
            </xdr:cNvGrpSpPr>
          </xdr:nvGrpSpPr>
          <xdr:grpSpPr bwMode="auto">
            <a:xfrm>
              <a:off x="4120972" y="10397761"/>
              <a:ext cx="581925" cy="261237"/>
              <a:chOff x="561" y="685"/>
              <a:chExt cx="61" cy="28"/>
            </a:xfrm>
          </xdr:grpSpPr>
          <xdr:sp macro="" textlink="">
            <xdr:nvSpPr>
              <xdr:cNvPr id="12605" name="Rectangle 1495"/>
              <xdr:cNvSpPr>
                <a:spLocks noChangeArrowheads="1"/>
              </xdr:cNvSpPr>
            </xdr:nvSpPr>
            <xdr:spPr bwMode="auto">
              <a:xfrm>
                <a:off x="569" y="686"/>
                <a:ext cx="20" cy="23"/>
              </a:xfrm>
              <a:prstGeom prst="rect">
                <a:avLst/>
              </a:prstGeom>
              <a:solidFill>
                <a:srgbClr val="FFFF99"/>
              </a:solidFill>
              <a:ln w="9525">
                <a:solidFill>
                  <a:srgbClr val="000000"/>
                </a:solidFill>
                <a:miter lim="800000"/>
                <a:headEnd/>
                <a:tailEnd/>
              </a:ln>
            </xdr:spPr>
          </xdr:sp>
          <xdr:sp macro="" textlink="">
            <xdr:nvSpPr>
              <xdr:cNvPr id="12606" name="Rectangle 1496"/>
              <xdr:cNvSpPr>
                <a:spLocks noChangeArrowheads="1"/>
              </xdr:cNvSpPr>
            </xdr:nvSpPr>
            <xdr:spPr bwMode="auto">
              <a:xfrm>
                <a:off x="561" y="690"/>
                <a:ext cx="39" cy="15"/>
              </a:xfrm>
              <a:prstGeom prst="rect">
                <a:avLst/>
              </a:prstGeom>
              <a:solidFill>
                <a:srgbClr val="FF9933"/>
              </a:solidFill>
              <a:ln w="9525">
                <a:solidFill>
                  <a:srgbClr val="000000"/>
                </a:solidFill>
                <a:miter lim="800000"/>
                <a:headEnd/>
                <a:tailEnd/>
              </a:ln>
            </xdr:spPr>
          </xdr:sp>
          <xdr:sp macro="" textlink="">
            <xdr:nvSpPr>
              <xdr:cNvPr id="12607" name="Oval 1497"/>
              <xdr:cNvSpPr>
                <a:spLocks noChangeArrowheads="1"/>
              </xdr:cNvSpPr>
            </xdr:nvSpPr>
            <xdr:spPr bwMode="auto">
              <a:xfrm>
                <a:off x="596" y="685"/>
                <a:ext cx="26" cy="28"/>
              </a:xfrm>
              <a:prstGeom prst="ellipse">
                <a:avLst/>
              </a:prstGeom>
              <a:solidFill>
                <a:srgbClr val="FF9933"/>
              </a:solidFill>
              <a:ln w="9525">
                <a:solidFill>
                  <a:srgbClr val="000000"/>
                </a:solidFill>
                <a:round/>
                <a:headEnd/>
                <a:tailEnd/>
              </a:ln>
            </xdr:spPr>
          </xdr:sp>
          <xdr:sp macro="" textlink="">
            <xdr:nvSpPr>
              <xdr:cNvPr id="12608" name="Rectangle 1498"/>
              <xdr:cNvSpPr>
                <a:spLocks noChangeArrowheads="1"/>
              </xdr:cNvSpPr>
            </xdr:nvSpPr>
            <xdr:spPr bwMode="auto">
              <a:xfrm>
                <a:off x="591" y="691"/>
                <a:ext cx="8" cy="13"/>
              </a:xfrm>
              <a:prstGeom prst="rect">
                <a:avLst/>
              </a:prstGeom>
              <a:solidFill>
                <a:srgbClr val="FF9933"/>
              </a:solidFill>
              <a:ln w="9525">
                <a:noFill/>
                <a:miter lim="800000"/>
                <a:headEnd/>
                <a:tailEnd/>
              </a:ln>
            </xdr:spPr>
          </xdr:sp>
          <xdr:sp macro="" textlink="">
            <xdr:nvSpPr>
              <xdr:cNvPr id="12609" name="AutoShape 1499"/>
              <xdr:cNvSpPr>
                <a:spLocks noChangeArrowheads="1"/>
              </xdr:cNvSpPr>
            </xdr:nvSpPr>
            <xdr:spPr bwMode="auto">
              <a:xfrm>
                <a:off x="598" y="690"/>
                <a:ext cx="22" cy="18"/>
              </a:xfrm>
              <a:prstGeom prst="hexagon">
                <a:avLst>
                  <a:gd name="adj" fmla="val 30556"/>
                  <a:gd name="vf" fmla="val 115470"/>
                </a:avLst>
              </a:prstGeom>
              <a:solidFill>
                <a:srgbClr val="FFCC00"/>
              </a:solidFill>
              <a:ln w="9525">
                <a:solidFill>
                  <a:srgbClr val="000000"/>
                </a:solidFill>
                <a:miter lim="800000"/>
                <a:headEnd/>
                <a:tailEnd/>
              </a:ln>
            </xdr:spPr>
          </xdr:sp>
          <xdr:sp macro="" textlink="">
            <xdr:nvSpPr>
              <xdr:cNvPr id="12610" name="Oval 1500"/>
              <xdr:cNvSpPr>
                <a:spLocks noChangeArrowheads="1"/>
              </xdr:cNvSpPr>
            </xdr:nvSpPr>
            <xdr:spPr bwMode="auto">
              <a:xfrm>
                <a:off x="603" y="693"/>
                <a:ext cx="12" cy="12"/>
              </a:xfrm>
              <a:prstGeom prst="ellipse">
                <a:avLst/>
              </a:prstGeom>
              <a:solidFill>
                <a:srgbClr val="FF9933"/>
              </a:solidFill>
              <a:ln w="9525">
                <a:solidFill>
                  <a:srgbClr val="000000"/>
                </a:solidFill>
                <a:round/>
                <a:headEnd/>
                <a:tailEnd/>
              </a:ln>
            </xdr:spPr>
          </xdr:sp>
        </xdr:grpSp>
        <xdr:sp macro="" textlink="">
          <xdr:nvSpPr>
            <xdr:cNvPr id="12593" name="Rectangle 1501"/>
            <xdr:cNvSpPr>
              <a:spLocks noChangeArrowheads="1"/>
            </xdr:cNvSpPr>
          </xdr:nvSpPr>
          <xdr:spPr bwMode="auto">
            <a:xfrm>
              <a:off x="9091182" y="10276473"/>
              <a:ext cx="248034" cy="279897"/>
            </a:xfrm>
            <a:prstGeom prst="rect">
              <a:avLst/>
            </a:prstGeom>
            <a:solidFill>
              <a:srgbClr val="FFFFFF"/>
            </a:solidFill>
            <a:ln w="9525">
              <a:solidFill>
                <a:srgbClr val="000000"/>
              </a:solidFill>
              <a:miter lim="800000"/>
              <a:headEnd/>
              <a:tailEnd/>
            </a:ln>
          </xdr:spPr>
        </xdr:sp>
        <xdr:grpSp>
          <xdr:nvGrpSpPr>
            <xdr:cNvPr id="12594" name="Group 1458"/>
            <xdr:cNvGrpSpPr>
              <a:grpSpLocks/>
            </xdr:cNvGrpSpPr>
          </xdr:nvGrpSpPr>
          <xdr:grpSpPr bwMode="auto">
            <a:xfrm rot="16200000">
              <a:off x="8851438" y="10152246"/>
              <a:ext cx="737061" cy="267113"/>
              <a:chOff x="692" y="685"/>
              <a:chExt cx="60" cy="28"/>
            </a:xfrm>
          </xdr:grpSpPr>
          <xdr:sp macro="" textlink="">
            <xdr:nvSpPr>
              <xdr:cNvPr id="12600" name="Oval 1459"/>
              <xdr:cNvSpPr>
                <a:spLocks noChangeArrowheads="1"/>
              </xdr:cNvSpPr>
            </xdr:nvSpPr>
            <xdr:spPr bwMode="auto">
              <a:xfrm>
                <a:off x="692" y="685"/>
                <a:ext cx="28" cy="28"/>
              </a:xfrm>
              <a:prstGeom prst="ellipse">
                <a:avLst/>
              </a:prstGeom>
              <a:solidFill>
                <a:srgbClr val="FF9933"/>
              </a:solidFill>
              <a:ln w="9525">
                <a:solidFill>
                  <a:srgbClr val="000000"/>
                </a:solidFill>
                <a:round/>
                <a:headEnd/>
                <a:tailEnd/>
              </a:ln>
            </xdr:spPr>
          </xdr:sp>
          <xdr:sp macro="" textlink="">
            <xdr:nvSpPr>
              <xdr:cNvPr id="12601" name="Oval 1460"/>
              <xdr:cNvSpPr>
                <a:spLocks noChangeArrowheads="1"/>
              </xdr:cNvSpPr>
            </xdr:nvSpPr>
            <xdr:spPr bwMode="auto">
              <a:xfrm>
                <a:off x="724" y="685"/>
                <a:ext cx="28" cy="28"/>
              </a:xfrm>
              <a:prstGeom prst="ellipse">
                <a:avLst/>
              </a:prstGeom>
              <a:solidFill>
                <a:srgbClr val="FF9933"/>
              </a:solidFill>
              <a:ln w="9525">
                <a:solidFill>
                  <a:srgbClr val="000000"/>
                </a:solidFill>
                <a:round/>
                <a:headEnd/>
                <a:tailEnd/>
              </a:ln>
            </xdr:spPr>
          </xdr:sp>
          <xdr:sp macro="" textlink="">
            <xdr:nvSpPr>
              <xdr:cNvPr id="12602" name="Rectangle 1461"/>
              <xdr:cNvSpPr>
                <a:spLocks noChangeArrowheads="1"/>
              </xdr:cNvSpPr>
            </xdr:nvSpPr>
            <xdr:spPr bwMode="auto">
              <a:xfrm>
                <a:off x="706" y="685"/>
                <a:ext cx="32" cy="28"/>
              </a:xfrm>
              <a:prstGeom prst="rect">
                <a:avLst/>
              </a:prstGeom>
              <a:solidFill>
                <a:srgbClr val="FF9933"/>
              </a:solidFill>
              <a:ln w="9525">
                <a:noFill/>
                <a:miter lim="800000"/>
                <a:headEnd/>
                <a:tailEnd/>
              </a:ln>
            </xdr:spPr>
          </xdr:sp>
          <xdr:sp macro="" textlink="">
            <xdr:nvSpPr>
              <xdr:cNvPr id="12603" name="Line 1462"/>
              <xdr:cNvSpPr>
                <a:spLocks noChangeShapeType="1"/>
              </xdr:cNvSpPr>
            </xdr:nvSpPr>
            <xdr:spPr bwMode="auto">
              <a:xfrm>
                <a:off x="706" y="685"/>
                <a:ext cx="32" cy="0"/>
              </a:xfrm>
              <a:prstGeom prst="line">
                <a:avLst/>
              </a:prstGeom>
              <a:noFill/>
              <a:ln w="9525">
                <a:solidFill>
                  <a:srgbClr val="000000"/>
                </a:solidFill>
                <a:round/>
                <a:headEnd/>
                <a:tailEnd/>
              </a:ln>
            </xdr:spPr>
          </xdr:sp>
          <xdr:sp macro="" textlink="">
            <xdr:nvSpPr>
              <xdr:cNvPr id="12604" name="Line 1463"/>
              <xdr:cNvSpPr>
                <a:spLocks noChangeShapeType="1"/>
              </xdr:cNvSpPr>
            </xdr:nvSpPr>
            <xdr:spPr bwMode="auto">
              <a:xfrm>
                <a:off x="705" y="713"/>
                <a:ext cx="32" cy="0"/>
              </a:xfrm>
              <a:prstGeom prst="line">
                <a:avLst/>
              </a:prstGeom>
              <a:noFill/>
              <a:ln w="9525">
                <a:solidFill>
                  <a:srgbClr val="000000"/>
                </a:solidFill>
                <a:round/>
                <a:headEnd/>
                <a:tailEnd/>
              </a:ln>
            </xdr:spPr>
          </xdr:sp>
        </xdr:grpSp>
        <xdr:sp macro="" textlink="">
          <xdr:nvSpPr>
            <xdr:cNvPr id="12595" name="Line 1437"/>
            <xdr:cNvSpPr>
              <a:spLocks noChangeShapeType="1"/>
            </xdr:cNvSpPr>
          </xdr:nvSpPr>
          <xdr:spPr bwMode="auto">
            <a:xfrm>
              <a:off x="9348756" y="10061885"/>
              <a:ext cx="0" cy="447835"/>
            </a:xfrm>
            <a:prstGeom prst="line">
              <a:avLst/>
            </a:prstGeom>
            <a:noFill/>
            <a:ln w="9525">
              <a:solidFill>
                <a:srgbClr val="000000"/>
              </a:solidFill>
              <a:round/>
              <a:headEnd/>
              <a:tailEnd/>
            </a:ln>
          </xdr:spPr>
        </xdr:sp>
        <xdr:sp macro="" textlink="">
          <xdr:nvSpPr>
            <xdr:cNvPr id="12596" name="AutoShape 1464"/>
            <xdr:cNvSpPr>
              <a:spLocks noChangeArrowheads="1"/>
            </xdr:cNvSpPr>
          </xdr:nvSpPr>
          <xdr:spPr bwMode="auto">
            <a:xfrm>
              <a:off x="9119802" y="9968586"/>
              <a:ext cx="209875" cy="167938"/>
            </a:xfrm>
            <a:prstGeom prst="hexagon">
              <a:avLst>
                <a:gd name="adj" fmla="val 30556"/>
                <a:gd name="vf" fmla="val 115470"/>
              </a:avLst>
            </a:prstGeom>
            <a:solidFill>
              <a:srgbClr val="FFCC00"/>
            </a:solidFill>
            <a:ln w="9525">
              <a:solidFill>
                <a:srgbClr val="000000"/>
              </a:solidFill>
              <a:miter lim="800000"/>
              <a:headEnd/>
              <a:tailEnd/>
            </a:ln>
          </xdr:spPr>
        </xdr:sp>
        <xdr:sp macro="" textlink="">
          <xdr:nvSpPr>
            <xdr:cNvPr id="12597" name="Oval 1465"/>
            <xdr:cNvSpPr>
              <a:spLocks noChangeArrowheads="1"/>
            </xdr:cNvSpPr>
          </xdr:nvSpPr>
          <xdr:spPr bwMode="auto">
            <a:xfrm>
              <a:off x="9167500" y="9996576"/>
              <a:ext cx="114477" cy="111959"/>
            </a:xfrm>
            <a:prstGeom prst="ellipse">
              <a:avLst/>
            </a:prstGeom>
            <a:solidFill>
              <a:srgbClr val="FF9933"/>
            </a:solidFill>
            <a:ln w="9525">
              <a:solidFill>
                <a:srgbClr val="000000"/>
              </a:solidFill>
              <a:round/>
              <a:headEnd/>
              <a:tailEnd/>
            </a:ln>
          </xdr:spPr>
        </xdr:sp>
        <xdr:sp macro="" textlink="">
          <xdr:nvSpPr>
            <xdr:cNvPr id="12598" name="Rectangle 1502"/>
            <xdr:cNvSpPr>
              <a:spLocks noChangeArrowheads="1"/>
            </xdr:cNvSpPr>
          </xdr:nvSpPr>
          <xdr:spPr bwMode="auto">
            <a:xfrm>
              <a:off x="9024404" y="10397761"/>
              <a:ext cx="200335" cy="251907"/>
            </a:xfrm>
            <a:prstGeom prst="rect">
              <a:avLst/>
            </a:prstGeom>
            <a:solidFill>
              <a:srgbClr val="FF9933"/>
            </a:solidFill>
            <a:ln w="9525">
              <a:noFill/>
              <a:miter lim="800000"/>
              <a:headEnd/>
              <a:tailEnd/>
            </a:ln>
          </xdr:spPr>
        </xdr:sp>
        <xdr:sp macro="" textlink="">
          <xdr:nvSpPr>
            <xdr:cNvPr id="12599" name="Line 1385"/>
            <xdr:cNvSpPr>
              <a:spLocks noChangeShapeType="1"/>
            </xdr:cNvSpPr>
          </xdr:nvSpPr>
          <xdr:spPr bwMode="auto">
            <a:xfrm>
              <a:off x="5656872" y="10798946"/>
              <a:ext cx="0" cy="102629"/>
            </a:xfrm>
            <a:prstGeom prst="line">
              <a:avLst/>
            </a:prstGeom>
            <a:noFill/>
            <a:ln w="19050">
              <a:solidFill>
                <a:srgbClr val="0000FF"/>
              </a:solidFill>
              <a:prstDash val="sysDot"/>
              <a:round/>
              <a:headEnd/>
              <a:tailEnd/>
            </a:ln>
          </xdr:spPr>
        </xdr:sp>
        <xdr:sp macro="" textlink="">
          <xdr:nvSpPr>
            <xdr:cNvPr id="12589" name="Line 1485"/>
            <xdr:cNvSpPr>
              <a:spLocks noChangeShapeType="1"/>
            </xdr:cNvSpPr>
          </xdr:nvSpPr>
          <xdr:spPr bwMode="auto">
            <a:xfrm>
              <a:off x="4588420" y="10388431"/>
              <a:ext cx="4512303" cy="0"/>
            </a:xfrm>
            <a:prstGeom prst="line">
              <a:avLst/>
            </a:prstGeom>
            <a:noFill/>
            <a:ln w="9525">
              <a:solidFill>
                <a:srgbClr val="000000"/>
              </a:solidFill>
              <a:round/>
              <a:headEnd/>
              <a:tailEnd/>
            </a:ln>
          </xdr:spPr>
        </xdr:sp>
        <xdr:grpSp>
          <xdr:nvGrpSpPr>
            <xdr:cNvPr id="594" name="Group 593"/>
            <xdr:cNvGrpSpPr/>
          </xdr:nvGrpSpPr>
          <xdr:grpSpPr>
            <a:xfrm>
              <a:off x="9101682" y="10832797"/>
              <a:ext cx="314812" cy="83969"/>
              <a:chOff x="7984571" y="10826936"/>
              <a:chExt cx="314812" cy="83969"/>
            </a:xfrm>
          </xdr:grpSpPr>
          <xdr:sp macro="" textlink="">
            <xdr:nvSpPr>
              <xdr:cNvPr id="595" name="Line 1358"/>
              <xdr:cNvSpPr>
                <a:spLocks noChangeShapeType="1"/>
              </xdr:cNvSpPr>
            </xdr:nvSpPr>
            <xdr:spPr bwMode="auto">
              <a:xfrm>
                <a:off x="7984571" y="10826936"/>
                <a:ext cx="314812" cy="0"/>
              </a:xfrm>
              <a:prstGeom prst="line">
                <a:avLst/>
              </a:prstGeom>
              <a:noFill/>
              <a:ln w="19050">
                <a:solidFill>
                  <a:srgbClr val="0000FF"/>
                </a:solidFill>
                <a:round/>
                <a:headEnd/>
                <a:tailEnd/>
              </a:ln>
            </xdr:spPr>
          </xdr:sp>
          <xdr:sp macro="" textlink="">
            <xdr:nvSpPr>
              <xdr:cNvPr id="596" name="Line 1387"/>
              <xdr:cNvSpPr>
                <a:spLocks noChangeShapeType="1"/>
              </xdr:cNvSpPr>
            </xdr:nvSpPr>
            <xdr:spPr bwMode="auto">
              <a:xfrm>
                <a:off x="8137207" y="10836266"/>
                <a:ext cx="0" cy="74639"/>
              </a:xfrm>
              <a:prstGeom prst="line">
                <a:avLst/>
              </a:prstGeom>
              <a:noFill/>
              <a:ln w="19050">
                <a:solidFill>
                  <a:srgbClr val="0000FF"/>
                </a:solidFill>
                <a:prstDash val="sysDot"/>
                <a:round/>
                <a:headEnd/>
                <a:tailEnd/>
              </a:ln>
            </xdr:spPr>
          </xdr:sp>
        </xdr:grpSp>
      </xdr:grp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0"/>
  </sheetPr>
  <dimension ref="A1:K40"/>
  <sheetViews>
    <sheetView workbookViewId="0">
      <selection sqref="A1:F40"/>
    </sheetView>
  </sheetViews>
  <sheetFormatPr defaultRowHeight="12.75" x14ac:dyDescent="0.2"/>
  <cols>
    <col min="1" max="1" width="61.5703125" customWidth="1"/>
  </cols>
  <sheetData>
    <row r="1" spans="1:11" ht="12.75" customHeight="1" x14ac:dyDescent="0.2">
      <c r="A1" s="618" t="s">
        <v>635</v>
      </c>
      <c r="B1" s="619"/>
      <c r="C1" s="619"/>
      <c r="D1" s="619"/>
      <c r="E1" s="619"/>
      <c r="F1" s="619"/>
      <c r="G1" s="192"/>
      <c r="H1" s="192"/>
      <c r="I1" s="192"/>
      <c r="J1" s="192"/>
      <c r="K1" s="192"/>
    </row>
    <row r="2" spans="1:11" x14ac:dyDescent="0.2">
      <c r="A2" s="619"/>
      <c r="B2" s="619"/>
      <c r="C2" s="619"/>
      <c r="D2" s="619"/>
      <c r="E2" s="619"/>
      <c r="F2" s="619"/>
      <c r="G2" s="192"/>
      <c r="H2" s="192"/>
      <c r="I2" s="192"/>
      <c r="J2" s="192"/>
      <c r="K2" s="192"/>
    </row>
    <row r="3" spans="1:11" x14ac:dyDescent="0.2">
      <c r="A3" s="619"/>
      <c r="B3" s="619"/>
      <c r="C3" s="619"/>
      <c r="D3" s="619"/>
      <c r="E3" s="619"/>
      <c r="F3" s="619"/>
      <c r="G3" s="192"/>
      <c r="H3" s="192"/>
      <c r="I3" s="192"/>
      <c r="J3" s="192"/>
      <c r="K3" s="192"/>
    </row>
    <row r="4" spans="1:11" x14ac:dyDescent="0.2">
      <c r="A4" s="619"/>
      <c r="B4" s="619"/>
      <c r="C4" s="619"/>
      <c r="D4" s="619"/>
      <c r="E4" s="619"/>
      <c r="F4" s="619"/>
      <c r="G4" s="192"/>
      <c r="H4" s="192"/>
      <c r="I4" s="192"/>
      <c r="J4" s="192"/>
      <c r="K4" s="192"/>
    </row>
    <row r="5" spans="1:11" x14ac:dyDescent="0.2">
      <c r="A5" s="619"/>
      <c r="B5" s="619"/>
      <c r="C5" s="619"/>
      <c r="D5" s="619"/>
      <c r="E5" s="619"/>
      <c r="F5" s="619"/>
      <c r="G5" s="192"/>
      <c r="H5" s="192"/>
      <c r="I5" s="192"/>
      <c r="J5" s="192"/>
      <c r="K5" s="192"/>
    </row>
    <row r="6" spans="1:11" x14ac:dyDescent="0.2">
      <c r="A6" s="619"/>
      <c r="B6" s="619"/>
      <c r="C6" s="619"/>
      <c r="D6" s="619"/>
      <c r="E6" s="619"/>
      <c r="F6" s="619"/>
      <c r="G6" s="192"/>
      <c r="H6" s="192"/>
      <c r="I6" s="192"/>
      <c r="J6" s="192"/>
      <c r="K6" s="192"/>
    </row>
    <row r="7" spans="1:11" x14ac:dyDescent="0.2">
      <c r="A7" s="619"/>
      <c r="B7" s="619"/>
      <c r="C7" s="619"/>
      <c r="D7" s="619"/>
      <c r="E7" s="619"/>
      <c r="F7" s="619"/>
      <c r="G7" s="192"/>
      <c r="H7" s="192"/>
      <c r="I7" s="192"/>
      <c r="J7" s="192"/>
      <c r="K7" s="192"/>
    </row>
    <row r="8" spans="1:11" x14ac:dyDescent="0.2">
      <c r="A8" s="619"/>
      <c r="B8" s="619"/>
      <c r="C8" s="619"/>
      <c r="D8" s="619"/>
      <c r="E8" s="619"/>
      <c r="F8" s="619"/>
      <c r="G8" s="192"/>
      <c r="H8" s="192"/>
      <c r="I8" s="192"/>
      <c r="J8" s="192"/>
      <c r="K8" s="192"/>
    </row>
    <row r="9" spans="1:11" x14ac:dyDescent="0.2">
      <c r="A9" s="619"/>
      <c r="B9" s="619"/>
      <c r="C9" s="619"/>
      <c r="D9" s="619"/>
      <c r="E9" s="619"/>
      <c r="F9" s="619"/>
      <c r="G9" s="192"/>
      <c r="H9" s="192"/>
      <c r="I9" s="192"/>
      <c r="J9" s="192"/>
      <c r="K9" s="192"/>
    </row>
    <row r="10" spans="1:11" x14ac:dyDescent="0.2">
      <c r="A10" s="619"/>
      <c r="B10" s="619"/>
      <c r="C10" s="619"/>
      <c r="D10" s="619"/>
      <c r="E10" s="619"/>
      <c r="F10" s="619"/>
      <c r="G10" s="192"/>
      <c r="H10" s="192"/>
      <c r="I10" s="192"/>
      <c r="J10" s="192"/>
      <c r="K10" s="192"/>
    </row>
    <row r="11" spans="1:11" x14ac:dyDescent="0.2">
      <c r="A11" s="619"/>
      <c r="B11" s="619"/>
      <c r="C11" s="619"/>
      <c r="D11" s="619"/>
      <c r="E11" s="619"/>
      <c r="F11" s="619"/>
      <c r="G11" s="192"/>
      <c r="H11" s="192"/>
      <c r="I11" s="192"/>
      <c r="J11" s="192"/>
      <c r="K11" s="192"/>
    </row>
    <row r="12" spans="1:11" x14ac:dyDescent="0.2">
      <c r="A12" s="619"/>
      <c r="B12" s="619"/>
      <c r="C12" s="619"/>
      <c r="D12" s="619"/>
      <c r="E12" s="619"/>
      <c r="F12" s="619"/>
      <c r="G12" s="192"/>
      <c r="H12" s="192"/>
      <c r="I12" s="192"/>
      <c r="J12" s="192"/>
      <c r="K12" s="192"/>
    </row>
    <row r="13" spans="1:11" x14ac:dyDescent="0.2">
      <c r="A13" s="619"/>
      <c r="B13" s="619"/>
      <c r="C13" s="619"/>
      <c r="D13" s="619"/>
      <c r="E13" s="619"/>
      <c r="F13" s="619"/>
      <c r="G13" s="192"/>
      <c r="H13" s="192"/>
      <c r="I13" s="192"/>
      <c r="J13" s="192"/>
      <c r="K13" s="192"/>
    </row>
    <row r="14" spans="1:11" x14ac:dyDescent="0.2">
      <c r="A14" s="619"/>
      <c r="B14" s="619"/>
      <c r="C14" s="619"/>
      <c r="D14" s="619"/>
      <c r="E14" s="619"/>
      <c r="F14" s="619"/>
      <c r="G14" s="192"/>
      <c r="H14" s="192"/>
      <c r="I14" s="192"/>
      <c r="J14" s="192"/>
      <c r="K14" s="192"/>
    </row>
    <row r="15" spans="1:11" x14ac:dyDescent="0.2">
      <c r="A15" s="619"/>
      <c r="B15" s="619"/>
      <c r="C15" s="619"/>
      <c r="D15" s="619"/>
      <c r="E15" s="619"/>
      <c r="F15" s="619"/>
      <c r="G15" s="192"/>
      <c r="H15" s="192"/>
      <c r="I15" s="192"/>
      <c r="J15" s="192"/>
      <c r="K15" s="192"/>
    </row>
    <row r="16" spans="1:11" x14ac:dyDescent="0.2">
      <c r="A16" s="619"/>
      <c r="B16" s="619"/>
      <c r="C16" s="619"/>
      <c r="D16" s="619"/>
      <c r="E16" s="619"/>
      <c r="F16" s="619"/>
      <c r="G16" s="192"/>
      <c r="H16" s="192"/>
      <c r="I16" s="192"/>
      <c r="J16" s="192"/>
      <c r="K16" s="192"/>
    </row>
    <row r="17" spans="1:6" x14ac:dyDescent="0.2">
      <c r="A17" s="619"/>
      <c r="B17" s="619"/>
      <c r="C17" s="619"/>
      <c r="D17" s="619"/>
      <c r="E17" s="619"/>
      <c r="F17" s="619"/>
    </row>
    <row r="18" spans="1:6" x14ac:dyDescent="0.2">
      <c r="A18" s="619"/>
      <c r="B18" s="619"/>
      <c r="C18" s="619"/>
      <c r="D18" s="619"/>
      <c r="E18" s="619"/>
      <c r="F18" s="619"/>
    </row>
    <row r="19" spans="1:6" x14ac:dyDescent="0.2">
      <c r="A19" s="619"/>
      <c r="B19" s="619"/>
      <c r="C19" s="619"/>
      <c r="D19" s="619"/>
      <c r="E19" s="619"/>
      <c r="F19" s="619"/>
    </row>
    <row r="20" spans="1:6" x14ac:dyDescent="0.2">
      <c r="A20" s="619"/>
      <c r="B20" s="619"/>
      <c r="C20" s="619"/>
      <c r="D20" s="619"/>
      <c r="E20" s="619"/>
      <c r="F20" s="619"/>
    </row>
    <row r="21" spans="1:6" x14ac:dyDescent="0.2">
      <c r="A21" s="619"/>
      <c r="B21" s="619"/>
      <c r="C21" s="619"/>
      <c r="D21" s="619"/>
      <c r="E21" s="619"/>
      <c r="F21" s="619"/>
    </row>
    <row r="22" spans="1:6" x14ac:dyDescent="0.2">
      <c r="A22" s="619"/>
      <c r="B22" s="619"/>
      <c r="C22" s="619"/>
      <c r="D22" s="619"/>
      <c r="E22" s="619"/>
      <c r="F22" s="619"/>
    </row>
    <row r="23" spans="1:6" x14ac:dyDescent="0.2">
      <c r="A23" s="619"/>
      <c r="B23" s="619"/>
      <c r="C23" s="619"/>
      <c r="D23" s="619"/>
      <c r="E23" s="619"/>
      <c r="F23" s="619"/>
    </row>
    <row r="24" spans="1:6" x14ac:dyDescent="0.2">
      <c r="A24" s="619"/>
      <c r="B24" s="619"/>
      <c r="C24" s="619"/>
      <c r="D24" s="619"/>
      <c r="E24" s="619"/>
      <c r="F24" s="619"/>
    </row>
    <row r="25" spans="1:6" x14ac:dyDescent="0.2">
      <c r="A25" s="619"/>
      <c r="B25" s="619"/>
      <c r="C25" s="619"/>
      <c r="D25" s="619"/>
      <c r="E25" s="619"/>
      <c r="F25" s="619"/>
    </row>
    <row r="26" spans="1:6" x14ac:dyDescent="0.2">
      <c r="A26" s="619"/>
      <c r="B26" s="619"/>
      <c r="C26" s="619"/>
      <c r="D26" s="619"/>
      <c r="E26" s="619"/>
      <c r="F26" s="619"/>
    </row>
    <row r="27" spans="1:6" x14ac:dyDescent="0.2">
      <c r="A27" s="619"/>
      <c r="B27" s="619"/>
      <c r="C27" s="619"/>
      <c r="D27" s="619"/>
      <c r="E27" s="619"/>
      <c r="F27" s="619"/>
    </row>
    <row r="28" spans="1:6" x14ac:dyDescent="0.2">
      <c r="A28" s="619"/>
      <c r="B28" s="619"/>
      <c r="C28" s="619"/>
      <c r="D28" s="619"/>
      <c r="E28" s="619"/>
      <c r="F28" s="619"/>
    </row>
    <row r="29" spans="1:6" x14ac:dyDescent="0.2">
      <c r="A29" s="619"/>
      <c r="B29" s="619"/>
      <c r="C29" s="619"/>
      <c r="D29" s="619"/>
      <c r="E29" s="619"/>
      <c r="F29" s="619"/>
    </row>
    <row r="30" spans="1:6" x14ac:dyDescent="0.2">
      <c r="A30" s="619"/>
      <c r="B30" s="619"/>
      <c r="C30" s="619"/>
      <c r="D30" s="619"/>
      <c r="E30" s="619"/>
      <c r="F30" s="619"/>
    </row>
    <row r="31" spans="1:6" x14ac:dyDescent="0.2">
      <c r="A31" s="619"/>
      <c r="B31" s="619"/>
      <c r="C31" s="619"/>
      <c r="D31" s="619"/>
      <c r="E31" s="619"/>
      <c r="F31" s="619"/>
    </row>
    <row r="32" spans="1:6" x14ac:dyDescent="0.2">
      <c r="A32" s="619"/>
      <c r="B32" s="619"/>
      <c r="C32" s="619"/>
      <c r="D32" s="619"/>
      <c r="E32" s="619"/>
      <c r="F32" s="619"/>
    </row>
    <row r="33" spans="1:6" x14ac:dyDescent="0.2">
      <c r="A33" s="619"/>
      <c r="B33" s="619"/>
      <c r="C33" s="619"/>
      <c r="D33" s="619"/>
      <c r="E33" s="619"/>
      <c r="F33" s="619"/>
    </row>
    <row r="34" spans="1:6" x14ac:dyDescent="0.2">
      <c r="A34" s="619"/>
      <c r="B34" s="619"/>
      <c r="C34" s="619"/>
      <c r="D34" s="619"/>
      <c r="E34" s="619"/>
      <c r="F34" s="619"/>
    </row>
    <row r="35" spans="1:6" x14ac:dyDescent="0.2">
      <c r="A35" s="619"/>
      <c r="B35" s="619"/>
      <c r="C35" s="619"/>
      <c r="D35" s="619"/>
      <c r="E35" s="619"/>
      <c r="F35" s="619"/>
    </row>
    <row r="36" spans="1:6" x14ac:dyDescent="0.2">
      <c r="A36" s="619"/>
      <c r="B36" s="619"/>
      <c r="C36" s="619"/>
      <c r="D36" s="619"/>
      <c r="E36" s="619"/>
      <c r="F36" s="619"/>
    </row>
    <row r="37" spans="1:6" x14ac:dyDescent="0.2">
      <c r="A37" s="619"/>
      <c r="B37" s="619"/>
      <c r="C37" s="619"/>
      <c r="D37" s="619"/>
      <c r="E37" s="619"/>
      <c r="F37" s="619"/>
    </row>
    <row r="38" spans="1:6" x14ac:dyDescent="0.2">
      <c r="A38" s="619"/>
      <c r="B38" s="619"/>
      <c r="C38" s="619"/>
      <c r="D38" s="619"/>
      <c r="E38" s="619"/>
      <c r="F38" s="619"/>
    </row>
    <row r="39" spans="1:6" x14ac:dyDescent="0.2">
      <c r="A39" s="619"/>
      <c r="B39" s="619"/>
      <c r="C39" s="619"/>
      <c r="D39" s="619"/>
      <c r="E39" s="619"/>
      <c r="F39" s="619"/>
    </row>
    <row r="40" spans="1:6" x14ac:dyDescent="0.2">
      <c r="A40" s="619"/>
      <c r="B40" s="619"/>
      <c r="C40" s="619"/>
      <c r="D40" s="619"/>
      <c r="E40" s="619"/>
      <c r="F40" s="619"/>
    </row>
  </sheetData>
  <sheetProtection password="C99D" sheet="1" objects="1" scenarios="1"/>
  <mergeCells count="1">
    <mergeCell ref="A1:F40"/>
  </mergeCells>
  <phoneticPr fontId="5" type="noConversion"/>
  <pageMargins left="0.75" right="0.75" top="0.5" bottom="0.5" header="0.5" footer="0.5"/>
  <pageSetup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L117"/>
  <sheetViews>
    <sheetView zoomScaleNormal="100" workbookViewId="0">
      <selection activeCell="L65" sqref="L65"/>
    </sheetView>
  </sheetViews>
  <sheetFormatPr defaultRowHeight="12.75" x14ac:dyDescent="0.2"/>
  <cols>
    <col min="1" max="1" width="9" customWidth="1"/>
    <col min="2" max="2" width="8.42578125" customWidth="1"/>
    <col min="3" max="3" width="8.5703125" customWidth="1"/>
    <col min="4" max="4" width="9.7109375" customWidth="1"/>
    <col min="5" max="5" width="7.7109375" customWidth="1"/>
    <col min="6" max="10" width="10.7109375" customWidth="1"/>
    <col min="11" max="11" width="10.42578125" customWidth="1"/>
    <col min="12" max="12" width="10.140625" customWidth="1"/>
  </cols>
  <sheetData>
    <row r="1" spans="1:12" ht="15.75" x14ac:dyDescent="0.25">
      <c r="A1" s="626" t="s">
        <v>365</v>
      </c>
      <c r="B1" s="626"/>
      <c r="C1" s="626"/>
      <c r="D1" s="626"/>
      <c r="E1" s="626"/>
      <c r="F1" s="626"/>
      <c r="G1" s="626"/>
      <c r="H1" s="626"/>
      <c r="I1" s="626"/>
      <c r="J1" s="626"/>
      <c r="K1" s="626"/>
      <c r="L1" s="626"/>
    </row>
    <row r="2" spans="1:12" x14ac:dyDescent="0.2">
      <c r="A2" s="54"/>
      <c r="B2" s="54"/>
      <c r="C2" s="54"/>
      <c r="D2" s="54"/>
      <c r="E2" s="54"/>
      <c r="F2" s="55" t="s">
        <v>0</v>
      </c>
      <c r="G2" s="55" t="s">
        <v>1</v>
      </c>
      <c r="H2" s="55" t="s">
        <v>2</v>
      </c>
      <c r="I2" s="55" t="s">
        <v>3</v>
      </c>
      <c r="J2" s="55" t="s">
        <v>4</v>
      </c>
      <c r="K2" s="314" t="s">
        <v>750</v>
      </c>
      <c r="L2" s="316" t="s">
        <v>752</v>
      </c>
    </row>
    <row r="3" spans="1:12" ht="15.75" x14ac:dyDescent="0.25">
      <c r="A3" s="17" t="s">
        <v>35</v>
      </c>
      <c r="F3" s="2"/>
      <c r="G3" s="2"/>
      <c r="H3" s="2"/>
      <c r="I3" s="2"/>
      <c r="J3" s="51"/>
      <c r="K3" s="51"/>
      <c r="L3" s="51"/>
    </row>
    <row r="4" spans="1:12" x14ac:dyDescent="0.2">
      <c r="A4" s="253" t="s">
        <v>686</v>
      </c>
      <c r="F4" s="118">
        <f ca="1">'Summary of Results'!F9</f>
        <v>4.0000000000000036</v>
      </c>
      <c r="G4" s="118">
        <f ca="1">'Summary of Results'!G9</f>
        <v>6.0000000000000027</v>
      </c>
      <c r="H4" s="118">
        <f ca="1">'Summary of Results'!H9</f>
        <v>8.0000000000000018</v>
      </c>
      <c r="I4" s="118">
        <f ca="1">'Summary of Results'!I9</f>
        <v>10.000000000000023</v>
      </c>
      <c r="J4" s="118">
        <f ca="1">'Summary of Results'!J9</f>
        <v>12.000000000000012</v>
      </c>
      <c r="K4" s="118">
        <f ca="1">'Summary of Results'!K9</f>
        <v>13.999999999999995</v>
      </c>
      <c r="L4" s="118">
        <f ca="1">'Summary of Results'!L9</f>
        <v>16.000000000000014</v>
      </c>
    </row>
    <row r="5" spans="1:12" x14ac:dyDescent="0.2">
      <c r="A5" t="s">
        <v>257</v>
      </c>
      <c r="F5" s="118">
        <f ca="1">'Summary of Results'!F16</f>
        <v>60.000000000000007</v>
      </c>
      <c r="G5" s="118">
        <f ca="1">'Summary of Results'!G16</f>
        <v>72.744106133087698</v>
      </c>
      <c r="H5" s="118">
        <f ca="1">'Summary of Results'!H16</f>
        <v>95.293204855200543</v>
      </c>
      <c r="I5" s="118">
        <f ca="1">'Summary of Results'!I16</f>
        <v>117.03719608035212</v>
      </c>
      <c r="J5" s="118">
        <f ca="1">'Summary of Results'!J16</f>
        <v>138.03400841597346</v>
      </c>
      <c r="K5" s="118">
        <f ca="1">'Summary of Results'!K16</f>
        <v>158.32920265404357</v>
      </c>
      <c r="L5" s="118">
        <f ca="1">'Summary of Results'!L16</f>
        <v>177.96225181488037</v>
      </c>
    </row>
    <row r="6" spans="1:12" x14ac:dyDescent="0.2">
      <c r="A6" t="s">
        <v>256</v>
      </c>
      <c r="F6" s="118">
        <f>'Summary of Results'!F17</f>
        <v>60</v>
      </c>
      <c r="G6" s="118">
        <f>'Summary of Results'!G17</f>
        <v>60</v>
      </c>
      <c r="H6" s="118">
        <f>'Summary of Results'!H17</f>
        <v>60</v>
      </c>
      <c r="I6" s="118">
        <f>'Summary of Results'!I17</f>
        <v>60</v>
      </c>
      <c r="J6" s="118">
        <f>'Summary of Results'!J17</f>
        <v>60</v>
      </c>
      <c r="K6" s="118">
        <f>'Summary of Results'!K17</f>
        <v>60</v>
      </c>
      <c r="L6" s="118">
        <f>'Summary of Results'!L17</f>
        <v>60</v>
      </c>
    </row>
    <row r="7" spans="1:12" x14ac:dyDescent="0.2">
      <c r="A7" s="253" t="s">
        <v>274</v>
      </c>
      <c r="F7" s="119">
        <f>'Battery Design'!F59</f>
        <v>24</v>
      </c>
      <c r="G7" s="119">
        <f>'Battery Design'!G59</f>
        <v>24</v>
      </c>
      <c r="H7" s="119">
        <f>'Battery Design'!H59</f>
        <v>24</v>
      </c>
      <c r="I7" s="119">
        <f>'Battery Design'!I59</f>
        <v>24</v>
      </c>
      <c r="J7" s="119">
        <f>'Battery Design'!J59</f>
        <v>24</v>
      </c>
      <c r="K7" s="119">
        <f>'Battery Design'!K59</f>
        <v>24</v>
      </c>
      <c r="L7" s="119">
        <f>'Battery Design'!L59</f>
        <v>24</v>
      </c>
    </row>
    <row r="8" spans="1:12" x14ac:dyDescent="0.2">
      <c r="A8" s="253" t="s">
        <v>345</v>
      </c>
      <c r="F8" s="117">
        <f>'Battery Design'!F60</f>
        <v>1</v>
      </c>
      <c r="G8" s="117">
        <f>'Battery Design'!G60</f>
        <v>1</v>
      </c>
      <c r="H8" s="117">
        <f>'Battery Design'!H60</f>
        <v>1</v>
      </c>
      <c r="I8" s="117">
        <f>'Battery Design'!I60</f>
        <v>1</v>
      </c>
      <c r="J8" s="117">
        <f>'Battery Design'!J60</f>
        <v>1</v>
      </c>
      <c r="K8" s="117">
        <f>'Battery Design'!K60</f>
        <v>1</v>
      </c>
      <c r="L8" s="117">
        <f>'Battery Design'!L60</f>
        <v>1</v>
      </c>
    </row>
    <row r="9" spans="1:12" x14ac:dyDescent="0.2">
      <c r="A9" s="253" t="s">
        <v>687</v>
      </c>
      <c r="F9" s="119">
        <f>'Battery Design'!F63</f>
        <v>4</v>
      </c>
      <c r="G9" s="119">
        <f>'Battery Design'!G63</f>
        <v>4</v>
      </c>
      <c r="H9" s="119">
        <f>'Battery Design'!H63</f>
        <v>4</v>
      </c>
      <c r="I9" s="119">
        <f>'Battery Design'!I63</f>
        <v>4</v>
      </c>
      <c r="J9" s="119">
        <f>'Battery Design'!J63</f>
        <v>4</v>
      </c>
      <c r="K9" s="119">
        <f>'Battery Design'!K63</f>
        <v>4</v>
      </c>
      <c r="L9" s="119">
        <f>'Battery Design'!L63</f>
        <v>4</v>
      </c>
    </row>
    <row r="10" spans="1:12" x14ac:dyDescent="0.2">
      <c r="A10" s="253" t="s">
        <v>688</v>
      </c>
      <c r="F10" s="119">
        <f>'Battery Design'!F65</f>
        <v>1</v>
      </c>
      <c r="G10" s="119">
        <f>'Battery Design'!G65</f>
        <v>1</v>
      </c>
      <c r="H10" s="119">
        <f>'Battery Design'!H65</f>
        <v>1</v>
      </c>
      <c r="I10" s="119">
        <f>'Battery Design'!I65</f>
        <v>1</v>
      </c>
      <c r="J10" s="119">
        <f>'Battery Design'!J65</f>
        <v>1</v>
      </c>
      <c r="K10" s="119">
        <f>'Battery Design'!K65</f>
        <v>1</v>
      </c>
      <c r="L10" s="119">
        <f>'Battery Design'!L65</f>
        <v>1</v>
      </c>
    </row>
    <row r="11" spans="1:12" x14ac:dyDescent="0.2">
      <c r="A11" t="s">
        <v>194</v>
      </c>
      <c r="D11" s="2"/>
      <c r="F11" s="118">
        <f ca="1">'Summary of Results'!F5</f>
        <v>11.20000000000001</v>
      </c>
      <c r="G11" s="118">
        <f ca="1">'Summary of Results'!G5</f>
        <v>16.800000000000008</v>
      </c>
      <c r="H11" s="118">
        <f ca="1">'Summary of Results'!H5</f>
        <v>22.400000000000006</v>
      </c>
      <c r="I11" s="118">
        <f ca="1">'Summary of Results'!I5</f>
        <v>28.000000000000064</v>
      </c>
      <c r="J11" s="118">
        <f ca="1">'Summary of Results'!J5</f>
        <v>33.600000000000037</v>
      </c>
      <c r="K11" s="118">
        <f ca="1">'Summary of Results'!K5</f>
        <v>39.199999999999989</v>
      </c>
      <c r="L11" s="118">
        <f ca="1">'Summary of Results'!L5</f>
        <v>44.80000000000004</v>
      </c>
    </row>
    <row r="12" spans="1:12" ht="15.75" x14ac:dyDescent="0.25">
      <c r="A12" s="17" t="s">
        <v>84</v>
      </c>
      <c r="B12" s="4"/>
      <c r="C12" s="4"/>
      <c r="D12" s="69"/>
      <c r="E12" s="19"/>
      <c r="F12" s="69"/>
      <c r="G12" s="69"/>
      <c r="H12" s="69"/>
      <c r="I12" s="69"/>
      <c r="J12" s="69"/>
      <c r="K12" s="69"/>
      <c r="L12" s="69"/>
    </row>
    <row r="13" spans="1:12" x14ac:dyDescent="0.2">
      <c r="A13" s="6" t="s">
        <v>171</v>
      </c>
      <c r="B13" s="6"/>
      <c r="C13" s="6"/>
      <c r="D13" s="69"/>
      <c r="E13" s="19"/>
      <c r="F13" s="69">
        <f ca="1">'Manufacturing Cost Calculations'!F262</f>
        <v>113.59783967416351</v>
      </c>
      <c r="G13" s="69">
        <f ca="1">'Manufacturing Cost Calculations'!G262</f>
        <v>125.40458825989411</v>
      </c>
      <c r="H13" s="69">
        <f ca="1">'Manufacturing Cost Calculations'!H262</f>
        <v>137.66140729665852</v>
      </c>
      <c r="I13" s="69">
        <f ca="1">'Manufacturing Cost Calculations'!I262</f>
        <v>148.77515844642306</v>
      </c>
      <c r="J13" s="69">
        <f ca="1">'Manufacturing Cost Calculations'!J262</f>
        <v>159.07423082718117</v>
      </c>
      <c r="K13" s="69">
        <f ca="1">'Manufacturing Cost Calculations'!K262</f>
        <v>168.75324792003977</v>
      </c>
      <c r="L13" s="69">
        <f ca="1">'Manufacturing Cost Calculations'!L262</f>
        <v>177.93896602430956</v>
      </c>
    </row>
    <row r="14" spans="1:12" x14ac:dyDescent="0.2">
      <c r="A14" s="6" t="s">
        <v>179</v>
      </c>
      <c r="B14" s="6"/>
      <c r="C14" s="6"/>
      <c r="D14" s="69"/>
      <c r="E14" s="19"/>
      <c r="F14" s="69"/>
      <c r="G14" s="69"/>
      <c r="H14" s="69"/>
      <c r="I14" s="69"/>
      <c r="J14" s="69"/>
      <c r="K14" s="69"/>
      <c r="L14" s="69"/>
    </row>
    <row r="15" spans="1:12" ht="14.25" x14ac:dyDescent="0.2">
      <c r="A15" s="6" t="s">
        <v>142</v>
      </c>
      <c r="B15" s="6"/>
      <c r="C15" s="6"/>
      <c r="D15" s="69"/>
      <c r="E15" s="19"/>
      <c r="F15" s="69">
        <f ca="1">'Manufacturing Cost Calculations'!F263</f>
        <v>15318.228703454575</v>
      </c>
      <c r="G15" s="69">
        <f ca="1">'Manufacturing Cost Calculations'!G263</f>
        <v>16656.544816237543</v>
      </c>
      <c r="H15" s="69">
        <f ca="1">'Manufacturing Cost Calculations'!H263</f>
        <v>18161.785424226789</v>
      </c>
      <c r="I15" s="69">
        <f ca="1">'Manufacturing Cost Calculations'!I263</f>
        <v>19523.290655605135</v>
      </c>
      <c r="J15" s="69">
        <f ca="1">'Manufacturing Cost Calculations'!J263</f>
        <v>20781.639177745663</v>
      </c>
      <c r="K15" s="69">
        <f ca="1">'Manufacturing Cost Calculations'!K263</f>
        <v>21961.09236674057</v>
      </c>
      <c r="L15" s="69">
        <f ca="1">'Manufacturing Cost Calculations'!L263</f>
        <v>23077.555063515054</v>
      </c>
    </row>
    <row r="16" spans="1:12" ht="14.25" x14ac:dyDescent="0.2">
      <c r="A16" s="6" t="s">
        <v>170</v>
      </c>
      <c r="B16" s="6"/>
      <c r="C16" s="6"/>
      <c r="D16" s="69"/>
      <c r="E16" s="19"/>
      <c r="F16" s="69">
        <f>'Cost Input'!$J32</f>
        <v>3000</v>
      </c>
      <c r="G16" s="69">
        <f>'Cost Input'!$J32</f>
        <v>3000</v>
      </c>
      <c r="H16" s="69">
        <f>'Cost Input'!$J32</f>
        <v>3000</v>
      </c>
      <c r="I16" s="69">
        <f>'Cost Input'!$J32</f>
        <v>3000</v>
      </c>
      <c r="J16" s="69">
        <f>'Cost Input'!$J32</f>
        <v>3000</v>
      </c>
      <c r="K16" s="69">
        <f>'Cost Input'!$J32</f>
        <v>3000</v>
      </c>
      <c r="L16" s="69">
        <f>'Cost Input'!$J32</f>
        <v>3000</v>
      </c>
    </row>
    <row r="17" spans="1:12" x14ac:dyDescent="0.2">
      <c r="A17" s="6" t="s">
        <v>180</v>
      </c>
      <c r="B17" s="6"/>
      <c r="C17" s="6"/>
      <c r="D17" s="69"/>
      <c r="E17" s="19"/>
      <c r="F17" s="69">
        <f t="shared" ref="F17:K17" ca="1" si="0">F15*F16/1000000</f>
        <v>45.954686110363731</v>
      </c>
      <c r="G17" s="69">
        <f t="shared" ca="1" si="0"/>
        <v>49.969634448712632</v>
      </c>
      <c r="H17" s="69">
        <f t="shared" ca="1" si="0"/>
        <v>54.48535627268037</v>
      </c>
      <c r="I17" s="69">
        <f t="shared" ca="1" si="0"/>
        <v>58.569871966815406</v>
      </c>
      <c r="J17" s="69">
        <f t="shared" ca="1" si="0"/>
        <v>62.344917533236988</v>
      </c>
      <c r="K17" s="69">
        <f t="shared" ca="1" si="0"/>
        <v>65.883277100221704</v>
      </c>
      <c r="L17" s="69">
        <f t="shared" ref="L17" ca="1" si="1">L15*L16/1000000</f>
        <v>69.232665190545163</v>
      </c>
    </row>
    <row r="18" spans="1:12" x14ac:dyDescent="0.2">
      <c r="A18" s="6" t="s">
        <v>143</v>
      </c>
      <c r="B18" s="6"/>
      <c r="C18" s="6"/>
      <c r="D18" s="69"/>
      <c r="E18" s="19"/>
      <c r="F18" s="69"/>
      <c r="G18" s="69"/>
      <c r="H18" s="69"/>
      <c r="I18" s="69"/>
      <c r="J18" s="69"/>
      <c r="K18" s="69"/>
      <c r="L18" s="69"/>
    </row>
    <row r="19" spans="1:12" x14ac:dyDescent="0.2">
      <c r="A19" s="6" t="s">
        <v>144</v>
      </c>
      <c r="B19" s="6"/>
      <c r="C19" s="6"/>
      <c r="D19" s="69"/>
      <c r="E19" s="19"/>
      <c r="F19" s="69"/>
      <c r="G19" s="69"/>
      <c r="H19" s="69"/>
      <c r="I19" s="69"/>
      <c r="J19" s="69"/>
      <c r="K19" s="69"/>
      <c r="L19" s="69"/>
    </row>
    <row r="20" spans="1:12" x14ac:dyDescent="0.2">
      <c r="A20" s="6" t="s">
        <v>145</v>
      </c>
      <c r="B20" s="6"/>
      <c r="C20" s="6"/>
      <c r="D20" s="69"/>
      <c r="E20" s="19"/>
      <c r="F20" s="69">
        <f ca="1">('Cost Input'!$J34/100*F29+'Cost Input'!$J35/100*(F38+F39))*'Manufacturing Cost Calculations'!F5/1000000</f>
        <v>5.9413559749605449</v>
      </c>
      <c r="G20" s="69">
        <f ca="1">('Cost Input'!$J34/100*G29+'Cost Input'!$J35/100*(G38+G39))*'Manufacturing Cost Calculations'!G5/1000000</f>
        <v>6.8622347510732844</v>
      </c>
      <c r="H20" s="69">
        <f ca="1">('Cost Input'!$J34/100*H29+'Cost Input'!$J35/100*(H38+H39))*'Manufacturing Cost Calculations'!H5/1000000</f>
        <v>7.9343287117949846</v>
      </c>
      <c r="I20" s="69">
        <f ca="1">('Cost Input'!$J34/100*I29+'Cost Input'!$J35/100*(I38+I39))*'Manufacturing Cost Calculations'!I5/1000000</f>
        <v>8.9779308983453436</v>
      </c>
      <c r="J20" s="69">
        <f ca="1">('Cost Input'!$J34/100*J29+'Cost Input'!$J35/100*(J38+J39))*'Manufacturing Cost Calculations'!J5/1000000</f>
        <v>10.000602366432458</v>
      </c>
      <c r="K20" s="69">
        <f ca="1">('Cost Input'!$J34/100*K29+'Cost Input'!$J35/100*(K38+K39))*'Manufacturing Cost Calculations'!K5/1000000</f>
        <v>11.006961267749199</v>
      </c>
      <c r="L20" s="69">
        <f ca="1">('Cost Input'!$J34/100*L29+'Cost Input'!$J35/100*(L38+L39))*'Manufacturing Cost Calculations'!L5/1000000</f>
        <v>12.00008749839189</v>
      </c>
    </row>
    <row r="21" spans="1:12" x14ac:dyDescent="0.2">
      <c r="A21" s="6" t="s">
        <v>172</v>
      </c>
      <c r="B21" s="6"/>
      <c r="C21" s="6"/>
      <c r="D21" s="69"/>
      <c r="E21" s="19"/>
      <c r="F21" s="69">
        <f ca="1">F40*'Manufacturing Cost Calculations'!F5/1000000*'Cost Input'!$J$36/100</f>
        <v>14.686945833833031</v>
      </c>
      <c r="G21" s="69">
        <f ca="1">G40*'Manufacturing Cost Calculations'!G5/1000000*'Cost Input'!$J$36/100</f>
        <v>17.26186413726796</v>
      </c>
      <c r="H21" s="69">
        <f ca="1">H40*'Manufacturing Cost Calculations'!H5/1000000*'Cost Input'!$J$36/100</f>
        <v>20.260702514097634</v>
      </c>
      <c r="I21" s="69">
        <f ca="1">I40*'Manufacturing Cost Calculations'!I5/1000000*'Cost Input'!$J$36/100</f>
        <v>23.197306911801938</v>
      </c>
      <c r="J21" s="69">
        <f ca="1">J40*'Manufacturing Cost Calculations'!J5/1000000*'Cost Input'!$J$36/100</f>
        <v>26.087680740009418</v>
      </c>
      <c r="K21" s="69">
        <f ca="1">K40*'Manufacturing Cost Calculations'!K5/1000000*'Cost Input'!$J$36/100</f>
        <v>28.94170597934804</v>
      </c>
      <c r="L21" s="69">
        <f ca="1">L40*'Manufacturing Cost Calculations'!L5/1000000*'Cost Input'!$J$36/100</f>
        <v>31.766030378857966</v>
      </c>
    </row>
    <row r="22" spans="1:12" x14ac:dyDescent="0.2">
      <c r="A22" s="6" t="s">
        <v>182</v>
      </c>
      <c r="B22" s="6"/>
      <c r="C22" s="6"/>
      <c r="D22" s="69"/>
      <c r="E22" s="19"/>
      <c r="F22" s="69">
        <f t="shared" ref="F22:K22" ca="1" si="2">F13+F17+F20+F21</f>
        <v>180.1808275933208</v>
      </c>
      <c r="G22" s="69">
        <f t="shared" ca="1" si="2"/>
        <v>199.49832159694799</v>
      </c>
      <c r="H22" s="69">
        <f t="shared" ca="1" si="2"/>
        <v>220.34179479523152</v>
      </c>
      <c r="I22" s="69">
        <f t="shared" ca="1" si="2"/>
        <v>239.52026822338576</v>
      </c>
      <c r="J22" s="69">
        <f t="shared" ca="1" si="2"/>
        <v>257.50743146686</v>
      </c>
      <c r="K22" s="69">
        <f t="shared" ca="1" si="2"/>
        <v>274.58519226735871</v>
      </c>
      <c r="L22" s="69">
        <f t="shared" ref="L22" ca="1" si="3">L13+L17+L20+L21</f>
        <v>290.93774909210458</v>
      </c>
    </row>
    <row r="23" spans="1:12" ht="15.75" x14ac:dyDescent="0.25">
      <c r="A23" s="17" t="s">
        <v>361</v>
      </c>
      <c r="B23" s="4"/>
      <c r="C23" s="4"/>
      <c r="D23" s="69"/>
      <c r="E23" s="19"/>
      <c r="F23" s="69"/>
      <c r="G23" s="69"/>
      <c r="H23" s="69"/>
      <c r="I23" s="69"/>
      <c r="J23" s="69"/>
      <c r="K23" s="69"/>
      <c r="L23" s="69"/>
    </row>
    <row r="24" spans="1:12" ht="15" x14ac:dyDescent="0.25">
      <c r="A24" s="259" t="s">
        <v>89</v>
      </c>
      <c r="B24" s="72"/>
      <c r="C24" s="72"/>
      <c r="D24" s="69"/>
      <c r="E24" s="19"/>
      <c r="F24" s="69"/>
      <c r="G24" s="69"/>
      <c r="H24" s="69"/>
      <c r="I24" s="69"/>
      <c r="J24" s="69"/>
      <c r="K24" s="69"/>
      <c r="L24" s="69"/>
    </row>
    <row r="25" spans="1:12" x14ac:dyDescent="0.2">
      <c r="A25" s="6" t="s">
        <v>146</v>
      </c>
      <c r="B25" s="6"/>
      <c r="C25" s="6"/>
      <c r="D25" s="69"/>
      <c r="E25" s="19"/>
      <c r="F25" s="69"/>
      <c r="G25" s="69"/>
      <c r="H25" s="69"/>
      <c r="I25" s="69"/>
      <c r="J25" s="69"/>
      <c r="K25" s="69"/>
      <c r="L25" s="69"/>
    </row>
    <row r="26" spans="1:12" x14ac:dyDescent="0.2">
      <c r="A26" s="6" t="s">
        <v>147</v>
      </c>
      <c r="B26" s="6"/>
      <c r="C26" s="6"/>
      <c r="D26" s="69"/>
      <c r="E26" s="19"/>
      <c r="F26" s="69">
        <f ca="1">'Summary of Results'!F37</f>
        <v>416.0589158546926</v>
      </c>
      <c r="G26" s="69">
        <f ca="1">'Summary of Results'!G37</f>
        <v>564.09949930148696</v>
      </c>
      <c r="H26" s="69">
        <f ca="1">'Summary of Results'!H37</f>
        <v>738.36038231914904</v>
      </c>
      <c r="I26" s="69">
        <f ca="1">'Summary of Results'!I37</f>
        <v>910.31139211428535</v>
      </c>
      <c r="J26" s="69">
        <f ca="1">'Summary of Results'!J37</f>
        <v>1080.4935345124982</v>
      </c>
      <c r="K26" s="69">
        <f ca="1">'Summary of Results'!K37</f>
        <v>1249.2510615146175</v>
      </c>
      <c r="L26" s="69">
        <f ca="1">'Summary of Results'!L37</f>
        <v>1416.8213805320058</v>
      </c>
    </row>
    <row r="27" spans="1:12" x14ac:dyDescent="0.2">
      <c r="A27" s="6" t="s">
        <v>148</v>
      </c>
      <c r="B27" s="6"/>
      <c r="C27" s="6"/>
      <c r="D27" s="69"/>
      <c r="E27" s="19"/>
      <c r="F27" s="69">
        <f ca="1">'Summary of Results'!F38</f>
        <v>72.694346666458273</v>
      </c>
      <c r="G27" s="69">
        <f ca="1">'Summary of Results'!G38</f>
        <v>75.7535266498612</v>
      </c>
      <c r="H27" s="69">
        <f ca="1">'Summary of Results'!H38</f>
        <v>78.725152058643602</v>
      </c>
      <c r="I27" s="69">
        <f ca="1">'Summary of Results'!I38</f>
        <v>81.465347243170058</v>
      </c>
      <c r="J27" s="69">
        <f ca="1">'Summary of Results'!J38</f>
        <v>84.041213612723141</v>
      </c>
      <c r="K27" s="69">
        <f ca="1">'Summary of Results'!K38</f>
        <v>86.492604632888572</v>
      </c>
      <c r="L27" s="69">
        <f ca="1">'Summary of Results'!L38</f>
        <v>88.845503256705811</v>
      </c>
    </row>
    <row r="28" spans="1:12" x14ac:dyDescent="0.2">
      <c r="A28" s="6" t="s">
        <v>360</v>
      </c>
      <c r="B28" s="6"/>
      <c r="C28" s="6"/>
      <c r="D28" s="69"/>
      <c r="E28" s="19"/>
      <c r="F28" s="69">
        <f ca="1">'Manufacturing Cost Calculations'!F97*'Battery Design'!F63</f>
        <v>281.23498699781061</v>
      </c>
      <c r="G28" s="69">
        <f ca="1">'Manufacturing Cost Calculations'!G97*'Battery Design'!G63</f>
        <v>289.28190880305641</v>
      </c>
      <c r="H28" s="69">
        <f ca="1">'Manufacturing Cost Calculations'!H97*'Battery Design'!H63</f>
        <v>297.47572514289487</v>
      </c>
      <c r="I28" s="69">
        <f ca="1">'Manufacturing Cost Calculations'!I97*'Battery Design'!I63</f>
        <v>305.61133588040116</v>
      </c>
      <c r="J28" s="69">
        <f ca="1">'Manufacturing Cost Calculations'!J97*'Battery Design'!J63</f>
        <v>313.70221058954303</v>
      </c>
      <c r="K28" s="69">
        <f ca="1">'Manufacturing Cost Calculations'!K97*'Battery Design'!K63</f>
        <v>321.75821088239314</v>
      </c>
      <c r="L28" s="69">
        <f ca="1">'Manufacturing Cost Calculations'!L97*'Battery Design'!L63</f>
        <v>329.78633371397217</v>
      </c>
    </row>
    <row r="29" spans="1:12" x14ac:dyDescent="0.2">
      <c r="A29" s="6" t="s">
        <v>102</v>
      </c>
      <c r="B29" s="6"/>
      <c r="C29" s="6"/>
      <c r="D29" s="69"/>
      <c r="E29" s="19"/>
      <c r="F29" s="69">
        <f t="shared" ref="F29:K29" ca="1" si="4">SUM(F26:F28)</f>
        <v>769.98824951896154</v>
      </c>
      <c r="G29" s="69">
        <f t="shared" ca="1" si="4"/>
        <v>929.13493475440464</v>
      </c>
      <c r="H29" s="69">
        <f t="shared" ca="1" si="4"/>
        <v>1114.5612595206876</v>
      </c>
      <c r="I29" s="69">
        <f t="shared" ca="1" si="4"/>
        <v>1297.3880752378566</v>
      </c>
      <c r="J29" s="69">
        <f t="shared" ca="1" si="4"/>
        <v>1478.2369587147643</v>
      </c>
      <c r="K29" s="69">
        <f t="shared" ca="1" si="4"/>
        <v>1657.5018770298991</v>
      </c>
      <c r="L29" s="69">
        <f t="shared" ref="L29" ca="1" si="5">SUM(L26:L28)</f>
        <v>1835.4532175026839</v>
      </c>
    </row>
    <row r="30" spans="1:12" x14ac:dyDescent="0.2">
      <c r="A30" s="6" t="s">
        <v>149</v>
      </c>
      <c r="B30" s="6"/>
      <c r="C30" s="6"/>
      <c r="D30" s="81"/>
      <c r="E30" s="19"/>
      <c r="F30" s="69"/>
      <c r="G30" s="69"/>
      <c r="H30" s="69"/>
      <c r="I30" s="69"/>
      <c r="J30" s="69"/>
      <c r="K30" s="69"/>
      <c r="L30" s="69"/>
    </row>
    <row r="31" spans="1:12" x14ac:dyDescent="0.2">
      <c r="A31" s="6" t="s">
        <v>150</v>
      </c>
      <c r="B31" s="6"/>
      <c r="C31" s="6"/>
      <c r="D31" s="69"/>
      <c r="E31" s="19"/>
      <c r="F31" s="69">
        <f ca="1">'Summary of Results'!F43</f>
        <v>29.770820260244779</v>
      </c>
      <c r="G31" s="69">
        <f ca="1">'Summary of Results'!G43</f>
        <v>33.691789131019846</v>
      </c>
      <c r="H31" s="69">
        <f ca="1">'Summary of Results'!H43</f>
        <v>39.192269692666876</v>
      </c>
      <c r="I31" s="69">
        <f ca="1">'Summary of Results'!I43</f>
        <v>44.086811196870926</v>
      </c>
      <c r="J31" s="69">
        <f ca="1">'Summary of Results'!J43</f>
        <v>48.548698995569872</v>
      </c>
      <c r="K31" s="69">
        <f ca="1">'Summary of Results'!K43</f>
        <v>52.681301532040237</v>
      </c>
      <c r="L31" s="69">
        <f ca="1">'Summary of Results'!L43</f>
        <v>56.552209879413709</v>
      </c>
    </row>
    <row r="32" spans="1:12" x14ac:dyDescent="0.2">
      <c r="A32" s="6" t="s">
        <v>151</v>
      </c>
      <c r="B32" s="6"/>
      <c r="C32" s="6"/>
      <c r="D32" s="69"/>
      <c r="E32" s="19"/>
      <c r="F32" s="69">
        <f ca="1">'Summary of Results'!F44</f>
        <v>32.578040251729384</v>
      </c>
      <c r="G32" s="69">
        <f ca="1">'Summary of Results'!G44</f>
        <v>32.583028039548125</v>
      </c>
      <c r="H32" s="69">
        <f ca="1">'Summary of Results'!H44</f>
        <v>32.591191828134178</v>
      </c>
      <c r="I32" s="69">
        <f ca="1">'Summary of Results'!I44</f>
        <v>32.598511963489806</v>
      </c>
      <c r="J32" s="69">
        <f ca="1">'Summary of Results'!J44</f>
        <v>32.605217707358257</v>
      </c>
      <c r="K32" s="69">
        <f ca="1">'Summary of Results'!K44</f>
        <v>32.611448436880025</v>
      </c>
      <c r="L32" s="69">
        <f ca="1">'Summary of Results'!L44</f>
        <v>32.617296702351197</v>
      </c>
    </row>
    <row r="33" spans="1:12" x14ac:dyDescent="0.2">
      <c r="A33" s="6" t="s">
        <v>338</v>
      </c>
      <c r="B33" s="6"/>
      <c r="C33" s="6"/>
      <c r="D33" s="69"/>
      <c r="E33" s="19"/>
      <c r="F33" s="69">
        <f>'Summary of Results'!F45</f>
        <v>22.378004805083066</v>
      </c>
      <c r="G33" s="69">
        <f>'Summary of Results'!G45</f>
        <v>22.378004805083066</v>
      </c>
      <c r="H33" s="69">
        <f>'Summary of Results'!H45</f>
        <v>22.378004805083066</v>
      </c>
      <c r="I33" s="69">
        <f>'Summary of Results'!I45</f>
        <v>22.378004805083066</v>
      </c>
      <c r="J33" s="69">
        <f>'Summary of Results'!J45</f>
        <v>22.378004805083066</v>
      </c>
      <c r="K33" s="69">
        <f>'Summary of Results'!K45</f>
        <v>22.378004805083066</v>
      </c>
      <c r="L33" s="69">
        <f>'Summary of Results'!L45</f>
        <v>22.378004805083066</v>
      </c>
    </row>
    <row r="34" spans="1:12" x14ac:dyDescent="0.2">
      <c r="A34" s="6" t="s">
        <v>363</v>
      </c>
      <c r="B34" s="6"/>
      <c r="C34" s="6"/>
      <c r="D34" s="69"/>
      <c r="E34" s="19"/>
      <c r="F34" s="69">
        <f>'Cost Input'!$J$39/'Manufacturing Cost Calculations'!F$5*('Manufacturing Cost Calculations'!F236+2/3*'Manufacturing Cost Calculations'!F242)</f>
        <v>16.393247390312879</v>
      </c>
      <c r="G34" s="69">
        <f>'Cost Input'!$J$39/'Manufacturing Cost Calculations'!G$5*('Manufacturing Cost Calculations'!G236+2/3*'Manufacturing Cost Calculations'!G242)</f>
        <v>16.393247390312879</v>
      </c>
      <c r="H34" s="69">
        <f>'Cost Input'!$J$39/'Manufacturing Cost Calculations'!H$5*('Manufacturing Cost Calculations'!H236+2/3*'Manufacturing Cost Calculations'!H242)</f>
        <v>16.393247390312879</v>
      </c>
      <c r="I34" s="69">
        <f>'Cost Input'!$J$39/'Manufacturing Cost Calculations'!I$5*('Manufacturing Cost Calculations'!I236+2/3*'Manufacturing Cost Calculations'!I242)</f>
        <v>16.393247390312879</v>
      </c>
      <c r="J34" s="69">
        <f>'Cost Input'!$J$39/'Manufacturing Cost Calculations'!J$5*('Manufacturing Cost Calculations'!J236+2/3*'Manufacturing Cost Calculations'!J242)</f>
        <v>16.393247390312879</v>
      </c>
      <c r="K34" s="69">
        <f>'Cost Input'!$J$39/'Manufacturing Cost Calculations'!K$5*('Manufacturing Cost Calculations'!K236+2/3*'Manufacturing Cost Calculations'!K242)</f>
        <v>16.393247390312879</v>
      </c>
      <c r="L34" s="69">
        <f>'Cost Input'!$J$39/'Manufacturing Cost Calculations'!L$5*('Manufacturing Cost Calculations'!L236+2/3*'Manufacturing Cost Calculations'!L242)</f>
        <v>16.393247390312879</v>
      </c>
    </row>
    <row r="35" spans="1:12" x14ac:dyDescent="0.2">
      <c r="A35" s="6" t="s">
        <v>153</v>
      </c>
      <c r="B35" s="6"/>
      <c r="C35" s="6"/>
      <c r="D35" s="69"/>
      <c r="E35" s="19"/>
      <c r="F35" s="69">
        <f>'Summary of Results'!F47</f>
        <v>9.0044873798268625</v>
      </c>
      <c r="G35" s="69">
        <f>'Summary of Results'!G47</f>
        <v>9.0044873798268625</v>
      </c>
      <c r="H35" s="69">
        <f>'Summary of Results'!H47</f>
        <v>9.0044873798268625</v>
      </c>
      <c r="I35" s="69">
        <f>'Summary of Results'!I47</f>
        <v>9.0044873798268625</v>
      </c>
      <c r="J35" s="69">
        <f>'Summary of Results'!J47</f>
        <v>9.0044873798268625</v>
      </c>
      <c r="K35" s="69">
        <f>'Summary of Results'!K47</f>
        <v>9.0044873798268625</v>
      </c>
      <c r="L35" s="69">
        <f>'Summary of Results'!L47</f>
        <v>9.0044873798268625</v>
      </c>
    </row>
    <row r="36" spans="1:12" x14ac:dyDescent="0.2">
      <c r="A36" s="6" t="s">
        <v>154</v>
      </c>
      <c r="B36" s="6"/>
      <c r="C36" s="6"/>
      <c r="D36" s="69"/>
      <c r="E36" s="19"/>
      <c r="F36" s="69">
        <f ca="1">'Summary of Results'!F48</f>
        <v>5.4163231391381004</v>
      </c>
      <c r="G36" s="69">
        <f ca="1">'Summary of Results'!G48</f>
        <v>6.5411458374128095</v>
      </c>
      <c r="H36" s="69">
        <f ca="1">'Summary of Results'!H48</f>
        <v>7.4798909949614796</v>
      </c>
      <c r="I36" s="69">
        <f ca="1">'Summary of Results'!I48</f>
        <v>8.3009162386140289</v>
      </c>
      <c r="J36" s="69">
        <f ca="1">'Summary of Results'!J48</f>
        <v>9.0389456804862576</v>
      </c>
      <c r="K36" s="69">
        <f ca="1">'Summary of Results'!K48</f>
        <v>9.7144588861740484</v>
      </c>
      <c r="L36" s="69">
        <f ca="1">'Summary of Results'!L48</f>
        <v>10.340722266437414</v>
      </c>
    </row>
    <row r="37" spans="1:12" x14ac:dyDescent="0.2">
      <c r="A37" s="6" t="s">
        <v>339</v>
      </c>
      <c r="B37" s="6"/>
      <c r="C37" s="6"/>
      <c r="D37" s="69"/>
      <c r="E37" s="19"/>
      <c r="F37" s="69">
        <f ca="1">'Summary of Results'!F49</f>
        <v>3.5162607504384322</v>
      </c>
      <c r="G37" s="69">
        <f ca="1">'Summary of Results'!G49</f>
        <v>4.3065223205750094</v>
      </c>
      <c r="H37" s="69">
        <f ca="1">'Summary of Results'!H49</f>
        <v>4.9727436421102267</v>
      </c>
      <c r="I37" s="69">
        <f ca="1">'Summary of Results'!I49</f>
        <v>5.5596964092191818</v>
      </c>
      <c r="J37" s="69">
        <f ca="1">'Summary of Results'!J49</f>
        <v>6.0903422724196332</v>
      </c>
      <c r="K37" s="69">
        <f ca="1">'Summary of Results'!K49</f>
        <v>6.5783215053506172</v>
      </c>
      <c r="L37" s="69">
        <f ca="1">'Summary of Results'!L49</f>
        <v>7.0325215008768645</v>
      </c>
    </row>
    <row r="38" spans="1:12" x14ac:dyDescent="0.2">
      <c r="A38" s="82" t="s">
        <v>155</v>
      </c>
      <c r="B38" s="82"/>
      <c r="C38" s="82"/>
      <c r="E38" s="19"/>
      <c r="F38" s="69">
        <f t="shared" ref="F38:K38" ca="1" si="6">SUM(F31:F37)</f>
        <v>119.0571839767735</v>
      </c>
      <c r="G38" s="69">
        <f t="shared" ca="1" si="6"/>
        <v>124.8982249037786</v>
      </c>
      <c r="H38" s="69">
        <f t="shared" ca="1" si="6"/>
        <v>132.01183573309555</v>
      </c>
      <c r="I38" s="69">
        <f t="shared" ca="1" si="6"/>
        <v>138.32167538341676</v>
      </c>
      <c r="J38" s="69">
        <f t="shared" ca="1" si="6"/>
        <v>144.05894423105681</v>
      </c>
      <c r="K38" s="69">
        <f t="shared" ca="1" si="6"/>
        <v>149.36126993566774</v>
      </c>
      <c r="L38" s="69">
        <f t="shared" ref="L38" ca="1" si="7">SUM(L31:L37)</f>
        <v>154.31848992430199</v>
      </c>
    </row>
    <row r="39" spans="1:12" x14ac:dyDescent="0.2">
      <c r="A39" s="6" t="s">
        <v>156</v>
      </c>
      <c r="B39" s="6"/>
      <c r="C39" s="6"/>
      <c r="D39" s="83"/>
      <c r="E39" s="69"/>
      <c r="F39" s="84">
        <f ca="1">'Cost Input'!$J41/100*'Prices of Cells and Modules'!F38+'Cost Input'!$J42/100*'Prices of Cells and Modules'!F44</f>
        <v>90.084288759800287</v>
      </c>
      <c r="G39" s="84">
        <f ca="1">'Cost Input'!$J41/100*'Prices of Cells and Modules'!G38+'Cost Input'!$J42/100*'Prices of Cells and Modules'!G44</f>
        <v>96.757782826347409</v>
      </c>
      <c r="H39" s="84">
        <f ca="1">'Cost Input'!$J41/100*'Prices of Cells and Modules'!H38+'Cost Input'!$J42/100*'Prices of Cells and Modules'!H44</f>
        <v>104.14040568605911</v>
      </c>
      <c r="I39" s="84">
        <f ca="1">'Cost Input'!$J41/100*'Prices of Cells and Modules'!I38+'Cost Input'!$J42/100*'Prices of Cells and Modules'!I44</f>
        <v>110.77737683218928</v>
      </c>
      <c r="J39" s="84">
        <f ca="1">'Cost Input'!$J41/100*'Prices of Cells and Modules'!J38+'Cost Input'!$J42/100*'Prices of Cells and Modules'!J44</f>
        <v>116.88281305480683</v>
      </c>
      <c r="K39" s="84">
        <f ca="1">'Cost Input'!$J41/100*'Prices of Cells and Modules'!K38+'Cost Input'!$J42/100*'Prices of Cells and Modules'!K44</f>
        <v>122.58391832430254</v>
      </c>
      <c r="L39" s="84">
        <f ca="1">'Cost Input'!$J41/100*'Prices of Cells and Modules'!L38+'Cost Input'!$J42/100*'Prices of Cells and Modules'!L44</f>
        <v>127.96365116354517</v>
      </c>
    </row>
    <row r="40" spans="1:12" x14ac:dyDescent="0.2">
      <c r="A40" s="6" t="s">
        <v>157</v>
      </c>
      <c r="B40" s="6"/>
      <c r="C40" s="6"/>
      <c r="D40" s="83"/>
      <c r="E40" s="69"/>
      <c r="F40" s="84">
        <f t="shared" ref="F40:K40" ca="1" si="8">F29+F38+F39</f>
        <v>979.1297222555354</v>
      </c>
      <c r="G40" s="84">
        <f t="shared" ca="1" si="8"/>
        <v>1150.7909424845307</v>
      </c>
      <c r="H40" s="84">
        <f t="shared" ca="1" si="8"/>
        <v>1350.7135009398421</v>
      </c>
      <c r="I40" s="84">
        <f t="shared" ca="1" si="8"/>
        <v>1546.4871274534626</v>
      </c>
      <c r="J40" s="84">
        <f t="shared" ca="1" si="8"/>
        <v>1739.1787160006279</v>
      </c>
      <c r="K40" s="84">
        <f t="shared" ca="1" si="8"/>
        <v>1929.4470652898694</v>
      </c>
      <c r="L40" s="84">
        <f t="shared" ref="L40" ca="1" si="9">L29+L38+L39</f>
        <v>2117.7353585905312</v>
      </c>
    </row>
    <row r="41" spans="1:12" ht="15" x14ac:dyDescent="0.25">
      <c r="A41" s="259" t="s">
        <v>91</v>
      </c>
      <c r="B41" s="72"/>
      <c r="C41" s="72"/>
      <c r="D41" s="69"/>
      <c r="E41" s="69"/>
      <c r="F41" s="64"/>
      <c r="G41" s="64"/>
      <c r="H41" s="64"/>
      <c r="I41" s="64"/>
      <c r="J41" s="64"/>
      <c r="K41" s="64"/>
      <c r="L41" s="64"/>
    </row>
    <row r="42" spans="1:12" x14ac:dyDescent="0.2">
      <c r="A42" s="6" t="s">
        <v>158</v>
      </c>
      <c r="B42" s="6"/>
      <c r="C42" s="6"/>
      <c r="D42" s="69"/>
      <c r="E42" s="69"/>
      <c r="F42" s="84">
        <f ca="1">'Cost Input'!$J45/100*(F38+F39)+'Cost Input'!$J46/100*F44</f>
        <v>105.36213714550706</v>
      </c>
      <c r="G42" s="84">
        <f ca="1">'Cost Input'!$J45/100*(G38+G39)+'Cost Input'!$J46/100*G44</f>
        <v>113.91211801357647</v>
      </c>
      <c r="H42" s="84">
        <f ca="1">'Cost Input'!$J45/100*(H38+H39)+'Cost Input'!$J46/100*H44</f>
        <v>123.20764959581477</v>
      </c>
      <c r="I42" s="84">
        <f ca="1">'Cost Input'!$J45/100*(I38+I39)+'Cost Input'!$J46/100*I44</f>
        <v>131.58564640242972</v>
      </c>
      <c r="J42" s="84">
        <f ca="1">'Cost Input'!$J45/100*(J38+J39)+'Cost Input'!$J46/100*J44</f>
        <v>139.30948352444602</v>
      </c>
      <c r="K42" s="84">
        <f ca="1">'Cost Input'!$J45/100*(K38+K39)+'Cost Input'!$J46/100*K44</f>
        <v>146.53556000253687</v>
      </c>
      <c r="L42" s="84">
        <f ca="1">'Cost Input'!$J45/100*(L38+L39)+'Cost Input'!$J46/100*L44</f>
        <v>153.36585426424227</v>
      </c>
    </row>
    <row r="43" spans="1:12" x14ac:dyDescent="0.2">
      <c r="A43" s="6" t="s">
        <v>159</v>
      </c>
      <c r="B43" s="6"/>
      <c r="C43" s="6"/>
      <c r="D43" s="69"/>
      <c r="E43" s="69"/>
      <c r="F43" s="84">
        <f ca="1">F44*'Cost Input'!$J47/100</f>
        <v>84.922830338181768</v>
      </c>
      <c r="G43" s="84">
        <f ca="1">G44*'Cost Input'!$J47/100</f>
        <v>93.596985729671943</v>
      </c>
      <c r="H43" s="84">
        <f ca="1">H44*'Cost Input'!$J47/100</f>
        <v>102.67134278564176</v>
      </c>
      <c r="I43" s="84">
        <f ca="1">I44*'Cost Input'!$J47/100</f>
        <v>110.89741335764512</v>
      </c>
      <c r="J43" s="84">
        <f ca="1">J44*'Cost Input'!$J47/100</f>
        <v>118.51847072476819</v>
      </c>
      <c r="K43" s="84">
        <f ca="1">K44*'Cost Input'!$J47/100</f>
        <v>125.67882070007089</v>
      </c>
      <c r="L43" s="84">
        <f ca="1">L44*'Cost Input'!$J47/100</f>
        <v>132.47251038764875</v>
      </c>
    </row>
    <row r="44" spans="1:12" x14ac:dyDescent="0.2">
      <c r="A44" s="6" t="s">
        <v>160</v>
      </c>
      <c r="B44" s="6"/>
      <c r="C44" s="6"/>
      <c r="D44" s="69"/>
      <c r="E44" s="69"/>
      <c r="F44" s="84">
        <f ca="1">('Cost Input'!$J49/100*'Manufacturing Cost Calculations'!F262+'Cost Input'!$J50/100*'Manufacturing Cost Calculations'!F263*'Cost Input'!$J32/1000000)*1000000/'Manufacturing Cost Calculations'!F5</f>
        <v>212.30707584545442</v>
      </c>
      <c r="G44" s="84">
        <f ca="1">('Cost Input'!$J49/100*'Manufacturing Cost Calculations'!G262+'Cost Input'!$J50/100*'Manufacturing Cost Calculations'!G263*'Cost Input'!$J32/1000000)*1000000/'Manufacturing Cost Calculations'!G5</f>
        <v>233.99246432417985</v>
      </c>
      <c r="H44" s="84">
        <f ca="1">('Cost Input'!$J49/100*'Manufacturing Cost Calculations'!H262+'Cost Input'!$J50/100*'Manufacturing Cost Calculations'!H263*'Cost Input'!$J32/1000000)*1000000/'Manufacturing Cost Calculations'!H5</f>
        <v>256.67835696410441</v>
      </c>
      <c r="I44" s="84">
        <f ca="1">('Cost Input'!$J49/100*'Manufacturing Cost Calculations'!I262+'Cost Input'!$J50/100*'Manufacturing Cost Calculations'!I263*'Cost Input'!$J32/1000000)*1000000/'Manufacturing Cost Calculations'!I5</f>
        <v>277.24353339411283</v>
      </c>
      <c r="J44" s="84">
        <f ca="1">('Cost Input'!$J49/100*'Manufacturing Cost Calculations'!J262+'Cost Input'!$J50/100*'Manufacturing Cost Calculations'!J263*'Cost Input'!$J32/1000000)*1000000/'Manufacturing Cost Calculations'!J5</f>
        <v>296.29617681192047</v>
      </c>
      <c r="K44" s="84">
        <f ca="1">('Cost Input'!$J49/100*'Manufacturing Cost Calculations'!K262+'Cost Input'!$J50/100*'Manufacturing Cost Calculations'!K263*'Cost Input'!$J32/1000000)*1000000/'Manufacturing Cost Calculations'!K5</f>
        <v>314.1970517501772</v>
      </c>
      <c r="L44" s="84">
        <f ca="1">('Cost Input'!$J49/100*'Manufacturing Cost Calculations'!L262+'Cost Input'!$J50/100*'Manufacturing Cost Calculations'!L263*'Cost Input'!$J32/1000000)*1000000/'Manufacturing Cost Calculations'!L5</f>
        <v>331.18127596912188</v>
      </c>
    </row>
    <row r="45" spans="1:12" x14ac:dyDescent="0.2">
      <c r="A45" s="6" t="s">
        <v>161</v>
      </c>
      <c r="B45" s="6"/>
      <c r="C45" s="6"/>
      <c r="D45" s="69"/>
      <c r="E45" s="69"/>
      <c r="F45" s="85">
        <f t="shared" ref="F45:K45" ca="1" si="10">F42+F43+F44</f>
        <v>402.59204332914328</v>
      </c>
      <c r="G45" s="85">
        <f t="shared" ca="1" si="10"/>
        <v>441.50156806742825</v>
      </c>
      <c r="H45" s="85">
        <f t="shared" ca="1" si="10"/>
        <v>482.55734934556097</v>
      </c>
      <c r="I45" s="85">
        <f t="shared" ca="1" si="10"/>
        <v>519.72659315418764</v>
      </c>
      <c r="J45" s="85">
        <f t="shared" ca="1" si="10"/>
        <v>554.12413106113468</v>
      </c>
      <c r="K45" s="85">
        <f t="shared" ca="1" si="10"/>
        <v>586.41143245278499</v>
      </c>
      <c r="L45" s="85">
        <f t="shared" ref="L45" ca="1" si="11">L42+L43+L44</f>
        <v>617.01964062101297</v>
      </c>
    </row>
    <row r="46" spans="1:12" x14ac:dyDescent="0.2">
      <c r="A46" s="6" t="s">
        <v>162</v>
      </c>
      <c r="B46" s="6"/>
      <c r="C46" s="6"/>
      <c r="D46" s="60"/>
      <c r="E46" s="69"/>
      <c r="F46" s="84">
        <f ca="1">'Cost Input'!$J51/100*F22*1000000/'Manufacturing Cost Calculations'!F5</f>
        <v>90.090413796660414</v>
      </c>
      <c r="G46" s="84">
        <f ca="1">'Cost Input'!$J51/100*G22*1000000/'Manufacturing Cost Calculations'!G5</f>
        <v>99.749160798474009</v>
      </c>
      <c r="H46" s="84">
        <f ca="1">'Cost Input'!$J51/100*H22*1000000/'Manufacturing Cost Calculations'!H5</f>
        <v>110.17089739761576</v>
      </c>
      <c r="I46" s="84">
        <f ca="1">'Cost Input'!$J51/100*I22*1000000/'Manufacturing Cost Calculations'!I5</f>
        <v>119.76013411169289</v>
      </c>
      <c r="J46" s="84">
        <f ca="1">'Cost Input'!$J51/100*J22*1000000/'Manufacturing Cost Calculations'!J5</f>
        <v>128.75371573343</v>
      </c>
      <c r="K46" s="84">
        <f ca="1">'Cost Input'!$J51/100*K22*1000000/'Manufacturing Cost Calculations'!K5</f>
        <v>137.29259613367938</v>
      </c>
      <c r="L46" s="84">
        <f ca="1">'Cost Input'!$J51/100*L22*1000000/'Manufacturing Cost Calculations'!L5</f>
        <v>145.46887454605229</v>
      </c>
    </row>
    <row r="47" spans="1:12" x14ac:dyDescent="0.2">
      <c r="A47" s="6" t="s">
        <v>341</v>
      </c>
      <c r="B47" s="6"/>
      <c r="C47" s="6"/>
      <c r="D47" s="69"/>
      <c r="E47" s="69"/>
      <c r="F47" s="85">
        <f t="shared" ref="F47:K47" ca="1" si="12">F40+F45+F46</f>
        <v>1471.8121793813391</v>
      </c>
      <c r="G47" s="85">
        <f t="shared" ca="1" si="12"/>
        <v>1692.0416713504328</v>
      </c>
      <c r="H47" s="85">
        <f t="shared" ca="1" si="12"/>
        <v>1943.4417476830188</v>
      </c>
      <c r="I47" s="85">
        <f t="shared" ca="1" si="12"/>
        <v>2185.9738547193433</v>
      </c>
      <c r="J47" s="85">
        <f t="shared" ca="1" si="12"/>
        <v>2422.0565627951928</v>
      </c>
      <c r="K47" s="85">
        <f t="shared" ca="1" si="12"/>
        <v>2653.151093876334</v>
      </c>
      <c r="L47" s="85">
        <f t="shared" ref="L47" ca="1" si="13">L40+L45+L46</f>
        <v>2880.2238737575963</v>
      </c>
    </row>
    <row r="48" spans="1:12" ht="15.75" x14ac:dyDescent="0.25">
      <c r="A48" s="17" t="s">
        <v>174</v>
      </c>
      <c r="B48" s="4"/>
      <c r="C48" s="4"/>
      <c r="D48" s="69"/>
      <c r="E48" s="69"/>
      <c r="F48" s="64"/>
      <c r="G48" s="64"/>
      <c r="H48" s="64"/>
      <c r="I48" s="64"/>
      <c r="J48" s="64"/>
      <c r="K48" s="64"/>
      <c r="L48" s="64"/>
    </row>
    <row r="49" spans="1:12" x14ac:dyDescent="0.2">
      <c r="A49" s="6" t="s">
        <v>225</v>
      </c>
      <c r="B49" s="6"/>
      <c r="C49" s="6"/>
      <c r="F49" s="86">
        <f t="shared" ref="F49:K49" ca="1" si="14">F26</f>
        <v>416.0589158546926</v>
      </c>
      <c r="G49" s="86">
        <f t="shared" ca="1" si="14"/>
        <v>564.09949930148696</v>
      </c>
      <c r="H49" s="86">
        <f t="shared" ca="1" si="14"/>
        <v>738.36038231914904</v>
      </c>
      <c r="I49" s="86">
        <f t="shared" ca="1" si="14"/>
        <v>910.31139211428535</v>
      </c>
      <c r="J49" s="86">
        <f t="shared" ca="1" si="14"/>
        <v>1080.4935345124982</v>
      </c>
      <c r="K49" s="86">
        <f t="shared" ca="1" si="14"/>
        <v>1249.2510615146175</v>
      </c>
      <c r="L49" s="86">
        <f t="shared" ref="L49" ca="1" si="15">L26</f>
        <v>1416.8213805320058</v>
      </c>
    </row>
    <row r="50" spans="1:12" x14ac:dyDescent="0.2">
      <c r="A50" s="6" t="s">
        <v>224</v>
      </c>
      <c r="B50" s="6"/>
      <c r="C50" s="6"/>
      <c r="F50" s="86">
        <f t="shared" ref="F50:K50" ca="1" si="16">F27+F28</f>
        <v>353.92933366426888</v>
      </c>
      <c r="G50" s="86">
        <f t="shared" ca="1" si="16"/>
        <v>365.03543545291762</v>
      </c>
      <c r="H50" s="86">
        <f t="shared" ca="1" si="16"/>
        <v>376.20087720153845</v>
      </c>
      <c r="I50" s="86">
        <f t="shared" ca="1" si="16"/>
        <v>387.07668312357123</v>
      </c>
      <c r="J50" s="86">
        <f t="shared" ca="1" si="16"/>
        <v>397.74342420226617</v>
      </c>
      <c r="K50" s="86">
        <f t="shared" ca="1" si="16"/>
        <v>408.25081551528172</v>
      </c>
      <c r="L50" s="86">
        <f t="shared" ref="L50" ca="1" si="17">L27+L28</f>
        <v>418.63183697067797</v>
      </c>
    </row>
    <row r="51" spans="1:12" x14ac:dyDescent="0.2">
      <c r="A51" s="6" t="s">
        <v>163</v>
      </c>
      <c r="B51" s="6"/>
      <c r="C51" s="6"/>
      <c r="F51" s="86">
        <f t="shared" ref="F51:J52" ca="1" si="18">F38</f>
        <v>119.0571839767735</v>
      </c>
      <c r="G51" s="86">
        <f t="shared" ca="1" si="18"/>
        <v>124.8982249037786</v>
      </c>
      <c r="H51" s="86">
        <f t="shared" ca="1" si="18"/>
        <v>132.01183573309555</v>
      </c>
      <c r="I51" s="86">
        <f t="shared" ca="1" si="18"/>
        <v>138.32167538341676</v>
      </c>
      <c r="J51" s="86">
        <f t="shared" ca="1" si="18"/>
        <v>144.05894423105681</v>
      </c>
      <c r="K51" s="86">
        <f t="shared" ref="K51:L51" ca="1" si="19">K38</f>
        <v>149.36126993566774</v>
      </c>
      <c r="L51" s="86">
        <f t="shared" ca="1" si="19"/>
        <v>154.31848992430199</v>
      </c>
    </row>
    <row r="52" spans="1:12" x14ac:dyDescent="0.2">
      <c r="A52" s="6" t="s">
        <v>164</v>
      </c>
      <c r="B52" s="6"/>
      <c r="C52" s="6"/>
      <c r="F52" s="86">
        <f t="shared" ca="1" si="18"/>
        <v>90.084288759800287</v>
      </c>
      <c r="G52" s="86">
        <f t="shared" ca="1" si="18"/>
        <v>96.757782826347409</v>
      </c>
      <c r="H52" s="86">
        <f t="shared" ca="1" si="18"/>
        <v>104.14040568605911</v>
      </c>
      <c r="I52" s="86">
        <f t="shared" ca="1" si="18"/>
        <v>110.77737683218928</v>
      </c>
      <c r="J52" s="86">
        <f t="shared" ca="1" si="18"/>
        <v>116.88281305480683</v>
      </c>
      <c r="K52" s="86">
        <f t="shared" ref="K52:L52" ca="1" si="20">K39</f>
        <v>122.58391832430254</v>
      </c>
      <c r="L52" s="86">
        <f t="shared" ca="1" si="20"/>
        <v>127.96365116354517</v>
      </c>
    </row>
    <row r="53" spans="1:12" x14ac:dyDescent="0.2">
      <c r="A53" s="6" t="s">
        <v>158</v>
      </c>
      <c r="B53" s="6"/>
      <c r="C53" s="6"/>
      <c r="F53" s="69">
        <f t="shared" ref="F53:J55" ca="1" si="21">F42</f>
        <v>105.36213714550706</v>
      </c>
      <c r="G53" s="69">
        <f t="shared" ca="1" si="21"/>
        <v>113.91211801357647</v>
      </c>
      <c r="H53" s="69">
        <f t="shared" ca="1" si="21"/>
        <v>123.20764959581477</v>
      </c>
      <c r="I53" s="69">
        <f t="shared" ca="1" si="21"/>
        <v>131.58564640242972</v>
      </c>
      <c r="J53" s="69">
        <f t="shared" ca="1" si="21"/>
        <v>139.30948352444602</v>
      </c>
      <c r="K53" s="69">
        <f t="shared" ref="K53:L53" ca="1" si="22">K42</f>
        <v>146.53556000253687</v>
      </c>
      <c r="L53" s="69">
        <f t="shared" ca="1" si="22"/>
        <v>153.36585426424227</v>
      </c>
    </row>
    <row r="54" spans="1:12" x14ac:dyDescent="0.2">
      <c r="A54" s="6" t="s">
        <v>159</v>
      </c>
      <c r="B54" s="6"/>
      <c r="C54" s="6"/>
      <c r="F54" s="86">
        <f t="shared" ca="1" si="21"/>
        <v>84.922830338181768</v>
      </c>
      <c r="G54" s="86">
        <f t="shared" ca="1" si="21"/>
        <v>93.596985729671943</v>
      </c>
      <c r="H54" s="86">
        <f t="shared" ca="1" si="21"/>
        <v>102.67134278564176</v>
      </c>
      <c r="I54" s="86">
        <f t="shared" ca="1" si="21"/>
        <v>110.89741335764512</v>
      </c>
      <c r="J54" s="86">
        <f t="shared" ca="1" si="21"/>
        <v>118.51847072476819</v>
      </c>
      <c r="K54" s="86">
        <f t="shared" ref="K54:L54" ca="1" si="23">K43</f>
        <v>125.67882070007089</v>
      </c>
      <c r="L54" s="86">
        <f t="shared" ca="1" si="23"/>
        <v>132.47251038764875</v>
      </c>
    </row>
    <row r="55" spans="1:12" x14ac:dyDescent="0.2">
      <c r="A55" s="6" t="s">
        <v>160</v>
      </c>
      <c r="B55" s="6"/>
      <c r="C55" s="6"/>
      <c r="F55" s="86">
        <f t="shared" ca="1" si="21"/>
        <v>212.30707584545442</v>
      </c>
      <c r="G55" s="86">
        <f t="shared" ca="1" si="21"/>
        <v>233.99246432417985</v>
      </c>
      <c r="H55" s="86">
        <f t="shared" ca="1" si="21"/>
        <v>256.67835696410441</v>
      </c>
      <c r="I55" s="86">
        <f t="shared" ca="1" si="21"/>
        <v>277.24353339411283</v>
      </c>
      <c r="J55" s="86">
        <f t="shared" ca="1" si="21"/>
        <v>296.29617681192047</v>
      </c>
      <c r="K55" s="86">
        <f t="shared" ref="K55:L55" ca="1" si="24">K44</f>
        <v>314.1970517501772</v>
      </c>
      <c r="L55" s="86">
        <f t="shared" ca="1" si="24"/>
        <v>331.18127596912188</v>
      </c>
    </row>
    <row r="56" spans="1:12" x14ac:dyDescent="0.2">
      <c r="A56" s="6" t="s">
        <v>165</v>
      </c>
      <c r="B56" s="6"/>
      <c r="C56" s="6"/>
      <c r="F56" s="176">
        <f t="shared" ref="F56:K56" ca="1" si="25">F46</f>
        <v>90.090413796660414</v>
      </c>
      <c r="G56" s="176">
        <f t="shared" ca="1" si="25"/>
        <v>99.749160798474009</v>
      </c>
      <c r="H56" s="176">
        <f t="shared" ca="1" si="25"/>
        <v>110.17089739761576</v>
      </c>
      <c r="I56" s="176">
        <f t="shared" ca="1" si="25"/>
        <v>119.76013411169289</v>
      </c>
      <c r="J56" s="176">
        <f t="shared" ca="1" si="25"/>
        <v>128.75371573343</v>
      </c>
      <c r="K56" s="176">
        <f t="shared" ca="1" si="25"/>
        <v>137.29259613367938</v>
      </c>
      <c r="L56" s="176">
        <f t="shared" ref="L56" ca="1" si="26">L46</f>
        <v>145.46887454605229</v>
      </c>
    </row>
    <row r="57" spans="1:12" x14ac:dyDescent="0.2">
      <c r="A57" s="6" t="s">
        <v>323</v>
      </c>
      <c r="B57" s="6"/>
      <c r="C57" s="6"/>
      <c r="F57" s="87">
        <f ca="1">'Cost Input'!$J52/100*SUM(F49:F56)</f>
        <v>82.421482045354963</v>
      </c>
      <c r="G57" s="87">
        <f ca="1">'Cost Input'!$J52/100*SUM(G49:G56)</f>
        <v>94.754333595624232</v>
      </c>
      <c r="H57" s="87">
        <f ca="1">'Cost Input'!$J52/100*SUM(H49:H56)</f>
        <v>108.83273787024903</v>
      </c>
      <c r="I57" s="87">
        <f ca="1">'Cost Input'!$J52/100*SUM(I49:I56)</f>
        <v>122.41453586428321</v>
      </c>
      <c r="J57" s="87">
        <f ca="1">'Cost Input'!$J52/100*SUM(J49:J56)</f>
        <v>135.63516751653077</v>
      </c>
      <c r="K57" s="87">
        <f ca="1">'Cost Input'!$J52/100*SUM(K49:K56)</f>
        <v>148.5764612570747</v>
      </c>
      <c r="L57" s="87">
        <f ca="1">'Cost Input'!$J52/100*SUM(L49:L56)</f>
        <v>161.2925369304254</v>
      </c>
    </row>
    <row r="58" spans="1:12" x14ac:dyDescent="0.2">
      <c r="A58" s="253" t="s">
        <v>849</v>
      </c>
      <c r="F58" s="86">
        <f t="shared" ref="F58:K58" ca="1" si="27">SUM(F49:F57)</f>
        <v>1554.2336614266937</v>
      </c>
      <c r="G58" s="86">
        <f t="shared" ca="1" si="27"/>
        <v>1786.7960049460571</v>
      </c>
      <c r="H58" s="86">
        <f t="shared" ca="1" si="27"/>
        <v>2052.2744855532678</v>
      </c>
      <c r="I58" s="86">
        <f t="shared" ca="1" si="27"/>
        <v>2308.3883905836265</v>
      </c>
      <c r="J58" s="86">
        <f t="shared" ca="1" si="27"/>
        <v>2557.6917303117229</v>
      </c>
      <c r="K58" s="86">
        <f t="shared" ca="1" si="27"/>
        <v>2801.7275551334087</v>
      </c>
      <c r="L58" s="86">
        <f t="shared" ref="L58" ca="1" si="28">SUM(L49:L57)</f>
        <v>3041.516410688022</v>
      </c>
    </row>
    <row r="60" spans="1:12" ht="15.75" x14ac:dyDescent="0.25">
      <c r="A60" s="626" t="s">
        <v>831</v>
      </c>
      <c r="B60" s="626"/>
      <c r="C60" s="626"/>
      <c r="D60" s="626"/>
      <c r="E60" s="626"/>
      <c r="F60" s="626"/>
      <c r="G60" s="626"/>
      <c r="H60" s="626"/>
      <c r="I60" s="626"/>
      <c r="J60" s="626"/>
      <c r="K60" s="626"/>
      <c r="L60" s="626"/>
    </row>
    <row r="61" spans="1:12" x14ac:dyDescent="0.2">
      <c r="A61" s="54"/>
      <c r="B61" s="54"/>
      <c r="C61" s="54"/>
      <c r="D61" s="54"/>
      <c r="E61" s="54"/>
      <c r="F61" s="563" t="s">
        <v>0</v>
      </c>
      <c r="G61" s="563" t="s">
        <v>1</v>
      </c>
      <c r="H61" s="563" t="s">
        <v>2</v>
      </c>
      <c r="I61" s="563" t="s">
        <v>3</v>
      </c>
      <c r="J61" s="563" t="s">
        <v>4</v>
      </c>
      <c r="K61" s="563" t="s">
        <v>750</v>
      </c>
      <c r="L61" s="563" t="s">
        <v>752</v>
      </c>
    </row>
    <row r="62" spans="1:12" ht="15.75" x14ac:dyDescent="0.25">
      <c r="A62" s="17" t="s">
        <v>35</v>
      </c>
      <c r="B62" s="400"/>
      <c r="C62" s="400"/>
      <c r="D62" s="400"/>
      <c r="E62" s="400"/>
      <c r="F62" s="561"/>
      <c r="G62" s="561"/>
      <c r="H62" s="561"/>
      <c r="I62" s="561"/>
      <c r="J62" s="559"/>
      <c r="K62" s="559"/>
      <c r="L62" s="559"/>
    </row>
    <row r="63" spans="1:12" x14ac:dyDescent="0.2">
      <c r="A63" s="400" t="s">
        <v>686</v>
      </c>
      <c r="B63" s="400"/>
      <c r="C63" s="400"/>
      <c r="D63" s="400"/>
      <c r="E63" s="400"/>
      <c r="F63" s="608">
        <f ca="1">F4</f>
        <v>4.0000000000000036</v>
      </c>
      <c r="G63" s="608">
        <f t="shared" ref="G63:L63" ca="1" si="29">G4</f>
        <v>6.0000000000000027</v>
      </c>
      <c r="H63" s="608">
        <f t="shared" ca="1" si="29"/>
        <v>8.0000000000000018</v>
      </c>
      <c r="I63" s="608">
        <f t="shared" ca="1" si="29"/>
        <v>10.000000000000023</v>
      </c>
      <c r="J63" s="608">
        <f t="shared" ca="1" si="29"/>
        <v>12.000000000000012</v>
      </c>
      <c r="K63" s="608">
        <f t="shared" ca="1" si="29"/>
        <v>13.999999999999995</v>
      </c>
      <c r="L63" s="608">
        <f t="shared" ca="1" si="29"/>
        <v>16.000000000000014</v>
      </c>
    </row>
    <row r="64" spans="1:12" x14ac:dyDescent="0.2">
      <c r="A64" s="400" t="s">
        <v>257</v>
      </c>
      <c r="B64" s="400"/>
      <c r="C64" s="400"/>
      <c r="D64" s="400"/>
      <c r="E64" s="400"/>
      <c r="F64" s="608">
        <f t="shared" ref="F64:L64" ca="1" si="30">F5</f>
        <v>60.000000000000007</v>
      </c>
      <c r="G64" s="608">
        <f t="shared" ca="1" si="30"/>
        <v>72.744106133087698</v>
      </c>
      <c r="H64" s="608">
        <f t="shared" ca="1" si="30"/>
        <v>95.293204855200543</v>
      </c>
      <c r="I64" s="608">
        <f t="shared" ca="1" si="30"/>
        <v>117.03719608035212</v>
      </c>
      <c r="J64" s="608">
        <f t="shared" ca="1" si="30"/>
        <v>138.03400841597346</v>
      </c>
      <c r="K64" s="608">
        <f t="shared" ca="1" si="30"/>
        <v>158.32920265404357</v>
      </c>
      <c r="L64" s="608">
        <f t="shared" ca="1" si="30"/>
        <v>177.96225181488037</v>
      </c>
    </row>
    <row r="65" spans="1:12" x14ac:dyDescent="0.2">
      <c r="A65" s="400" t="s">
        <v>256</v>
      </c>
      <c r="B65" s="400"/>
      <c r="C65" s="400"/>
      <c r="D65" s="400"/>
      <c r="E65" s="400"/>
      <c r="F65" s="608">
        <f t="shared" ref="F65:L65" si="31">F6</f>
        <v>60</v>
      </c>
      <c r="G65" s="608">
        <f t="shared" si="31"/>
        <v>60</v>
      </c>
      <c r="H65" s="608">
        <f t="shared" si="31"/>
        <v>60</v>
      </c>
      <c r="I65" s="608">
        <f t="shared" si="31"/>
        <v>60</v>
      </c>
      <c r="J65" s="608">
        <f t="shared" si="31"/>
        <v>60</v>
      </c>
      <c r="K65" s="608">
        <f t="shared" si="31"/>
        <v>60</v>
      </c>
      <c r="L65" s="608">
        <f t="shared" si="31"/>
        <v>60</v>
      </c>
    </row>
    <row r="66" spans="1:12" x14ac:dyDescent="0.2">
      <c r="A66" s="400" t="s">
        <v>274</v>
      </c>
      <c r="B66" s="400"/>
      <c r="C66" s="400"/>
      <c r="D66" s="400"/>
      <c r="E66" s="400"/>
      <c r="F66" s="608">
        <f t="shared" ref="F66:L66" si="32">F7</f>
        <v>24</v>
      </c>
      <c r="G66" s="608">
        <f t="shared" si="32"/>
        <v>24</v>
      </c>
      <c r="H66" s="608">
        <f t="shared" si="32"/>
        <v>24</v>
      </c>
      <c r="I66" s="608">
        <f t="shared" si="32"/>
        <v>24</v>
      </c>
      <c r="J66" s="608">
        <f t="shared" si="32"/>
        <v>24</v>
      </c>
      <c r="K66" s="608">
        <f t="shared" si="32"/>
        <v>24</v>
      </c>
      <c r="L66" s="608">
        <f t="shared" si="32"/>
        <v>24</v>
      </c>
    </row>
    <row r="67" spans="1:12" x14ac:dyDescent="0.2">
      <c r="A67" s="400" t="s">
        <v>345</v>
      </c>
      <c r="B67" s="400"/>
      <c r="C67" s="400"/>
      <c r="D67" s="400"/>
      <c r="E67" s="400"/>
      <c r="F67" s="608">
        <f t="shared" ref="F67:L67" si="33">F8</f>
        <v>1</v>
      </c>
      <c r="G67" s="608">
        <f t="shared" si="33"/>
        <v>1</v>
      </c>
      <c r="H67" s="608">
        <f t="shared" si="33"/>
        <v>1</v>
      </c>
      <c r="I67" s="608">
        <f t="shared" si="33"/>
        <v>1</v>
      </c>
      <c r="J67" s="608">
        <f t="shared" si="33"/>
        <v>1</v>
      </c>
      <c r="K67" s="608">
        <f t="shared" si="33"/>
        <v>1</v>
      </c>
      <c r="L67" s="608">
        <f t="shared" si="33"/>
        <v>1</v>
      </c>
    </row>
    <row r="68" spans="1:12" x14ac:dyDescent="0.2">
      <c r="A68" s="400" t="s">
        <v>687</v>
      </c>
      <c r="B68" s="400"/>
      <c r="C68" s="400"/>
      <c r="D68" s="400"/>
      <c r="E68" s="400"/>
      <c r="F68" s="608">
        <f t="shared" ref="F68:L68" si="34">F9</f>
        <v>4</v>
      </c>
      <c r="G68" s="608">
        <f t="shared" si="34"/>
        <v>4</v>
      </c>
      <c r="H68" s="608">
        <f t="shared" si="34"/>
        <v>4</v>
      </c>
      <c r="I68" s="608">
        <f t="shared" si="34"/>
        <v>4</v>
      </c>
      <c r="J68" s="608">
        <f t="shared" si="34"/>
        <v>4</v>
      </c>
      <c r="K68" s="608">
        <f t="shared" si="34"/>
        <v>4</v>
      </c>
      <c r="L68" s="608">
        <f t="shared" si="34"/>
        <v>4</v>
      </c>
    </row>
    <row r="69" spans="1:12" x14ac:dyDescent="0.2">
      <c r="A69" s="400" t="s">
        <v>688</v>
      </c>
      <c r="B69" s="400"/>
      <c r="C69" s="400"/>
      <c r="D69" s="400"/>
      <c r="E69" s="400"/>
      <c r="F69" s="608">
        <f t="shared" ref="F69:L69" si="35">F10</f>
        <v>1</v>
      </c>
      <c r="G69" s="608">
        <f t="shared" si="35"/>
        <v>1</v>
      </c>
      <c r="H69" s="608">
        <f t="shared" si="35"/>
        <v>1</v>
      </c>
      <c r="I69" s="608">
        <f t="shared" si="35"/>
        <v>1</v>
      </c>
      <c r="J69" s="608">
        <f t="shared" si="35"/>
        <v>1</v>
      </c>
      <c r="K69" s="608">
        <f t="shared" si="35"/>
        <v>1</v>
      </c>
      <c r="L69" s="608">
        <f t="shared" si="35"/>
        <v>1</v>
      </c>
    </row>
    <row r="70" spans="1:12" x14ac:dyDescent="0.2">
      <c r="A70" s="400" t="s">
        <v>194</v>
      </c>
      <c r="B70" s="400"/>
      <c r="C70" s="400"/>
      <c r="D70" s="561"/>
      <c r="E70" s="400"/>
      <c r="F70" s="608">
        <f t="shared" ref="F70:L70" ca="1" si="36">F11</f>
        <v>11.20000000000001</v>
      </c>
      <c r="G70" s="608">
        <f t="shared" ca="1" si="36"/>
        <v>16.800000000000008</v>
      </c>
      <c r="H70" s="608">
        <f t="shared" ca="1" si="36"/>
        <v>22.400000000000006</v>
      </c>
      <c r="I70" s="608">
        <f t="shared" ca="1" si="36"/>
        <v>28.000000000000064</v>
      </c>
      <c r="J70" s="608">
        <f t="shared" ca="1" si="36"/>
        <v>33.600000000000037</v>
      </c>
      <c r="K70" s="608">
        <f t="shared" ca="1" si="36"/>
        <v>39.199999999999989</v>
      </c>
      <c r="L70" s="608">
        <f t="shared" ca="1" si="36"/>
        <v>44.80000000000004</v>
      </c>
    </row>
    <row r="71" spans="1:12" ht="15.75" x14ac:dyDescent="0.25">
      <c r="A71" s="17" t="s">
        <v>84</v>
      </c>
      <c r="B71" s="399"/>
      <c r="C71" s="399"/>
      <c r="D71" s="486"/>
      <c r="E71" s="284"/>
      <c r="F71" s="486"/>
      <c r="G71" s="486"/>
      <c r="H71" s="486"/>
      <c r="I71" s="486"/>
      <c r="J71" s="486"/>
      <c r="K71" s="486"/>
      <c r="L71" s="486"/>
    </row>
    <row r="72" spans="1:12" x14ac:dyDescent="0.2">
      <c r="A72" s="400" t="s">
        <v>171</v>
      </c>
      <c r="B72" s="400"/>
      <c r="C72" s="400"/>
      <c r="D72" s="486"/>
      <c r="E72" s="284"/>
      <c r="F72" s="486">
        <f ca="1">'Manufacturing Cost Calculations'!F267</f>
        <v>105.26035135950902</v>
      </c>
      <c r="G72" s="486">
        <f ca="1">'Manufacturing Cost Calculations'!G267</f>
        <v>117.06709994523962</v>
      </c>
      <c r="H72" s="486">
        <f ca="1">'Manufacturing Cost Calculations'!H267</f>
        <v>129.32391898200402</v>
      </c>
      <c r="I72" s="486">
        <f ca="1">'Manufacturing Cost Calculations'!I267</f>
        <v>140.43767013176856</v>
      </c>
      <c r="J72" s="486">
        <f ca="1">'Manufacturing Cost Calculations'!J267</f>
        <v>150.73674251252666</v>
      </c>
      <c r="K72" s="486">
        <f ca="1">'Manufacturing Cost Calculations'!K267</f>
        <v>160.41575960538526</v>
      </c>
      <c r="L72" s="486">
        <f ca="1">'Manufacturing Cost Calculations'!L267</f>
        <v>169.60147770965506</v>
      </c>
    </row>
    <row r="73" spans="1:12" x14ac:dyDescent="0.2">
      <c r="A73" s="400" t="s">
        <v>179</v>
      </c>
      <c r="B73" s="400"/>
      <c r="C73" s="400"/>
      <c r="D73" s="486"/>
      <c r="E73" s="284"/>
      <c r="F73" s="486"/>
      <c r="G73" s="486"/>
      <c r="H73" s="486"/>
      <c r="I73" s="486"/>
      <c r="J73" s="486"/>
      <c r="K73" s="486"/>
      <c r="L73" s="486"/>
    </row>
    <row r="74" spans="1:12" ht="14.25" x14ac:dyDescent="0.2">
      <c r="A74" s="400" t="s">
        <v>142</v>
      </c>
      <c r="B74" s="400"/>
      <c r="C74" s="400"/>
      <c r="D74" s="486"/>
      <c r="E74" s="284"/>
      <c r="F74" s="486">
        <f ca="1">'Manufacturing Cost Calculations'!F268</f>
        <v>14522.759739292978</v>
      </c>
      <c r="G74" s="486">
        <f ca="1">'Manufacturing Cost Calculations'!G268</f>
        <v>15861.075852075946</v>
      </c>
      <c r="H74" s="486">
        <f ca="1">'Manufacturing Cost Calculations'!H268</f>
        <v>17366.316460065194</v>
      </c>
      <c r="I74" s="486">
        <f ca="1">'Manufacturing Cost Calculations'!I268</f>
        <v>18727.82169144354</v>
      </c>
      <c r="J74" s="486">
        <f ca="1">'Manufacturing Cost Calculations'!J268</f>
        <v>19986.170213584068</v>
      </c>
      <c r="K74" s="486">
        <f ca="1">'Manufacturing Cost Calculations'!K268</f>
        <v>21165.623402578974</v>
      </c>
      <c r="L74" s="486">
        <f ca="1">'Manufacturing Cost Calculations'!L268</f>
        <v>22282.086099353459</v>
      </c>
    </row>
    <row r="75" spans="1:12" ht="14.25" x14ac:dyDescent="0.2">
      <c r="A75" s="400" t="s">
        <v>170</v>
      </c>
      <c r="B75" s="400"/>
      <c r="C75" s="400"/>
      <c r="D75" s="486"/>
      <c r="E75" s="284"/>
      <c r="F75" s="486">
        <f>'Cost Input'!$J32</f>
        <v>3000</v>
      </c>
      <c r="G75" s="486">
        <f>'Cost Input'!$J32</f>
        <v>3000</v>
      </c>
      <c r="H75" s="486">
        <f>'Cost Input'!$J32</f>
        <v>3000</v>
      </c>
      <c r="I75" s="486">
        <f>'Cost Input'!$J32</f>
        <v>3000</v>
      </c>
      <c r="J75" s="486">
        <f>'Cost Input'!$J32</f>
        <v>3000</v>
      </c>
      <c r="K75" s="486">
        <f>'Cost Input'!$J32</f>
        <v>3000</v>
      </c>
      <c r="L75" s="486">
        <f>'Cost Input'!$J32</f>
        <v>3000</v>
      </c>
    </row>
    <row r="76" spans="1:12" x14ac:dyDescent="0.2">
      <c r="A76" s="400" t="s">
        <v>180</v>
      </c>
      <c r="B76" s="400"/>
      <c r="C76" s="400"/>
      <c r="D76" s="486"/>
      <c r="E76" s="284"/>
      <c r="F76" s="486">
        <f t="shared" ref="F76:L76" ca="1" si="37">F74*F75/1000000</f>
        <v>43.568279217878938</v>
      </c>
      <c r="G76" s="486">
        <f t="shared" ca="1" si="37"/>
        <v>47.58322755622784</v>
      </c>
      <c r="H76" s="486">
        <f t="shared" ca="1" si="37"/>
        <v>52.098949380195577</v>
      </c>
      <c r="I76" s="486">
        <f t="shared" ca="1" si="37"/>
        <v>56.18346507433062</v>
      </c>
      <c r="J76" s="486">
        <f t="shared" ca="1" si="37"/>
        <v>59.958510640752202</v>
      </c>
      <c r="K76" s="486">
        <f t="shared" ca="1" si="37"/>
        <v>63.496870207736926</v>
      </c>
      <c r="L76" s="486">
        <f t="shared" ca="1" si="37"/>
        <v>66.846258298060377</v>
      </c>
    </row>
    <row r="77" spans="1:12" x14ac:dyDescent="0.2">
      <c r="A77" s="400" t="s">
        <v>143</v>
      </c>
      <c r="B77" s="400"/>
      <c r="C77" s="400"/>
      <c r="D77" s="486"/>
      <c r="E77" s="284"/>
      <c r="F77" s="486"/>
      <c r="G77" s="486"/>
      <c r="H77" s="486"/>
      <c r="I77" s="486"/>
      <c r="J77" s="486"/>
      <c r="K77" s="486"/>
      <c r="L77" s="486"/>
    </row>
    <row r="78" spans="1:12" x14ac:dyDescent="0.2">
      <c r="A78" s="400" t="s">
        <v>144</v>
      </c>
      <c r="B78" s="400"/>
      <c r="C78" s="400"/>
      <c r="D78" s="486"/>
      <c r="E78" s="284"/>
      <c r="F78" s="486"/>
      <c r="G78" s="486"/>
      <c r="H78" s="486"/>
      <c r="I78" s="486"/>
      <c r="J78" s="486"/>
      <c r="K78" s="486"/>
      <c r="L78" s="486"/>
    </row>
    <row r="79" spans="1:12" x14ac:dyDescent="0.2">
      <c r="A79" s="400" t="s">
        <v>145</v>
      </c>
      <c r="B79" s="400"/>
      <c r="C79" s="400"/>
      <c r="D79" s="486"/>
      <c r="E79" s="284"/>
      <c r="F79" s="486">
        <f ca="1">('Cost Input'!$J34/100*F88+'Cost Input'!$J35/100*(F97+F98))*'Manufacturing Cost Calculations'!F5/1000000</f>
        <v>4.2371574561873784</v>
      </c>
      <c r="G79" s="486">
        <f ca="1">('Cost Input'!$J34/100*G88+'Cost Input'!$J35/100*(G97+G98))*'Manufacturing Cost Calculations'!G5/1000000</f>
        <v>5.1142684687361406</v>
      </c>
      <c r="H79" s="486">
        <f ca="1">('Cost Input'!$J34/100*H88+'Cost Input'!$J35/100*(H97+H98))*'Manufacturing Cost Calculations'!H5/1000000</f>
        <v>6.1414195125535587</v>
      </c>
      <c r="I79" s="486">
        <f ca="1">('Cost Input'!$J34/100*I88+'Cost Input'!$J35/100*(I97+I98))*'Manufacturing Cost Calculations'!I5/1000000</f>
        <v>7.1407492716055456</v>
      </c>
      <c r="J79" s="486">
        <f ca="1">('Cost Input'!$J34/100*J88+'Cost Input'!$J35/100*(J97+J98))*'Manufacturing Cost Calculations'!J5/1000000</f>
        <v>8.1196443260485012</v>
      </c>
      <c r="K79" s="486">
        <f ca="1">('Cost Input'!$J34/100*K88+'Cost Input'!$J35/100*(K97+K98))*'Manufacturing Cost Calculations'!K5/1000000</f>
        <v>9.0826094694820441</v>
      </c>
      <c r="L79" s="486">
        <f ca="1">('Cost Input'!$J34/100*L88+'Cost Input'!$J35/100*(L97+L98))*'Manufacturing Cost Calculations'!L5/1000000</f>
        <v>10.032647624447357</v>
      </c>
    </row>
    <row r="80" spans="1:12" x14ac:dyDescent="0.2">
      <c r="A80" s="400" t="s">
        <v>172</v>
      </c>
      <c r="B80" s="400"/>
      <c r="C80" s="400"/>
      <c r="D80" s="486"/>
      <c r="E80" s="284"/>
      <c r="F80" s="486">
        <f ca="1">F99*'Manufacturing Cost Calculations'!F5/1000000*'Cost Input'!$J$36/100</f>
        <v>10.0213856531897</v>
      </c>
      <c r="G80" s="486">
        <f ca="1">G99*'Manufacturing Cost Calculations'!G5/1000000*'Cost Input'!$J$36/100</f>
        <v>12.470300397739322</v>
      </c>
      <c r="H80" s="486">
        <f ca="1">H99*'Manufacturing Cost Calculations'!H5/1000000*'Cost Input'!$J$36/100</f>
        <v>15.340270776663782</v>
      </c>
      <c r="I80" s="486">
        <f ca="1">I99*'Manufacturing Cost Calculations'!I5/1000000*'Cost Input'!$J$36/100</f>
        <v>18.149449452589234</v>
      </c>
      <c r="J80" s="486">
        <f ca="1">J99*'Manufacturing Cost Calculations'!J5/1000000*'Cost Input'!$J$36/100</f>
        <v>20.91347710001191</v>
      </c>
      <c r="K80" s="486">
        <f ca="1">K99*'Manufacturing Cost Calculations'!K5/1000000*'Cost Input'!$J$36/100</f>
        <v>23.641991700329363</v>
      </c>
      <c r="L80" s="486">
        <f ca="1">L99*'Manufacturing Cost Calculations'!L5/1000000*'Cost Input'!$J$36/100</f>
        <v>26.341473065086369</v>
      </c>
    </row>
    <row r="81" spans="1:12" x14ac:dyDescent="0.2">
      <c r="A81" s="400" t="s">
        <v>182</v>
      </c>
      <c r="B81" s="400"/>
      <c r="C81" s="400"/>
      <c r="D81" s="486"/>
      <c r="E81" s="284"/>
      <c r="F81" s="486">
        <f t="shared" ref="F81:L81" ca="1" si="38">F72+F76+F79+F80</f>
        <v>163.08717368676506</v>
      </c>
      <c r="G81" s="486">
        <f t="shared" ca="1" si="38"/>
        <v>182.23489636794292</v>
      </c>
      <c r="H81" s="486">
        <f t="shared" ca="1" si="38"/>
        <v>202.90455865141695</v>
      </c>
      <c r="I81" s="486">
        <f t="shared" ca="1" si="38"/>
        <v>221.91133393029398</v>
      </c>
      <c r="J81" s="486">
        <f t="shared" ca="1" si="38"/>
        <v>239.72837457933926</v>
      </c>
      <c r="K81" s="486">
        <f t="shared" ca="1" si="38"/>
        <v>256.6372309829336</v>
      </c>
      <c r="L81" s="486">
        <f t="shared" ca="1" si="38"/>
        <v>272.82185669724913</v>
      </c>
    </row>
    <row r="82" spans="1:12" ht="15.75" x14ac:dyDescent="0.25">
      <c r="A82" s="17" t="s">
        <v>847</v>
      </c>
      <c r="B82" s="399"/>
      <c r="C82" s="399"/>
      <c r="D82" s="486"/>
      <c r="E82" s="284"/>
      <c r="F82" s="486"/>
      <c r="G82" s="486"/>
      <c r="H82" s="486"/>
      <c r="I82" s="486"/>
      <c r="J82" s="486"/>
      <c r="K82" s="486"/>
      <c r="L82" s="486"/>
    </row>
    <row r="83" spans="1:12" ht="15" x14ac:dyDescent="0.25">
      <c r="A83" s="259" t="s">
        <v>89</v>
      </c>
      <c r="B83" s="72"/>
      <c r="C83" s="72"/>
      <c r="D83" s="486"/>
      <c r="E83" s="284"/>
      <c r="F83" s="486"/>
      <c r="G83" s="486"/>
      <c r="H83" s="486"/>
      <c r="I83" s="486"/>
      <c r="J83" s="486"/>
      <c r="K83" s="486"/>
      <c r="L83" s="486"/>
    </row>
    <row r="84" spans="1:12" x14ac:dyDescent="0.2">
      <c r="A84" s="400" t="s">
        <v>146</v>
      </c>
      <c r="B84" s="400"/>
      <c r="C84" s="400"/>
      <c r="D84" s="486"/>
      <c r="E84" s="284"/>
      <c r="F84" s="486"/>
      <c r="G84" s="486"/>
      <c r="H84" s="486"/>
      <c r="I84" s="486"/>
      <c r="J84" s="486"/>
      <c r="K84" s="486"/>
      <c r="L84" s="486"/>
    </row>
    <row r="85" spans="1:12" x14ac:dyDescent="0.2">
      <c r="A85" s="400" t="s">
        <v>147</v>
      </c>
      <c r="B85" s="400"/>
      <c r="C85" s="400"/>
      <c r="D85" s="486"/>
      <c r="E85" s="284"/>
      <c r="F85" s="486">
        <f ca="1">'Summary of Results'!F37</f>
        <v>416.0589158546926</v>
      </c>
      <c r="G85" s="486">
        <f ca="1">'Summary of Results'!G37</f>
        <v>564.09949930148696</v>
      </c>
      <c r="H85" s="486">
        <f ca="1">'Summary of Results'!H37</f>
        <v>738.36038231914904</v>
      </c>
      <c r="I85" s="486">
        <f ca="1">'Summary of Results'!I37</f>
        <v>910.31139211428535</v>
      </c>
      <c r="J85" s="486">
        <f ca="1">'Summary of Results'!J37</f>
        <v>1080.4935345124982</v>
      </c>
      <c r="K85" s="486">
        <f ca="1">'Summary of Results'!K37</f>
        <v>1249.2510615146175</v>
      </c>
      <c r="L85" s="486">
        <f ca="1">'Summary of Results'!L37</f>
        <v>1416.8213805320058</v>
      </c>
    </row>
    <row r="86" spans="1:12" x14ac:dyDescent="0.2">
      <c r="A86" s="400" t="s">
        <v>148</v>
      </c>
      <c r="B86" s="400"/>
      <c r="C86" s="400"/>
      <c r="D86" s="486"/>
      <c r="E86" s="284"/>
      <c r="F86" s="486">
        <f ca="1">'Summary of Results'!F38</f>
        <v>72.694346666458273</v>
      </c>
      <c r="G86" s="486">
        <f ca="1">'Summary of Results'!G38</f>
        <v>75.7535266498612</v>
      </c>
      <c r="H86" s="486">
        <f ca="1">'Summary of Results'!H38</f>
        <v>78.725152058643602</v>
      </c>
      <c r="I86" s="486">
        <f ca="1">'Summary of Results'!I38</f>
        <v>81.465347243170058</v>
      </c>
      <c r="J86" s="486">
        <f ca="1">'Summary of Results'!J38</f>
        <v>84.041213612723141</v>
      </c>
      <c r="K86" s="486">
        <f ca="1">'Summary of Results'!K38</f>
        <v>86.492604632888572</v>
      </c>
      <c r="L86" s="486">
        <f ca="1">'Summary of Results'!L38</f>
        <v>88.845503256705811</v>
      </c>
    </row>
    <row r="87" spans="1:12" x14ac:dyDescent="0.2">
      <c r="A87" s="400" t="s">
        <v>360</v>
      </c>
      <c r="B87" s="400"/>
      <c r="C87" s="400"/>
      <c r="D87" s="486"/>
      <c r="E87" s="284"/>
      <c r="F87" s="486">
        <v>0</v>
      </c>
      <c r="G87" s="486">
        <v>0</v>
      </c>
      <c r="H87" s="486">
        <v>0</v>
      </c>
      <c r="I87" s="486">
        <v>0</v>
      </c>
      <c r="J87" s="486">
        <v>0</v>
      </c>
      <c r="K87" s="486">
        <v>0</v>
      </c>
      <c r="L87" s="486">
        <v>0</v>
      </c>
    </row>
    <row r="88" spans="1:12" x14ac:dyDescent="0.2">
      <c r="A88" s="400" t="s">
        <v>102</v>
      </c>
      <c r="B88" s="400"/>
      <c r="C88" s="400"/>
      <c r="D88" s="486"/>
      <c r="E88" s="284"/>
      <c r="F88" s="486">
        <f t="shared" ref="F88:K88" ca="1" si="39">SUM(F85:F87)</f>
        <v>488.75326252115087</v>
      </c>
      <c r="G88" s="486">
        <f t="shared" ca="1" si="39"/>
        <v>639.85302595134817</v>
      </c>
      <c r="H88" s="486">
        <f t="shared" ca="1" si="39"/>
        <v>817.08553437779267</v>
      </c>
      <c r="I88" s="486">
        <f t="shared" ca="1" si="39"/>
        <v>991.77673935745543</v>
      </c>
      <c r="J88" s="486">
        <f t="shared" ca="1" si="39"/>
        <v>1164.5347481252213</v>
      </c>
      <c r="K88" s="486">
        <f t="shared" ca="1" si="39"/>
        <v>1335.743666147506</v>
      </c>
      <c r="L88" s="486">
        <f t="shared" ref="L88" ca="1" si="40">SUM(L85:L87)</f>
        <v>1505.6668837887116</v>
      </c>
    </row>
    <row r="89" spans="1:12" x14ac:dyDescent="0.2">
      <c r="A89" s="400" t="s">
        <v>149</v>
      </c>
      <c r="B89" s="400"/>
      <c r="C89" s="400"/>
      <c r="D89" s="487"/>
      <c r="E89" s="284"/>
      <c r="F89" s="486"/>
      <c r="G89" s="486"/>
      <c r="H89" s="486"/>
      <c r="I89" s="486"/>
      <c r="J89" s="486"/>
      <c r="K89" s="486"/>
      <c r="L89" s="486"/>
    </row>
    <row r="90" spans="1:12" x14ac:dyDescent="0.2">
      <c r="A90" s="400" t="s">
        <v>150</v>
      </c>
      <c r="B90" s="400"/>
      <c r="C90" s="400"/>
      <c r="D90" s="486"/>
      <c r="E90" s="284"/>
      <c r="F90" s="486">
        <f ca="1">F31</f>
        <v>29.770820260244779</v>
      </c>
      <c r="G90" s="486">
        <f t="shared" ref="G90:L90" ca="1" si="41">G31</f>
        <v>33.691789131019846</v>
      </c>
      <c r="H90" s="486">
        <f t="shared" ca="1" si="41"/>
        <v>39.192269692666876</v>
      </c>
      <c r="I90" s="486">
        <f t="shared" ca="1" si="41"/>
        <v>44.086811196870926</v>
      </c>
      <c r="J90" s="486">
        <f t="shared" ca="1" si="41"/>
        <v>48.548698995569872</v>
      </c>
      <c r="K90" s="486">
        <f t="shared" ca="1" si="41"/>
        <v>52.681301532040237</v>
      </c>
      <c r="L90" s="486">
        <f t="shared" ca="1" si="41"/>
        <v>56.552209879413709</v>
      </c>
    </row>
    <row r="91" spans="1:12" x14ac:dyDescent="0.2">
      <c r="A91" s="400" t="s">
        <v>151</v>
      </c>
      <c r="B91" s="400"/>
      <c r="C91" s="400"/>
      <c r="D91" s="486"/>
      <c r="E91" s="284"/>
      <c r="F91" s="486">
        <f t="shared" ref="F91:L96" ca="1" si="42">F32</f>
        <v>32.578040251729384</v>
      </c>
      <c r="G91" s="486">
        <f t="shared" ca="1" si="42"/>
        <v>32.583028039548125</v>
      </c>
      <c r="H91" s="486">
        <f t="shared" ca="1" si="42"/>
        <v>32.591191828134178</v>
      </c>
      <c r="I91" s="486">
        <f t="shared" ca="1" si="42"/>
        <v>32.598511963489806</v>
      </c>
      <c r="J91" s="486">
        <f t="shared" ca="1" si="42"/>
        <v>32.605217707358257</v>
      </c>
      <c r="K91" s="486">
        <f t="shared" ca="1" si="42"/>
        <v>32.611448436880025</v>
      </c>
      <c r="L91" s="486">
        <f t="shared" ca="1" si="42"/>
        <v>32.617296702351197</v>
      </c>
    </row>
    <row r="92" spans="1:12" x14ac:dyDescent="0.2">
      <c r="A92" s="400" t="s">
        <v>338</v>
      </c>
      <c r="B92" s="400"/>
      <c r="C92" s="400"/>
      <c r="D92" s="486"/>
      <c r="E92" s="284"/>
      <c r="F92" s="486">
        <f t="shared" si="42"/>
        <v>22.378004805083066</v>
      </c>
      <c r="G92" s="486">
        <f t="shared" si="42"/>
        <v>22.378004805083066</v>
      </c>
      <c r="H92" s="486">
        <f t="shared" si="42"/>
        <v>22.378004805083066</v>
      </c>
      <c r="I92" s="486">
        <f t="shared" si="42"/>
        <v>22.378004805083066</v>
      </c>
      <c r="J92" s="486">
        <f t="shared" si="42"/>
        <v>22.378004805083066</v>
      </c>
      <c r="K92" s="486">
        <f t="shared" si="42"/>
        <v>22.378004805083066</v>
      </c>
      <c r="L92" s="486">
        <f t="shared" si="42"/>
        <v>22.378004805083066</v>
      </c>
    </row>
    <row r="93" spans="1:12" x14ac:dyDescent="0.2">
      <c r="A93" s="400" t="s">
        <v>363</v>
      </c>
      <c r="B93" s="400"/>
      <c r="C93" s="400"/>
      <c r="D93" s="486"/>
      <c r="E93" s="284"/>
      <c r="F93" s="486">
        <v>0</v>
      </c>
      <c r="G93" s="486">
        <v>0</v>
      </c>
      <c r="H93" s="486">
        <v>0</v>
      </c>
      <c r="I93" s="486">
        <v>0</v>
      </c>
      <c r="J93" s="486">
        <v>0</v>
      </c>
      <c r="K93" s="486">
        <v>0</v>
      </c>
      <c r="L93" s="486">
        <v>0</v>
      </c>
    </row>
    <row r="94" spans="1:12" x14ac:dyDescent="0.2">
      <c r="A94" s="400" t="s">
        <v>153</v>
      </c>
      <c r="B94" s="400"/>
      <c r="C94" s="400"/>
      <c r="D94" s="486"/>
      <c r="E94" s="284"/>
      <c r="F94" s="486">
        <f t="shared" si="42"/>
        <v>9.0044873798268625</v>
      </c>
      <c r="G94" s="486">
        <f t="shared" si="42"/>
        <v>9.0044873798268625</v>
      </c>
      <c r="H94" s="486">
        <f t="shared" si="42"/>
        <v>9.0044873798268625</v>
      </c>
      <c r="I94" s="486">
        <f t="shared" si="42"/>
        <v>9.0044873798268625</v>
      </c>
      <c r="J94" s="486">
        <f t="shared" si="42"/>
        <v>9.0044873798268625</v>
      </c>
      <c r="K94" s="486">
        <f t="shared" si="42"/>
        <v>9.0044873798268625</v>
      </c>
      <c r="L94" s="486">
        <f t="shared" si="42"/>
        <v>9.0044873798268625</v>
      </c>
    </row>
    <row r="95" spans="1:12" x14ac:dyDescent="0.2">
      <c r="A95" s="400" t="s">
        <v>154</v>
      </c>
      <c r="B95" s="400"/>
      <c r="C95" s="400"/>
      <c r="D95" s="486"/>
      <c r="E95" s="284"/>
      <c r="F95" s="486">
        <f t="shared" ca="1" si="42"/>
        <v>5.4163231391381004</v>
      </c>
      <c r="G95" s="486">
        <f t="shared" ca="1" si="42"/>
        <v>6.5411458374128095</v>
      </c>
      <c r="H95" s="486">
        <f t="shared" ca="1" si="42"/>
        <v>7.4798909949614796</v>
      </c>
      <c r="I95" s="486">
        <f t="shared" ca="1" si="42"/>
        <v>8.3009162386140289</v>
      </c>
      <c r="J95" s="486">
        <f t="shared" ca="1" si="42"/>
        <v>9.0389456804862576</v>
      </c>
      <c r="K95" s="486">
        <f t="shared" ca="1" si="42"/>
        <v>9.7144588861740484</v>
      </c>
      <c r="L95" s="486">
        <f t="shared" ca="1" si="42"/>
        <v>10.340722266437414</v>
      </c>
    </row>
    <row r="96" spans="1:12" x14ac:dyDescent="0.2">
      <c r="A96" s="400" t="s">
        <v>339</v>
      </c>
      <c r="B96" s="400"/>
      <c r="C96" s="400"/>
      <c r="D96" s="486"/>
      <c r="E96" s="284"/>
      <c r="F96" s="486">
        <f t="shared" ca="1" si="42"/>
        <v>3.5162607504384322</v>
      </c>
      <c r="G96" s="486">
        <f t="shared" ca="1" si="42"/>
        <v>4.3065223205750094</v>
      </c>
      <c r="H96" s="486">
        <f t="shared" ca="1" si="42"/>
        <v>4.9727436421102267</v>
      </c>
      <c r="I96" s="486">
        <f t="shared" ca="1" si="42"/>
        <v>5.5596964092191818</v>
      </c>
      <c r="J96" s="486">
        <f t="shared" ca="1" si="42"/>
        <v>6.0903422724196332</v>
      </c>
      <c r="K96" s="486">
        <f t="shared" ca="1" si="42"/>
        <v>6.5783215053506172</v>
      </c>
      <c r="L96" s="486">
        <f t="shared" ca="1" si="42"/>
        <v>7.0325215008768645</v>
      </c>
    </row>
    <row r="97" spans="1:12" x14ac:dyDescent="0.2">
      <c r="A97" s="609" t="s">
        <v>155</v>
      </c>
      <c r="B97" s="609"/>
      <c r="C97" s="609"/>
      <c r="D97" s="400"/>
      <c r="E97" s="284"/>
      <c r="F97" s="486">
        <f t="shared" ref="F97" ca="1" si="43">SUM(F90:F96)</f>
        <v>102.66393658646064</v>
      </c>
      <c r="G97" s="486">
        <f t="shared" ref="G97:L97" ca="1" si="44">SUM(G90:G96)</f>
        <v>108.50497751346573</v>
      </c>
      <c r="H97" s="486">
        <f t="shared" ca="1" si="44"/>
        <v>115.6185883427827</v>
      </c>
      <c r="I97" s="486">
        <f t="shared" ca="1" si="44"/>
        <v>121.92842799310387</v>
      </c>
      <c r="J97" s="486">
        <f t="shared" ca="1" si="44"/>
        <v>127.66569684074395</v>
      </c>
      <c r="K97" s="486">
        <f t="shared" ca="1" si="44"/>
        <v>132.96802254535487</v>
      </c>
      <c r="L97" s="486">
        <f t="shared" ca="1" si="44"/>
        <v>137.92524253398912</v>
      </c>
    </row>
    <row r="98" spans="1:12" x14ac:dyDescent="0.2">
      <c r="A98" s="400" t="s">
        <v>156</v>
      </c>
      <c r="B98" s="400"/>
      <c r="C98" s="400"/>
      <c r="D98" s="610"/>
      <c r="E98" s="486"/>
      <c r="F98" s="611">
        <f ca="1">'Cost Input'!$J41/100*'Prices of Cells and Modules'!F97+'Cost Input'!$J42/100*'Prices of Cells and Modules'!F103</f>
        <v>76.675177771701811</v>
      </c>
      <c r="G98" s="611">
        <f ca="1">'Cost Input'!$J41/100*'Prices of Cells and Modules'!G97+'Cost Input'!$J42/100*'Prices of Cells and Modules'!G103</f>
        <v>82.995356384474235</v>
      </c>
      <c r="H98" s="611">
        <f ca="1">'Cost Input'!$J41/100*'Prices of Cells and Modules'!H97+'Cost Input'!$J42/100*'Prices of Cells and Modules'!H103</f>
        <v>89.980595723676771</v>
      </c>
      <c r="I98" s="611">
        <f ca="1">'Cost Input'!$J41/100*'Prices of Cells and Modules'!I97+'Cost Input'!$J42/100*'Prices of Cells and Modules'!I103</f>
        <v>96.258129488723043</v>
      </c>
      <c r="J98" s="611">
        <f ca="1">'Cost Input'!$J41/100*'Prices of Cells and Modules'!J97+'Cost Input'!$J42/100*'Prices of Cells and Modules'!J103</f>
        <v>102.0313617014955</v>
      </c>
      <c r="K98" s="611">
        <f ca="1">'Cost Input'!$J41/100*'Prices of Cells and Modules'!K97+'Cost Input'!$J42/100*'Prices of Cells and Modules'!K103</f>
        <v>107.42109132909656</v>
      </c>
      <c r="L98" s="611">
        <f ca="1">'Cost Input'!$J41/100*'Prices of Cells and Modules'!L97+'Cost Input'!$J42/100*'Prices of Cells and Modules'!L103</f>
        <v>112.50607801639073</v>
      </c>
    </row>
    <row r="99" spans="1:12" x14ac:dyDescent="0.2">
      <c r="A99" s="400" t="s">
        <v>157</v>
      </c>
      <c r="B99" s="400"/>
      <c r="C99" s="400"/>
      <c r="D99" s="610"/>
      <c r="E99" s="486"/>
      <c r="F99" s="611">
        <f t="shared" ref="F99:L99" ca="1" si="45">F88+F97+F98</f>
        <v>668.09237687931329</v>
      </c>
      <c r="G99" s="611">
        <f t="shared" ca="1" si="45"/>
        <v>831.35335984928815</v>
      </c>
      <c r="H99" s="611">
        <f t="shared" ca="1" si="45"/>
        <v>1022.6847184442521</v>
      </c>
      <c r="I99" s="611">
        <f t="shared" ca="1" si="45"/>
        <v>1209.9632968392823</v>
      </c>
      <c r="J99" s="611">
        <f t="shared" ca="1" si="45"/>
        <v>1394.2318066674609</v>
      </c>
      <c r="K99" s="611">
        <f t="shared" ca="1" si="45"/>
        <v>1576.1327800219574</v>
      </c>
      <c r="L99" s="611">
        <f t="shared" ca="1" si="45"/>
        <v>1756.0982043390916</v>
      </c>
    </row>
    <row r="100" spans="1:12" ht="15" x14ac:dyDescent="0.25">
      <c r="A100" s="259" t="s">
        <v>91</v>
      </c>
      <c r="B100" s="72"/>
      <c r="C100" s="72"/>
      <c r="D100" s="486"/>
      <c r="E100" s="486"/>
      <c r="F100" s="296"/>
      <c r="G100" s="296"/>
      <c r="H100" s="296"/>
      <c r="I100" s="296"/>
      <c r="J100" s="296"/>
      <c r="K100" s="296"/>
      <c r="L100" s="296"/>
    </row>
    <row r="101" spans="1:12" x14ac:dyDescent="0.2">
      <c r="A101" s="400" t="s">
        <v>158</v>
      </c>
      <c r="B101" s="400"/>
      <c r="C101" s="400"/>
      <c r="D101" s="486"/>
      <c r="E101" s="486"/>
      <c r="F101" s="611">
        <f ca="1">'Cost Input'!$J45/100*(F97+F98)+'Cost Input'!$J46/100*F103</f>
        <v>89.346782510937558</v>
      </c>
      <c r="G101" s="611">
        <f ca="1">'Cost Input'!$J45/100*(G97+G98)+'Cost Input'!$J46/100*G103</f>
        <v>97.366790198344916</v>
      </c>
      <c r="H101" s="611">
        <f ca="1">'Cost Input'!$J45/100*(H97+H98)+'Cost Input'!$J46/100*H103</f>
        <v>106.06624649981948</v>
      </c>
      <c r="I101" s="611">
        <f ca="1">'Cost Input'!$J45/100*(I97+I98)+'Cost Input'!$J46/100*I103</f>
        <v>113.9050872348086</v>
      </c>
      <c r="J101" s="611">
        <f ca="1">'Cost Input'!$J45/100*(J97+J98)+'Cost Input'!$J46/100*J103</f>
        <v>121.13061834205726</v>
      </c>
      <c r="K101" s="611">
        <f ca="1">'Cost Input'!$J45/100*(K97+K98)+'Cost Input'!$J46/100*K103</f>
        <v>127.88963135730611</v>
      </c>
      <c r="L101" s="611">
        <f ca="1">'Cost Input'!$J45/100*(L97+L98)+'Cost Input'!$J46/100*L103</f>
        <v>134.2778063910888</v>
      </c>
    </row>
    <row r="102" spans="1:12" x14ac:dyDescent="0.2">
      <c r="A102" s="400" t="s">
        <v>159</v>
      </c>
      <c r="B102" s="400"/>
      <c r="C102" s="400"/>
      <c r="D102" s="486"/>
      <c r="E102" s="486"/>
      <c r="F102" s="611">
        <f ca="1">F103*'Cost Input'!$J47/100</f>
        <v>71.219206274235106</v>
      </c>
      <c r="G102" s="611">
        <f ca="1">G103*'Cost Input'!$J47/100</f>
        <v>79.186730758175884</v>
      </c>
      <c r="H102" s="611">
        <f ca="1">H103*'Cost Input'!$J47/100</f>
        <v>87.466320773127379</v>
      </c>
      <c r="I102" s="611">
        <f ca="1">I103*'Cost Input'!$J47/100</f>
        <v>94.973516582962986</v>
      </c>
      <c r="J102" s="611">
        <f ca="1">J103*'Cost Input'!$J47/100</f>
        <v>101.93016593039582</v>
      </c>
      <c r="K102" s="611">
        <f ca="1">K103*'Cost Input'!$J47/100</f>
        <v>108.46776462190921</v>
      </c>
      <c r="L102" s="611">
        <f ca="1">L103*'Cost Input'!$J47/100</f>
        <v>114.67196200559015</v>
      </c>
    </row>
    <row r="103" spans="1:12" x14ac:dyDescent="0.2">
      <c r="A103" s="400" t="s">
        <v>160</v>
      </c>
      <c r="B103" s="400"/>
      <c r="C103" s="400"/>
      <c r="D103" s="486"/>
      <c r="E103" s="486"/>
      <c r="F103" s="611">
        <f ca="1">('Cost Input'!$J49/100*'Manufacturing Cost Calculations'!F267+'Cost Input'!$J110/100*'Manufacturing Cost Calculations'!F268*'Cost Input'!$J32/1000000)*1000000/'Manufacturing Cost Calculations'!F5</f>
        <v>178.04801568558779</v>
      </c>
      <c r="G103" s="611">
        <f ca="1">('Cost Input'!$J49/100*'Manufacturing Cost Calculations'!G267+'Cost Input'!$J110/100*'Manufacturing Cost Calculations'!G268*'Cost Input'!$J32/1000000)*1000000/'Manufacturing Cost Calculations'!G5</f>
        <v>197.96682689543971</v>
      </c>
      <c r="H103" s="611">
        <f ca="1">('Cost Input'!$J49/100*'Manufacturing Cost Calculations'!H267+'Cost Input'!$J110/100*'Manufacturing Cost Calculations'!H268*'Cost Input'!$J32/1000000)*1000000/'Manufacturing Cost Calculations'!H5</f>
        <v>218.66580193281845</v>
      </c>
      <c r="I103" s="611">
        <f ca="1">('Cost Input'!$J49/100*'Manufacturing Cost Calculations'!I267+'Cost Input'!$J110/100*'Manufacturing Cost Calculations'!I268*'Cost Input'!$J32/1000000)*1000000/'Manufacturing Cost Calculations'!I5</f>
        <v>237.43379145740747</v>
      </c>
      <c r="J103" s="611">
        <f ca="1">('Cost Input'!$J49/100*'Manufacturing Cost Calculations'!J267+'Cost Input'!$J110/100*'Manufacturing Cost Calculations'!J268*'Cost Input'!$J32/1000000)*1000000/'Manufacturing Cost Calculations'!J5</f>
        <v>254.82541482598955</v>
      </c>
      <c r="K103" s="611">
        <f ca="1">('Cost Input'!$J49/100*'Manufacturing Cost Calculations'!K267+'Cost Input'!$J110/100*'Manufacturing Cost Calculations'!K268*'Cost Input'!$J32/1000000)*1000000/'Manufacturing Cost Calculations'!K5</f>
        <v>271.16941155477303</v>
      </c>
      <c r="L103" s="611">
        <f ca="1">('Cost Input'!$J49/100*'Manufacturing Cost Calculations'!L267+'Cost Input'!$J110/100*'Manufacturing Cost Calculations'!L268*'Cost Input'!$J32/1000000)*1000000/'Manufacturing Cost Calculations'!L5</f>
        <v>286.67990501397537</v>
      </c>
    </row>
    <row r="104" spans="1:12" x14ac:dyDescent="0.2">
      <c r="A104" s="400" t="s">
        <v>161</v>
      </c>
      <c r="B104" s="400"/>
      <c r="C104" s="400"/>
      <c r="D104" s="486"/>
      <c r="E104" s="486"/>
      <c r="F104" s="612">
        <f t="shared" ref="F104" ca="1" si="46">F101+F102+F103</f>
        <v>338.61400447076045</v>
      </c>
      <c r="G104" s="612">
        <f t="shared" ref="G104:L104" ca="1" si="47">G101+G102+G103</f>
        <v>374.52034785196054</v>
      </c>
      <c r="H104" s="612">
        <f t="shared" ca="1" si="47"/>
        <v>412.19836920576529</v>
      </c>
      <c r="I104" s="612">
        <f t="shared" ca="1" si="47"/>
        <v>446.31239527517903</v>
      </c>
      <c r="J104" s="612">
        <f t="shared" ca="1" si="47"/>
        <v>477.8861990984426</v>
      </c>
      <c r="K104" s="612">
        <f t="shared" ca="1" si="47"/>
        <v>507.52680753398835</v>
      </c>
      <c r="L104" s="612">
        <f t="shared" ca="1" si="47"/>
        <v>535.62967341065428</v>
      </c>
    </row>
    <row r="105" spans="1:12" x14ac:dyDescent="0.2">
      <c r="A105" s="400" t="s">
        <v>162</v>
      </c>
      <c r="B105" s="400"/>
      <c r="C105" s="400"/>
      <c r="D105" s="613"/>
      <c r="E105" s="486"/>
      <c r="F105" s="611">
        <f ca="1">'Cost Input'!$J51/100*F81*1000000/'Manufacturing Cost Calculations'!F5</f>
        <v>81.543586843382542</v>
      </c>
      <c r="G105" s="611">
        <f ca="1">'Cost Input'!$J51/100*G81*1000000/'Manufacturing Cost Calculations'!G5</f>
        <v>91.117448183971476</v>
      </c>
      <c r="H105" s="611">
        <f ca="1">'Cost Input'!$J51/100*H81*1000000/'Manufacturing Cost Calculations'!H5</f>
        <v>101.45227932570847</v>
      </c>
      <c r="I105" s="611">
        <f ca="1">'Cost Input'!$J51/100*I81*1000000/'Manufacturing Cost Calculations'!I5</f>
        <v>110.955666965147</v>
      </c>
      <c r="J105" s="611">
        <f ca="1">'Cost Input'!$J51/100*J81*1000000/'Manufacturing Cost Calculations'!J5</f>
        <v>119.86418728966964</v>
      </c>
      <c r="K105" s="611">
        <f ca="1">'Cost Input'!$J51/100*K81*1000000/'Manufacturing Cost Calculations'!K5</f>
        <v>128.3186154914668</v>
      </c>
      <c r="L105" s="611">
        <f ca="1">'Cost Input'!$J51/100*L81*1000000/'Manufacturing Cost Calculations'!L5</f>
        <v>136.41092834862457</v>
      </c>
    </row>
    <row r="106" spans="1:12" x14ac:dyDescent="0.2">
      <c r="A106" s="400" t="s">
        <v>341</v>
      </c>
      <c r="B106" s="400"/>
      <c r="C106" s="400"/>
      <c r="D106" s="486"/>
      <c r="E106" s="486"/>
      <c r="F106" s="612">
        <f t="shared" ref="F106:L106" ca="1" si="48">F99+F104+F105</f>
        <v>1088.2499681934564</v>
      </c>
      <c r="G106" s="612">
        <f t="shared" ca="1" si="48"/>
        <v>1296.9911558852202</v>
      </c>
      <c r="H106" s="612">
        <f t="shared" ca="1" si="48"/>
        <v>1536.3353669757259</v>
      </c>
      <c r="I106" s="612">
        <f t="shared" ca="1" si="48"/>
        <v>1767.2313590796084</v>
      </c>
      <c r="J106" s="612">
        <f t="shared" ca="1" si="48"/>
        <v>1991.9821930555731</v>
      </c>
      <c r="K106" s="612">
        <f t="shared" ca="1" si="48"/>
        <v>2211.9782030474125</v>
      </c>
      <c r="L106" s="612">
        <f t="shared" ca="1" si="48"/>
        <v>2428.1388060983704</v>
      </c>
    </row>
    <row r="107" spans="1:12" ht="15.75" x14ac:dyDescent="0.25">
      <c r="A107" s="17" t="s">
        <v>174</v>
      </c>
      <c r="B107" s="399"/>
      <c r="C107" s="399"/>
      <c r="D107" s="486"/>
      <c r="E107" s="486"/>
      <c r="F107" s="296"/>
      <c r="G107" s="296"/>
      <c r="H107" s="296"/>
      <c r="I107" s="296"/>
      <c r="J107" s="296"/>
      <c r="K107" s="296"/>
      <c r="L107" s="296"/>
    </row>
    <row r="108" spans="1:12" x14ac:dyDescent="0.2">
      <c r="A108" s="400" t="s">
        <v>225</v>
      </c>
      <c r="B108" s="400"/>
      <c r="C108" s="400"/>
      <c r="D108" s="400"/>
      <c r="E108" s="400"/>
      <c r="F108" s="402">
        <f t="shared" ref="F108:L108" ca="1" si="49">F85</f>
        <v>416.0589158546926</v>
      </c>
      <c r="G108" s="402">
        <f t="shared" ca="1" si="49"/>
        <v>564.09949930148696</v>
      </c>
      <c r="H108" s="402">
        <f t="shared" ca="1" si="49"/>
        <v>738.36038231914904</v>
      </c>
      <c r="I108" s="402">
        <f t="shared" ca="1" si="49"/>
        <v>910.31139211428535</v>
      </c>
      <c r="J108" s="402">
        <f t="shared" ca="1" si="49"/>
        <v>1080.4935345124982</v>
      </c>
      <c r="K108" s="402">
        <f t="shared" ca="1" si="49"/>
        <v>1249.2510615146175</v>
      </c>
      <c r="L108" s="402">
        <f t="shared" ca="1" si="49"/>
        <v>1416.8213805320058</v>
      </c>
    </row>
    <row r="109" spans="1:12" x14ac:dyDescent="0.2">
      <c r="A109" s="400" t="s">
        <v>224</v>
      </c>
      <c r="B109" s="400"/>
      <c r="C109" s="400"/>
      <c r="D109" s="400"/>
      <c r="E109" s="400"/>
      <c r="F109" s="402">
        <f t="shared" ref="F109:L109" ca="1" si="50">F86+F87</f>
        <v>72.694346666458273</v>
      </c>
      <c r="G109" s="402">
        <f t="shared" ca="1" si="50"/>
        <v>75.7535266498612</v>
      </c>
      <c r="H109" s="402">
        <f t="shared" ca="1" si="50"/>
        <v>78.725152058643602</v>
      </c>
      <c r="I109" s="402">
        <f t="shared" ca="1" si="50"/>
        <v>81.465347243170058</v>
      </c>
      <c r="J109" s="402">
        <f t="shared" ca="1" si="50"/>
        <v>84.041213612723141</v>
      </c>
      <c r="K109" s="402">
        <f t="shared" ca="1" si="50"/>
        <v>86.492604632888572</v>
      </c>
      <c r="L109" s="402">
        <f t="shared" ca="1" si="50"/>
        <v>88.845503256705811</v>
      </c>
    </row>
    <row r="110" spans="1:12" x14ac:dyDescent="0.2">
      <c r="A110" s="400" t="s">
        <v>163</v>
      </c>
      <c r="B110" s="400"/>
      <c r="C110" s="400"/>
      <c r="D110" s="400"/>
      <c r="E110" s="400"/>
      <c r="F110" s="402">
        <f t="shared" ref="F110:L110" ca="1" si="51">F97</f>
        <v>102.66393658646064</v>
      </c>
      <c r="G110" s="402">
        <f t="shared" ca="1" si="51"/>
        <v>108.50497751346573</v>
      </c>
      <c r="H110" s="402">
        <f t="shared" ca="1" si="51"/>
        <v>115.6185883427827</v>
      </c>
      <c r="I110" s="402">
        <f t="shared" ca="1" si="51"/>
        <v>121.92842799310387</v>
      </c>
      <c r="J110" s="402">
        <f t="shared" ca="1" si="51"/>
        <v>127.66569684074395</v>
      </c>
      <c r="K110" s="402">
        <f t="shared" ca="1" si="51"/>
        <v>132.96802254535487</v>
      </c>
      <c r="L110" s="402">
        <f t="shared" ca="1" si="51"/>
        <v>137.92524253398912</v>
      </c>
    </row>
    <row r="111" spans="1:12" x14ac:dyDescent="0.2">
      <c r="A111" s="400" t="s">
        <v>164</v>
      </c>
      <c r="B111" s="400"/>
      <c r="C111" s="400"/>
      <c r="D111" s="400"/>
      <c r="E111" s="400"/>
      <c r="F111" s="402">
        <f t="shared" ref="F111:L111" ca="1" si="52">F98</f>
        <v>76.675177771701811</v>
      </c>
      <c r="G111" s="402">
        <f t="shared" ca="1" si="52"/>
        <v>82.995356384474235</v>
      </c>
      <c r="H111" s="402">
        <f t="shared" ca="1" si="52"/>
        <v>89.980595723676771</v>
      </c>
      <c r="I111" s="402">
        <f t="shared" ca="1" si="52"/>
        <v>96.258129488723043</v>
      </c>
      <c r="J111" s="402">
        <f t="shared" ca="1" si="52"/>
        <v>102.0313617014955</v>
      </c>
      <c r="K111" s="402">
        <f t="shared" ca="1" si="52"/>
        <v>107.42109132909656</v>
      </c>
      <c r="L111" s="402">
        <f t="shared" ca="1" si="52"/>
        <v>112.50607801639073</v>
      </c>
    </row>
    <row r="112" spans="1:12" x14ac:dyDescent="0.2">
      <c r="A112" s="400" t="s">
        <v>158</v>
      </c>
      <c r="B112" s="400"/>
      <c r="C112" s="400"/>
      <c r="D112" s="400"/>
      <c r="E112" s="400"/>
      <c r="F112" s="486">
        <f t="shared" ref="F112:L112" ca="1" si="53">F101</f>
        <v>89.346782510937558</v>
      </c>
      <c r="G112" s="486">
        <f t="shared" ca="1" si="53"/>
        <v>97.366790198344916</v>
      </c>
      <c r="H112" s="486">
        <f t="shared" ca="1" si="53"/>
        <v>106.06624649981948</v>
      </c>
      <c r="I112" s="486">
        <f t="shared" ca="1" si="53"/>
        <v>113.9050872348086</v>
      </c>
      <c r="J112" s="486">
        <f t="shared" ca="1" si="53"/>
        <v>121.13061834205726</v>
      </c>
      <c r="K112" s="486">
        <f t="shared" ca="1" si="53"/>
        <v>127.88963135730611</v>
      </c>
      <c r="L112" s="486">
        <f t="shared" ca="1" si="53"/>
        <v>134.2778063910888</v>
      </c>
    </row>
    <row r="113" spans="1:12" x14ac:dyDescent="0.2">
      <c r="A113" s="400" t="s">
        <v>159</v>
      </c>
      <c r="B113" s="400"/>
      <c r="C113" s="400"/>
      <c r="D113" s="400"/>
      <c r="E113" s="400"/>
      <c r="F113" s="402">
        <f t="shared" ref="F113:L113" ca="1" si="54">F102</f>
        <v>71.219206274235106</v>
      </c>
      <c r="G113" s="402">
        <f t="shared" ca="1" si="54"/>
        <v>79.186730758175884</v>
      </c>
      <c r="H113" s="402">
        <f t="shared" ca="1" si="54"/>
        <v>87.466320773127379</v>
      </c>
      <c r="I113" s="402">
        <f t="shared" ca="1" si="54"/>
        <v>94.973516582962986</v>
      </c>
      <c r="J113" s="402">
        <f t="shared" ca="1" si="54"/>
        <v>101.93016593039582</v>
      </c>
      <c r="K113" s="402">
        <f t="shared" ca="1" si="54"/>
        <v>108.46776462190921</v>
      </c>
      <c r="L113" s="402">
        <f t="shared" ca="1" si="54"/>
        <v>114.67196200559015</v>
      </c>
    </row>
    <row r="114" spans="1:12" x14ac:dyDescent="0.2">
      <c r="A114" s="400" t="s">
        <v>160</v>
      </c>
      <c r="B114" s="400"/>
      <c r="C114" s="400"/>
      <c r="D114" s="400"/>
      <c r="E114" s="400"/>
      <c r="F114" s="402">
        <f t="shared" ref="F114:L114" ca="1" si="55">F103</f>
        <v>178.04801568558779</v>
      </c>
      <c r="G114" s="402">
        <f t="shared" ca="1" si="55"/>
        <v>197.96682689543971</v>
      </c>
      <c r="H114" s="402">
        <f t="shared" ca="1" si="55"/>
        <v>218.66580193281845</v>
      </c>
      <c r="I114" s="402">
        <f t="shared" ca="1" si="55"/>
        <v>237.43379145740747</v>
      </c>
      <c r="J114" s="402">
        <f t="shared" ca="1" si="55"/>
        <v>254.82541482598955</v>
      </c>
      <c r="K114" s="402">
        <f t="shared" ca="1" si="55"/>
        <v>271.16941155477303</v>
      </c>
      <c r="L114" s="402">
        <f t="shared" ca="1" si="55"/>
        <v>286.67990501397537</v>
      </c>
    </row>
    <row r="115" spans="1:12" x14ac:dyDescent="0.2">
      <c r="A115" s="400" t="s">
        <v>165</v>
      </c>
      <c r="B115" s="400"/>
      <c r="C115" s="400"/>
      <c r="D115" s="400"/>
      <c r="E115" s="400"/>
      <c r="F115" s="614">
        <f t="shared" ref="F115:L115" ca="1" si="56">F105</f>
        <v>81.543586843382542</v>
      </c>
      <c r="G115" s="614">
        <f t="shared" ca="1" si="56"/>
        <v>91.117448183971476</v>
      </c>
      <c r="H115" s="614">
        <f t="shared" ca="1" si="56"/>
        <v>101.45227932570847</v>
      </c>
      <c r="I115" s="614">
        <f t="shared" ca="1" si="56"/>
        <v>110.955666965147</v>
      </c>
      <c r="J115" s="614">
        <f t="shared" ca="1" si="56"/>
        <v>119.86418728966964</v>
      </c>
      <c r="K115" s="614">
        <f t="shared" ca="1" si="56"/>
        <v>128.3186154914668</v>
      </c>
      <c r="L115" s="614">
        <f t="shared" ca="1" si="56"/>
        <v>136.41092834862457</v>
      </c>
    </row>
    <row r="116" spans="1:12" x14ac:dyDescent="0.2">
      <c r="A116" s="400" t="s">
        <v>323</v>
      </c>
      <c r="B116" s="400"/>
      <c r="C116" s="400"/>
      <c r="D116" s="400"/>
      <c r="E116" s="400"/>
      <c r="F116" s="615">
        <f ca="1">'Cost Input'!$J52/100*SUM(F108:F115)</f>
        <v>60.941998218833554</v>
      </c>
      <c r="G116" s="615">
        <f ca="1">'Cost Input'!$J52/100*SUM(G108:G115)</f>
        <v>72.631504729572313</v>
      </c>
      <c r="H116" s="615">
        <f ca="1">'Cost Input'!$J52/100*SUM(H108:H115)</f>
        <v>86.034780550640647</v>
      </c>
      <c r="I116" s="615">
        <f ca="1">'Cost Input'!$J52/100*SUM(I108:I115)</f>
        <v>98.964956108458054</v>
      </c>
      <c r="J116" s="615">
        <f ca="1">'Cost Input'!$J52/100*SUM(J108:J115)</f>
        <v>111.55100281111208</v>
      </c>
      <c r="K116" s="615">
        <f ca="1">'Cost Input'!$J52/100*SUM(K108:K115)</f>
        <v>123.87077937065511</v>
      </c>
      <c r="L116" s="615">
        <f ca="1">'Cost Input'!$J52/100*SUM(L108:L115)</f>
        <v>135.97577314150874</v>
      </c>
    </row>
    <row r="117" spans="1:12" x14ac:dyDescent="0.2">
      <c r="A117" s="400" t="s">
        <v>848</v>
      </c>
      <c r="B117" s="400"/>
      <c r="C117" s="400"/>
      <c r="D117" s="400"/>
      <c r="E117" s="400"/>
      <c r="F117" s="402">
        <f t="shared" ref="F117:L117" ca="1" si="57">SUM(F108:F116)</f>
        <v>1149.19196641229</v>
      </c>
      <c r="G117" s="402">
        <f t="shared" ca="1" si="57"/>
        <v>1369.6226606147923</v>
      </c>
      <c r="H117" s="402">
        <f t="shared" ca="1" si="57"/>
        <v>1622.3701475263665</v>
      </c>
      <c r="I117" s="402">
        <f t="shared" ca="1" si="57"/>
        <v>1866.1963151880664</v>
      </c>
      <c r="J117" s="402">
        <f t="shared" ca="1" si="57"/>
        <v>2103.5331958666852</v>
      </c>
      <c r="K117" s="402">
        <f t="shared" ca="1" si="57"/>
        <v>2335.8489824180683</v>
      </c>
      <c r="L117" s="402">
        <f t="shared" ca="1" si="57"/>
        <v>2564.1145792398793</v>
      </c>
    </row>
  </sheetData>
  <mergeCells count="2">
    <mergeCell ref="A1:L1"/>
    <mergeCell ref="A60:L60"/>
  </mergeCells>
  <phoneticPr fontId="5" type="noConversion"/>
  <pageMargins left="0.75" right="0.75" top="0.75" bottom="0.75" header="0.5" footer="0.5"/>
  <pageSetup orientation="landscape" r:id="rId1"/>
  <headerFooter alignWithMargins="0">
    <oddFooter>&amp;C&amp;P&amp;R&amp;F, &amp;D</oddFooter>
  </headerFooter>
  <rowBreaks count="2" manualBreakCount="2">
    <brk id="22" max="11" man="1"/>
    <brk id="81" max="11"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S141"/>
  <sheetViews>
    <sheetView zoomScaleNormal="100" workbookViewId="0">
      <selection activeCell="Y159" sqref="Y159"/>
    </sheetView>
  </sheetViews>
  <sheetFormatPr defaultRowHeight="12.75" x14ac:dyDescent="0.2"/>
  <cols>
    <col min="6" max="12" width="9.28515625" customWidth="1"/>
  </cols>
  <sheetData>
    <row r="1" spans="1:12" ht="15.75" x14ac:dyDescent="0.25">
      <c r="A1" s="626" t="s">
        <v>747</v>
      </c>
      <c r="B1" s="626"/>
      <c r="C1" s="626"/>
      <c r="D1" s="626"/>
      <c r="E1" s="626"/>
      <c r="F1" s="626"/>
      <c r="G1" s="626"/>
      <c r="H1" s="626"/>
      <c r="I1" s="626"/>
      <c r="J1" s="626"/>
      <c r="K1" s="626"/>
      <c r="L1" s="626"/>
    </row>
    <row r="2" spans="1:12" ht="15.75" x14ac:dyDescent="0.25">
      <c r="A2" s="628" t="str">
        <f>'Battery Design'!A2:L2</f>
        <v>Manganese-Spinel/Graphite</v>
      </c>
      <c r="B2" s="628"/>
      <c r="C2" s="628"/>
      <c r="D2" s="628"/>
      <c r="E2" s="628"/>
      <c r="F2" s="628"/>
      <c r="G2" s="628"/>
      <c r="H2" s="628"/>
      <c r="I2" s="628"/>
      <c r="J2" s="628"/>
      <c r="K2" s="628"/>
      <c r="L2" s="628"/>
    </row>
    <row r="3" spans="1:12" x14ac:dyDescent="0.2">
      <c r="A3" s="54"/>
      <c r="B3" s="54"/>
      <c r="C3" s="54"/>
      <c r="D3" s="54"/>
      <c r="E3" s="54"/>
      <c r="F3" s="314" t="s">
        <v>0</v>
      </c>
      <c r="G3" s="314" t="s">
        <v>1</v>
      </c>
      <c r="H3" s="314" t="s">
        <v>2</v>
      </c>
      <c r="I3" s="314" t="s">
        <v>3</v>
      </c>
      <c r="J3" s="314" t="s">
        <v>4</v>
      </c>
      <c r="K3" s="314" t="s">
        <v>750</v>
      </c>
      <c r="L3" s="316" t="s">
        <v>752</v>
      </c>
    </row>
    <row r="4" spans="1:12" ht="15.75" x14ac:dyDescent="0.25">
      <c r="A4" s="17" t="s">
        <v>35</v>
      </c>
      <c r="B4" s="57"/>
      <c r="C4" s="57"/>
      <c r="D4" s="57"/>
      <c r="E4" s="57"/>
      <c r="F4" s="58"/>
      <c r="G4" s="58"/>
      <c r="H4" s="58"/>
      <c r="I4" s="58"/>
      <c r="J4" s="58"/>
      <c r="K4" s="58"/>
      <c r="L4" s="58"/>
    </row>
    <row r="5" spans="1:12" x14ac:dyDescent="0.2">
      <c r="A5" t="s">
        <v>194</v>
      </c>
      <c r="B5" s="57"/>
      <c r="C5" s="57"/>
      <c r="D5" s="57"/>
      <c r="E5" s="57"/>
      <c r="F5" s="26">
        <f ca="1">'Summary of Results'!F5</f>
        <v>11.20000000000001</v>
      </c>
      <c r="G5" s="26">
        <f ca="1">'Summary of Results'!G5</f>
        <v>16.800000000000008</v>
      </c>
      <c r="H5" s="26">
        <f ca="1">'Summary of Results'!H5</f>
        <v>22.400000000000006</v>
      </c>
      <c r="I5" s="26">
        <f ca="1">'Summary of Results'!I5</f>
        <v>28.000000000000064</v>
      </c>
      <c r="J5" s="26">
        <f ca="1">'Summary of Results'!J5</f>
        <v>33.600000000000037</v>
      </c>
      <c r="K5" s="26">
        <f ca="1">'Summary of Results'!K5</f>
        <v>39.199999999999989</v>
      </c>
      <c r="L5" s="26">
        <f ca="1">'Summary of Results'!L5</f>
        <v>44.80000000000004</v>
      </c>
    </row>
    <row r="6" spans="1:12" x14ac:dyDescent="0.2">
      <c r="A6" s="253" t="s">
        <v>654</v>
      </c>
      <c r="B6" s="57"/>
      <c r="C6" s="57"/>
      <c r="D6" s="57"/>
      <c r="E6" s="57"/>
      <c r="F6" s="26">
        <f>'Summary of Results'!F6</f>
        <v>1</v>
      </c>
      <c r="G6" s="26">
        <f>'Summary of Results'!G6</f>
        <v>1</v>
      </c>
      <c r="H6" s="26">
        <f>'Summary of Results'!H6</f>
        <v>1</v>
      </c>
      <c r="I6" s="26">
        <f>'Summary of Results'!I6</f>
        <v>1</v>
      </c>
      <c r="J6" s="26">
        <f>'Summary of Results'!J6</f>
        <v>1</v>
      </c>
      <c r="K6" s="26">
        <f>'Summary of Results'!K6</f>
        <v>1</v>
      </c>
      <c r="L6" s="26">
        <f>'Summary of Results'!L6</f>
        <v>1</v>
      </c>
    </row>
    <row r="7" spans="1:12" x14ac:dyDescent="0.2">
      <c r="A7" s="253" t="s">
        <v>658</v>
      </c>
      <c r="B7" s="57"/>
      <c r="C7" s="57"/>
      <c r="D7" s="57"/>
      <c r="E7" s="57"/>
      <c r="F7" s="26" t="str">
        <f>'Summary of Results'!F7</f>
        <v xml:space="preserve"> </v>
      </c>
      <c r="G7" s="26" t="str">
        <f>'Summary of Results'!G7</f>
        <v xml:space="preserve"> </v>
      </c>
      <c r="H7" s="26" t="str">
        <f>'Summary of Results'!H7</f>
        <v xml:space="preserve"> </v>
      </c>
      <c r="I7" s="26" t="str">
        <f>'Summary of Results'!I7</f>
        <v xml:space="preserve"> </v>
      </c>
      <c r="J7" s="26" t="str">
        <f>'Summary of Results'!J7</f>
        <v xml:space="preserve"> </v>
      </c>
      <c r="K7" s="26" t="str">
        <f>'Summary of Results'!K7</f>
        <v xml:space="preserve"> </v>
      </c>
      <c r="L7" s="26" t="str">
        <f>'Summary of Results'!L7</f>
        <v xml:space="preserve"> </v>
      </c>
    </row>
    <row r="8" spans="1:12" x14ac:dyDescent="0.2">
      <c r="A8" t="s">
        <v>691</v>
      </c>
      <c r="B8" s="57"/>
      <c r="C8" s="57"/>
      <c r="D8" s="57"/>
      <c r="E8" s="57"/>
      <c r="F8" s="26">
        <f>'Summary of Results'!F8</f>
        <v>96</v>
      </c>
      <c r="G8" s="26">
        <f>'Summary of Results'!G8</f>
        <v>96</v>
      </c>
      <c r="H8" s="26">
        <f>'Summary of Results'!H8</f>
        <v>96</v>
      </c>
      <c r="I8" s="26">
        <f>'Summary of Results'!I8</f>
        <v>96</v>
      </c>
      <c r="J8" s="26">
        <f>'Summary of Results'!J8</f>
        <v>96</v>
      </c>
      <c r="K8" s="26">
        <f>'Summary of Results'!K8</f>
        <v>96</v>
      </c>
      <c r="L8" s="26">
        <f>'Summary of Results'!L8</f>
        <v>96</v>
      </c>
    </row>
    <row r="9" spans="1:12" x14ac:dyDescent="0.2">
      <c r="A9" s="253" t="s">
        <v>776</v>
      </c>
      <c r="B9" s="57"/>
      <c r="C9" s="57"/>
      <c r="D9" s="57"/>
      <c r="E9" s="57"/>
      <c r="F9" s="3">
        <f>'Battery Design'!F63</f>
        <v>4</v>
      </c>
      <c r="G9" s="3">
        <f>'Battery Design'!G63</f>
        <v>4</v>
      </c>
      <c r="H9" s="3">
        <f>'Battery Design'!H63</f>
        <v>4</v>
      </c>
      <c r="I9" s="3">
        <f>'Battery Design'!I63</f>
        <v>4</v>
      </c>
      <c r="J9" s="3">
        <f>'Battery Design'!J63</f>
        <v>4</v>
      </c>
      <c r="K9" s="3">
        <f>'Battery Design'!K63</f>
        <v>4</v>
      </c>
      <c r="L9" s="3">
        <f>'Battery Design'!L63</f>
        <v>4</v>
      </c>
    </row>
    <row r="10" spans="1:12" x14ac:dyDescent="0.2">
      <c r="A10" s="253" t="s">
        <v>655</v>
      </c>
      <c r="B10" s="57"/>
      <c r="C10" s="57"/>
      <c r="D10" s="57"/>
      <c r="E10" s="57"/>
      <c r="F10" s="363">
        <f ca="1">'Summary of Results'!F9</f>
        <v>4.0000000000000036</v>
      </c>
      <c r="G10" s="363">
        <f ca="1">'Summary of Results'!G9</f>
        <v>6.0000000000000027</v>
      </c>
      <c r="H10" s="363">
        <f ca="1">'Summary of Results'!H9</f>
        <v>8.0000000000000018</v>
      </c>
      <c r="I10" s="363">
        <f ca="1">'Summary of Results'!I9</f>
        <v>10.000000000000023</v>
      </c>
      <c r="J10" s="363">
        <f ca="1">'Summary of Results'!J9</f>
        <v>12.000000000000012</v>
      </c>
      <c r="K10" s="363">
        <f ca="1">'Summary of Results'!K9</f>
        <v>13.999999999999995</v>
      </c>
      <c r="L10" s="363">
        <f ca="1">'Summary of Results'!L9</f>
        <v>16.000000000000014</v>
      </c>
    </row>
    <row r="11" spans="1:12" x14ac:dyDescent="0.2">
      <c r="A11" s="253" t="s">
        <v>592</v>
      </c>
      <c r="B11" s="57"/>
      <c r="C11" s="57"/>
      <c r="D11" s="57"/>
      <c r="E11" s="57"/>
      <c r="F11" s="363">
        <f ca="1">'Summary of Results'!F10</f>
        <v>10.603037711833156</v>
      </c>
      <c r="G11" s="363">
        <f ca="1">'Summary of Results'!G10</f>
        <v>15.927717249004788</v>
      </c>
      <c r="H11" s="363">
        <f ca="1">'Summary of Results'!H10</f>
        <v>21.238638051735272</v>
      </c>
      <c r="I11" s="363">
        <f ca="1">'Summary of Results'!I10</f>
        <v>26.550369704422842</v>
      </c>
      <c r="J11" s="363">
        <f ca="1">'Summary of Results'!J10</f>
        <v>31.862905039781463</v>
      </c>
      <c r="K11" s="363">
        <f ca="1">'Summary of Results'!K10</f>
        <v>37.176238834191054</v>
      </c>
      <c r="L11" s="363">
        <f ca="1">'Summary of Results'!L10</f>
        <v>42.49036715129558</v>
      </c>
    </row>
    <row r="12" spans="1:12" x14ac:dyDescent="0.2">
      <c r="A12" s="253" t="s">
        <v>659</v>
      </c>
      <c r="B12" s="57"/>
      <c r="C12" s="57"/>
      <c r="D12" s="57"/>
      <c r="E12" s="57"/>
      <c r="F12" s="363">
        <f>'Summary of Results'!F15</f>
        <v>379.584</v>
      </c>
      <c r="G12" s="363">
        <f>'Summary of Results'!G15</f>
        <v>379.584</v>
      </c>
      <c r="H12" s="363">
        <f>'Summary of Results'!H15</f>
        <v>379.584</v>
      </c>
      <c r="I12" s="363">
        <f>'Summary of Results'!I15</f>
        <v>379.584</v>
      </c>
      <c r="J12" s="363">
        <f>'Summary of Results'!J15</f>
        <v>379.584</v>
      </c>
      <c r="K12" s="363">
        <f>'Summary of Results'!K15</f>
        <v>379.584</v>
      </c>
      <c r="L12" s="363">
        <f>'Summary of Results'!L15</f>
        <v>379.584</v>
      </c>
    </row>
    <row r="13" spans="1:12" x14ac:dyDescent="0.2">
      <c r="A13" s="253" t="s">
        <v>656</v>
      </c>
      <c r="B13" s="57"/>
      <c r="C13" s="57"/>
      <c r="D13" s="57"/>
      <c r="E13" s="57"/>
      <c r="F13" s="363">
        <f ca="1">'Summary of Results'!F16</f>
        <v>60.000000000000007</v>
      </c>
      <c r="G13" s="363">
        <f ca="1">'Summary of Results'!G16</f>
        <v>72.744106133087698</v>
      </c>
      <c r="H13" s="363">
        <f ca="1">'Summary of Results'!H16</f>
        <v>95.293204855200543</v>
      </c>
      <c r="I13" s="363">
        <f ca="1">'Summary of Results'!I16</f>
        <v>117.03719608035212</v>
      </c>
      <c r="J13" s="363">
        <f ca="1">'Summary of Results'!J16</f>
        <v>138.03400841597346</v>
      </c>
      <c r="K13" s="363">
        <f ca="1">'Summary of Results'!K16</f>
        <v>158.32920265404357</v>
      </c>
      <c r="L13" s="363">
        <f ca="1">'Summary of Results'!L16</f>
        <v>177.96225181488037</v>
      </c>
    </row>
    <row r="14" spans="1:12" x14ac:dyDescent="0.2">
      <c r="A14" s="266" t="s">
        <v>657</v>
      </c>
      <c r="B14" s="57"/>
      <c r="C14" s="57"/>
      <c r="D14" s="57"/>
      <c r="E14" s="57"/>
      <c r="F14" s="26">
        <f>'Summary of Results'!F17</f>
        <v>60</v>
      </c>
      <c r="G14" s="26">
        <f>'Summary of Results'!G17</f>
        <v>60</v>
      </c>
      <c r="H14" s="26">
        <f>'Summary of Results'!H17</f>
        <v>60</v>
      </c>
      <c r="I14" s="26">
        <f>'Summary of Results'!I17</f>
        <v>60</v>
      </c>
      <c r="J14" s="26">
        <f>'Summary of Results'!J17</f>
        <v>60</v>
      </c>
      <c r="K14" s="26">
        <f>'Summary of Results'!K17</f>
        <v>60</v>
      </c>
      <c r="L14" s="26">
        <f>'Summary of Results'!L17</f>
        <v>60</v>
      </c>
    </row>
    <row r="15" spans="1:12" x14ac:dyDescent="0.2">
      <c r="A15" s="138" t="s">
        <v>184</v>
      </c>
      <c r="B15" s="57"/>
      <c r="C15" s="57"/>
      <c r="D15" s="57"/>
      <c r="E15" s="57"/>
      <c r="F15" s="26">
        <f>'Summary of Results'!F18</f>
        <v>80</v>
      </c>
      <c r="G15" s="26">
        <f>'Summary of Results'!G18</f>
        <v>80</v>
      </c>
      <c r="H15" s="26">
        <f>'Summary of Results'!H18</f>
        <v>80</v>
      </c>
      <c r="I15" s="26">
        <f>'Summary of Results'!I18</f>
        <v>80</v>
      </c>
      <c r="J15" s="26">
        <f>'Summary of Results'!J18</f>
        <v>80</v>
      </c>
      <c r="K15" s="26">
        <f>'Summary of Results'!K18</f>
        <v>80</v>
      </c>
      <c r="L15" s="26">
        <f>'Summary of Results'!L18</f>
        <v>80</v>
      </c>
    </row>
    <row r="16" spans="1:12" x14ac:dyDescent="0.2">
      <c r="A16" s="99" t="s">
        <v>186</v>
      </c>
      <c r="B16" s="57"/>
      <c r="C16" s="57"/>
      <c r="D16" s="57"/>
      <c r="E16" s="57"/>
      <c r="F16" s="363">
        <f ca="1">'Summary of Results'!F19</f>
        <v>80</v>
      </c>
      <c r="G16" s="363">
        <f ca="1">'Summary of Results'!G19</f>
        <v>84.355573865313175</v>
      </c>
      <c r="H16" s="363">
        <f ca="1">'Summary of Results'!H19</f>
        <v>88.633961004108571</v>
      </c>
      <c r="I16" s="363">
        <f ca="1">'Summary of Results'!I19</f>
        <v>90.984728254501832</v>
      </c>
      <c r="J16" s="363">
        <f ca="1">'Summary of Results'!J19</f>
        <v>92.479632988509437</v>
      </c>
      <c r="K16" s="363">
        <f ca="1">'Summary of Results'!K19</f>
        <v>93.516300305100557</v>
      </c>
      <c r="L16" s="363">
        <f ca="1">'Summary of Results'!L19</f>
        <v>94.278208625061993</v>
      </c>
    </row>
    <row r="17" spans="1:12" x14ac:dyDescent="0.2">
      <c r="A17" s="253" t="s">
        <v>773</v>
      </c>
      <c r="B17" s="57"/>
      <c r="C17" s="57"/>
      <c r="D17" s="57"/>
      <c r="E17" s="57"/>
      <c r="F17" s="363">
        <f ca="1">'Summary of Results'!F20</f>
        <v>28.754688908325289</v>
      </c>
      <c r="G17" s="363">
        <f ca="1">'Summary of Results'!G20</f>
        <v>35.931942973503311</v>
      </c>
      <c r="H17" s="363">
        <f ca="1">'Summary of Results'!H20</f>
        <v>44.193366201456293</v>
      </c>
      <c r="I17" s="363">
        <f ca="1">'Summary of Results'!I20</f>
        <v>51.368483334189563</v>
      </c>
      <c r="J17" s="363">
        <f ca="1">'Summary of Results'!J20</f>
        <v>57.848661952144148</v>
      </c>
      <c r="K17" s="363">
        <f ca="1">'Summary of Results'!K20</f>
        <v>65.426313418446838</v>
      </c>
      <c r="L17" s="363">
        <f ca="1">'Summary of Results'!L20</f>
        <v>71.830720664056798</v>
      </c>
    </row>
    <row r="18" spans="1:12" x14ac:dyDescent="0.2">
      <c r="A18" s="253" t="s">
        <v>772</v>
      </c>
      <c r="B18" s="57"/>
      <c r="C18" s="57"/>
      <c r="D18" s="57"/>
      <c r="E18" s="57"/>
      <c r="F18" s="363">
        <f ca="1">'Summary of Results'!F21</f>
        <v>43.086590603408247</v>
      </c>
      <c r="G18" s="363">
        <f ca="1">'Summary of Results'!G21</f>
        <v>56.366191888887883</v>
      </c>
      <c r="H18" s="363">
        <f ca="1">'Summary of Results'!H21</f>
        <v>72.941978454005692</v>
      </c>
      <c r="I18" s="363">
        <f ca="1">'Summary of Results'!I21</f>
        <v>87.21828878034222</v>
      </c>
      <c r="J18" s="363">
        <f ca="1">'Summary of Results'!J21</f>
        <v>100.80953284560587</v>
      </c>
      <c r="K18" s="363">
        <f ca="1">'Summary of Results'!K21</f>
        <v>117.36404968785823</v>
      </c>
      <c r="L18" s="363">
        <f ca="1">'Summary of Results'!L21</f>
        <v>131.02743258072223</v>
      </c>
    </row>
    <row r="19" spans="1:12" x14ac:dyDescent="0.2">
      <c r="A19" t="s">
        <v>424</v>
      </c>
      <c r="B19" s="57"/>
      <c r="C19" s="57"/>
      <c r="D19" s="57"/>
      <c r="E19" s="57"/>
      <c r="F19" s="363">
        <f ca="1">'Summary of Results'!F22</f>
        <v>1068.0180877697228</v>
      </c>
      <c r="G19" s="363">
        <f ca="1">'Summary of Results'!G22</f>
        <v>1228.3937048333501</v>
      </c>
      <c r="H19" s="363">
        <f ca="1">'Summary of Results'!H22</f>
        <v>1381.1631302565816</v>
      </c>
      <c r="I19" s="363">
        <f ca="1">'Summary of Results'!I22</f>
        <v>1510.0339323877265</v>
      </c>
      <c r="J19" s="363">
        <f ca="1">'Summary of Results'!J22</f>
        <v>1231.4962605384633</v>
      </c>
      <c r="K19" s="363">
        <f ca="1">'Summary of Results'!K22</f>
        <v>1040.3391441399376</v>
      </c>
      <c r="L19" s="363">
        <f ca="1">'Summary of Results'!L22</f>
        <v>902.97520630957672</v>
      </c>
    </row>
    <row r="20" spans="1:12" ht="15.75" x14ac:dyDescent="0.25">
      <c r="A20" s="361" t="s">
        <v>734</v>
      </c>
      <c r="B20" s="262"/>
      <c r="C20" s="262"/>
      <c r="D20" s="262"/>
      <c r="E20" s="262"/>
      <c r="F20" s="262"/>
      <c r="G20" s="262"/>
      <c r="H20" s="262"/>
      <c r="I20" s="262"/>
      <c r="J20" s="262"/>
    </row>
    <row r="21" spans="1:12" x14ac:dyDescent="0.2">
      <c r="A21" s="6" t="s">
        <v>286</v>
      </c>
      <c r="D21" s="2"/>
      <c r="E21" s="2"/>
      <c r="F21" s="36">
        <f ca="1">F$8*'Manufacturing Cost Calculations'!F72</f>
        <v>120.80529904858815</v>
      </c>
      <c r="G21" s="36">
        <f ca="1">G$8*'Manufacturing Cost Calculations'!G72</f>
        <v>174.23559909643629</v>
      </c>
      <c r="H21" s="36">
        <f ca="1">H$8*'Manufacturing Cost Calculations'!H72</f>
        <v>225.74217581348412</v>
      </c>
      <c r="I21" s="36">
        <f ca="1">I$8*'Manufacturing Cost Calculations'!I72</f>
        <v>275.97022322592289</v>
      </c>
      <c r="J21" s="36">
        <f ca="1">J$8*'Manufacturing Cost Calculations'!J72</f>
        <v>325.20374754143603</v>
      </c>
      <c r="K21" s="36">
        <f ca="1">K$8*'Manufacturing Cost Calculations'!K72</f>
        <v>373.62645034322844</v>
      </c>
      <c r="L21" s="36">
        <f ca="1">L$8*'Manufacturing Cost Calculations'!L72</f>
        <v>421.36663569395296</v>
      </c>
    </row>
    <row r="22" spans="1:12" x14ac:dyDescent="0.2">
      <c r="A22" s="6" t="s">
        <v>287</v>
      </c>
      <c r="D22" s="2"/>
      <c r="E22" s="2"/>
      <c r="F22" s="36">
        <f ca="1">F8*'Manufacturing Cost Calculations'!F77</f>
        <v>67.542513259068585</v>
      </c>
      <c r="G22" s="36">
        <f ca="1">G8*'Manufacturing Cost Calculations'!G77</f>
        <v>96.826721560859937</v>
      </c>
      <c r="H22" s="36">
        <f ca="1">H8*'Manufacturing Cost Calculations'!H77</f>
        <v>124.9368781317695</v>
      </c>
      <c r="I22" s="36">
        <f ca="1">I8*'Manufacturing Cost Calculations'!I77</f>
        <v>152.30782910632789</v>
      </c>
      <c r="J22" s="36">
        <f ca="1">J8*'Manufacturing Cost Calculations'!J77</f>
        <v>179.10798551970018</v>
      </c>
      <c r="K22" s="36">
        <f ca="1">K8*'Manufacturing Cost Calculations'!K77</f>
        <v>205.44527829817662</v>
      </c>
      <c r="L22" s="36">
        <f ca="1">L8*'Manufacturing Cost Calculations'!L77</f>
        <v>231.39456519343815</v>
      </c>
    </row>
    <row r="23" spans="1:12" x14ac:dyDescent="0.2">
      <c r="A23" s="6" t="s">
        <v>288</v>
      </c>
      <c r="D23" s="2"/>
      <c r="E23" s="2"/>
      <c r="F23" s="36">
        <f ca="1">F8*('Manufacturing Cost Calculations'!F73+'Manufacturing Cost Calculations'!F74+'Manufacturing Cost Calculations'!F75+'Manufacturing Cost Calculations'!F78+'Manufacturing Cost Calculations'!F79)</f>
        <v>14.231035022447761</v>
      </c>
      <c r="G23" s="36">
        <f ca="1">G8*('Manufacturing Cost Calculations'!G73+'Manufacturing Cost Calculations'!G74+'Manufacturing Cost Calculations'!G75+'Manufacturing Cost Calculations'!G78+'Manufacturing Cost Calculations'!G79)</f>
        <v>21.356215763611306</v>
      </c>
      <c r="H23" s="36">
        <f ca="1">H8*('Manufacturing Cost Calculations'!H73+'Manufacturing Cost Calculations'!H74+'Manufacturing Cost Calculations'!H75+'Manufacturing Cost Calculations'!H78+'Manufacturing Cost Calculations'!H79)</f>
        <v>28.458001891036815</v>
      </c>
      <c r="I23" s="36">
        <f ca="1">I8*('Manufacturing Cost Calculations'!I73+'Manufacturing Cost Calculations'!I74+'Manufacturing Cost Calculations'!I75+'Manufacturing Cost Calculations'!I78+'Manufacturing Cost Calculations'!I79)</f>
        <v>35.558916129361812</v>
      </c>
      <c r="J23" s="36">
        <f ca="1">J8*('Manufacturing Cost Calculations'!J73+'Manufacturing Cost Calculations'!J74+'Manufacturing Cost Calculations'!J75+'Manufacturing Cost Calculations'!J78+'Manufacturing Cost Calculations'!J79)</f>
        <v>42.659514940641337</v>
      </c>
      <c r="K23" s="36">
        <f ca="1">K8*('Manufacturing Cost Calculations'!K73+'Manufacturing Cost Calculations'!K74+'Manufacturing Cost Calculations'!K75+'Manufacturing Cost Calculations'!K78+'Manufacturing Cost Calculations'!K79)</f>
        <v>49.760127680789928</v>
      </c>
      <c r="L23" s="36">
        <f ca="1">L8*('Manufacturing Cost Calculations'!L73+'Manufacturing Cost Calculations'!L74+'Manufacturing Cost Calculations'!L75+'Manufacturing Cost Calculations'!L78+'Manufacturing Cost Calculations'!L79)</f>
        <v>56.860967997927425</v>
      </c>
    </row>
    <row r="24" spans="1:12" x14ac:dyDescent="0.2">
      <c r="A24" s="6" t="s">
        <v>289</v>
      </c>
      <c r="D24" s="2"/>
      <c r="E24" s="2"/>
      <c r="F24" s="36">
        <f ca="1">F8*'Manufacturing Cost Calculations'!F80</f>
        <v>12.134506989409619</v>
      </c>
      <c r="G24" s="36">
        <f ca="1">G8*'Manufacturing Cost Calculations'!G80</f>
        <v>14.67068285000409</v>
      </c>
      <c r="H24" s="36">
        <f ca="1">H8*'Manufacturing Cost Calculations'!H80</f>
        <v>19.391678130153739</v>
      </c>
      <c r="I24" s="36">
        <f ca="1">I8*'Manufacturing Cost Calculations'!I80</f>
        <v>24.095790545346933</v>
      </c>
      <c r="J24" s="36">
        <f ca="1">J8*'Manufacturing Cost Calculations'!J80</f>
        <v>28.788107309059498</v>
      </c>
      <c r="K24" s="36">
        <f ca="1">K8*'Manufacturing Cost Calculations'!K80</f>
        <v>33.471651142493499</v>
      </c>
      <c r="L24" s="36">
        <f ca="1">L8*'Manufacturing Cost Calculations'!L80</f>
        <v>38.148387006770108</v>
      </c>
    </row>
    <row r="25" spans="1:12" x14ac:dyDescent="0.2">
      <c r="A25" s="6" t="s">
        <v>290</v>
      </c>
      <c r="D25" s="2"/>
      <c r="E25" s="2"/>
      <c r="F25" s="36">
        <f ca="1">F8*'Manufacturing Cost Calculations'!F81</f>
        <v>52.403127122419768</v>
      </c>
      <c r="G25" s="36">
        <f ca="1">G8*'Manufacturing Cost Calculations'!G81</f>
        <v>63.335829101560051</v>
      </c>
      <c r="H25" s="36">
        <f ca="1">H8*'Manufacturing Cost Calculations'!H81</f>
        <v>83.348030991681696</v>
      </c>
      <c r="I25" s="36">
        <f ca="1">I8*'Manufacturing Cost Calculations'!I81</f>
        <v>103.25324632427478</v>
      </c>
      <c r="J25" s="36">
        <f ca="1">J8*'Manufacturing Cost Calculations'!J81</f>
        <v>123.08329086509025</v>
      </c>
      <c r="K25" s="36">
        <f ca="1">K8*'Manufacturing Cost Calculations'!K81</f>
        <v>142.85706318035133</v>
      </c>
      <c r="L25" s="36">
        <f ca="1">L8*'Manufacturing Cost Calculations'!L81</f>
        <v>162.58686960995976</v>
      </c>
    </row>
    <row r="26" spans="1:12" x14ac:dyDescent="0.2">
      <c r="A26" s="6" t="s">
        <v>123</v>
      </c>
      <c r="D26" s="2"/>
      <c r="E26" s="2"/>
      <c r="F26" s="36">
        <f ca="1">F8*'Manufacturing Cost Calculations'!F82</f>
        <v>90.356699902997377</v>
      </c>
      <c r="G26" s="36">
        <f ca="1">G8*'Manufacturing Cost Calculations'!G82</f>
        <v>109.00256779899375</v>
      </c>
      <c r="H26" s="36">
        <f ca="1">H8*'Manufacturing Cost Calculations'!H82</f>
        <v>143.8947819676612</v>
      </c>
      <c r="I26" s="36">
        <f ca="1">I8*'Manufacturing Cost Calculations'!I82</f>
        <v>178.64719354669839</v>
      </c>
      <c r="J26" s="36">
        <f ca="1">J8*'Manufacturing Cost Calculations'!J82</f>
        <v>213.30175099151575</v>
      </c>
      <c r="K26" s="36">
        <f ca="1">K8*'Manufacturing Cost Calculations'!K82</f>
        <v>247.88337357594884</v>
      </c>
      <c r="L26" s="36">
        <f ca="1">L8*'Manufacturing Cost Calculations'!L82</f>
        <v>282.40827656773513</v>
      </c>
    </row>
    <row r="27" spans="1:12" x14ac:dyDescent="0.2">
      <c r="A27" s="6" t="s">
        <v>124</v>
      </c>
      <c r="D27" s="2"/>
      <c r="E27" s="2"/>
      <c r="F27" s="36">
        <f ca="1">F8*'Manufacturing Cost Calculations'!F83</f>
        <v>58.585734509761338</v>
      </c>
      <c r="G27" s="36">
        <f ca="1">G8*'Manufacturing Cost Calculations'!G83</f>
        <v>84.671883130021484</v>
      </c>
      <c r="H27" s="36">
        <f ca="1">H8*'Manufacturing Cost Calculations'!H83</f>
        <v>112.58883539336199</v>
      </c>
      <c r="I27" s="36">
        <f ca="1">I8*'Manufacturing Cost Calculations'!I83</f>
        <v>140.47819323635258</v>
      </c>
      <c r="J27" s="36">
        <f ca="1">J8*'Manufacturing Cost Calculations'!J83</f>
        <v>168.34913734505511</v>
      </c>
      <c r="K27" s="36">
        <f ca="1">K8*'Manufacturing Cost Calculations'!K83</f>
        <v>196.20711729362884</v>
      </c>
      <c r="L27" s="36">
        <f ca="1">L8*'Manufacturing Cost Calculations'!L83</f>
        <v>224.0556784622222</v>
      </c>
    </row>
    <row r="28" spans="1:12" x14ac:dyDescent="0.2">
      <c r="A28" s="44" t="s">
        <v>291</v>
      </c>
      <c r="D28" s="2"/>
      <c r="E28" s="2"/>
      <c r="F28" s="36">
        <f ca="1">F8*('Manufacturing Cost Calculations'!F84+'Manufacturing Cost Calculations'!F85+'Manufacturing Cost Calculations'!F86)</f>
        <v>72.694346666458273</v>
      </c>
      <c r="G28" s="36">
        <f ca="1">G8*('Manufacturing Cost Calculations'!G84+'Manufacturing Cost Calculations'!G85+'Manufacturing Cost Calculations'!G86)</f>
        <v>75.7535266498612</v>
      </c>
      <c r="H28" s="36">
        <f ca="1">H8*('Manufacturing Cost Calculations'!H84+'Manufacturing Cost Calculations'!H85+'Manufacturing Cost Calculations'!H86)</f>
        <v>78.725152058643602</v>
      </c>
      <c r="I28" s="36">
        <f ca="1">I8*('Manufacturing Cost Calculations'!I84+'Manufacturing Cost Calculations'!I85+'Manufacturing Cost Calculations'!I86)</f>
        <v>81.465347243170058</v>
      </c>
      <c r="J28" s="36">
        <f ca="1">J8*('Manufacturing Cost Calculations'!J84+'Manufacturing Cost Calculations'!J85+'Manufacturing Cost Calculations'!J86)</f>
        <v>84.041213612723141</v>
      </c>
      <c r="K28" s="36">
        <f ca="1">K8*('Manufacturing Cost Calculations'!K84+'Manufacturing Cost Calculations'!K85+'Manufacturing Cost Calculations'!K86)</f>
        <v>86.492604632888572</v>
      </c>
      <c r="L28" s="36">
        <f ca="1">L8*('Manufacturing Cost Calculations'!L84+'Manufacturing Cost Calculations'!L85+'Manufacturing Cost Calculations'!L86)</f>
        <v>88.845503256705811</v>
      </c>
    </row>
    <row r="29" spans="1:12" x14ac:dyDescent="0.2">
      <c r="A29" s="88" t="s">
        <v>292</v>
      </c>
      <c r="D29" s="2"/>
      <c r="E29" s="3"/>
      <c r="F29" s="36">
        <f ca="1">F9*'Manufacturing Cost Calculations'!F97</f>
        <v>281.23498699781061</v>
      </c>
      <c r="G29" s="36">
        <f ca="1">G9*'Manufacturing Cost Calculations'!G97</f>
        <v>289.28190880305641</v>
      </c>
      <c r="H29" s="36">
        <f ca="1">H9*'Manufacturing Cost Calculations'!H97</f>
        <v>297.47572514289487</v>
      </c>
      <c r="I29" s="36">
        <f ca="1">I9*'Manufacturing Cost Calculations'!I97</f>
        <v>305.61133588040116</v>
      </c>
      <c r="J29" s="36">
        <f ca="1">J9*'Manufacturing Cost Calculations'!J97</f>
        <v>313.70221058954303</v>
      </c>
      <c r="K29" s="36">
        <f ca="1">K9*'Manufacturing Cost Calculations'!K97</f>
        <v>321.75821088239314</v>
      </c>
      <c r="L29" s="36">
        <f ca="1">L9*'Manufacturing Cost Calculations'!L97</f>
        <v>329.78633371397217</v>
      </c>
    </row>
    <row r="30" spans="1:12" x14ac:dyDescent="0.2">
      <c r="A30" s="6" t="s">
        <v>450</v>
      </c>
      <c r="F30" s="211">
        <f ca="1">'Manufacturing Cost Calculations'!F108</f>
        <v>258.16798080938565</v>
      </c>
      <c r="G30" s="211">
        <f ca="1">'Manufacturing Cost Calculations'!G108</f>
        <v>261.39457254041207</v>
      </c>
      <c r="H30" s="211">
        <f ca="1">'Manufacturing Cost Calculations'!H108</f>
        <v>282.81264588696524</v>
      </c>
      <c r="I30" s="211">
        <f ca="1">'Manufacturing Cost Calculations'!I108</f>
        <v>289.24772377895363</v>
      </c>
      <c r="J30" s="211">
        <f ca="1">'Manufacturing Cost Calculations'!J108</f>
        <v>294.97587667044053</v>
      </c>
      <c r="K30" s="211">
        <f ca="1">'Manufacturing Cost Calculations'!K108</f>
        <v>321.65212706206734</v>
      </c>
      <c r="L30" s="211">
        <f ca="1">'Manufacturing Cost Calculations'!L108</f>
        <v>328.24463994707344</v>
      </c>
    </row>
    <row r="31" spans="1:12" x14ac:dyDescent="0.2">
      <c r="A31" s="6" t="s">
        <v>498</v>
      </c>
      <c r="E31" s="4"/>
      <c r="F31" s="36">
        <f t="shared" ref="F31:K31" ca="1" si="0">SUM(F21:F30)</f>
        <v>1028.1562303283472</v>
      </c>
      <c r="G31" s="36">
        <f t="shared" ca="1" si="0"/>
        <v>1190.5295072948168</v>
      </c>
      <c r="H31" s="36">
        <f t="shared" ca="1" si="0"/>
        <v>1397.3739054076527</v>
      </c>
      <c r="I31" s="36">
        <f t="shared" ca="1" si="0"/>
        <v>1586.6357990168103</v>
      </c>
      <c r="J31" s="36">
        <f t="shared" ca="1" si="0"/>
        <v>1773.2128353852049</v>
      </c>
      <c r="K31" s="36">
        <f t="shared" ca="1" si="0"/>
        <v>1979.1540040919665</v>
      </c>
      <c r="L31" s="36">
        <f t="shared" ref="L31" ca="1" si="1">SUM(L21:L30)</f>
        <v>2163.6978574497571</v>
      </c>
    </row>
    <row r="32" spans="1:12" x14ac:dyDescent="0.2">
      <c r="A32" s="6" t="s">
        <v>475</v>
      </c>
      <c r="E32" s="4"/>
      <c r="F32" s="36">
        <f>'Manufacturing Cost Calculations'!F116</f>
        <v>395</v>
      </c>
      <c r="G32" s="36">
        <f>'Manufacturing Cost Calculations'!G116</f>
        <v>395</v>
      </c>
      <c r="H32" s="36">
        <f>'Manufacturing Cost Calculations'!H116</f>
        <v>395</v>
      </c>
      <c r="I32" s="36">
        <f>'Manufacturing Cost Calculations'!I116</f>
        <v>395</v>
      </c>
      <c r="J32" s="36">
        <f>'Manufacturing Cost Calculations'!J116</f>
        <v>395</v>
      </c>
      <c r="K32" s="36">
        <f>'Manufacturing Cost Calculations'!K116</f>
        <v>395</v>
      </c>
      <c r="L32" s="36">
        <f>'Manufacturing Cost Calculations'!L116</f>
        <v>395</v>
      </c>
    </row>
    <row r="33" spans="1:12" x14ac:dyDescent="0.2">
      <c r="A33" s="6" t="s">
        <v>525</v>
      </c>
      <c r="E33" s="4"/>
      <c r="F33" s="37">
        <f ca="1">'Manufacturing Cost Calculations'!F120</f>
        <v>120</v>
      </c>
      <c r="G33" s="37">
        <f ca="1">'Manufacturing Cost Calculations'!G120</f>
        <v>160</v>
      </c>
      <c r="H33" s="37">
        <f ca="1">'Manufacturing Cost Calculations'!H120</f>
        <v>160</v>
      </c>
      <c r="I33" s="37">
        <f ca="1">'Manufacturing Cost Calculations'!I120</f>
        <v>160</v>
      </c>
      <c r="J33" s="37">
        <f ca="1">'Manufacturing Cost Calculations'!J120</f>
        <v>160</v>
      </c>
      <c r="K33" s="37">
        <f ca="1">'Manufacturing Cost Calculations'!K120</f>
        <v>120</v>
      </c>
      <c r="L33" s="37">
        <f ca="1">'Manufacturing Cost Calculations'!L120</f>
        <v>120</v>
      </c>
    </row>
    <row r="34" spans="1:12" x14ac:dyDescent="0.2">
      <c r="A34" s="4" t="s">
        <v>505</v>
      </c>
      <c r="E34" s="4"/>
      <c r="F34" s="37"/>
      <c r="G34" s="37"/>
      <c r="H34" s="37"/>
      <c r="I34" s="37"/>
      <c r="J34" s="37"/>
      <c r="K34" s="37"/>
      <c r="L34" s="37"/>
    </row>
    <row r="35" spans="1:12" x14ac:dyDescent="0.2">
      <c r="A35" s="6" t="s">
        <v>499</v>
      </c>
      <c r="E35" s="4"/>
      <c r="F35" s="214">
        <f ca="1">'Manufacturing Cost Calculations'!F134+'Manufacturing Cost Calculations'!F139+'Manufacturing Cost Calculations'!F146+'Manufacturing Cost Calculations'!F152+'Manufacturing Cost Calculations'!F157+'Manufacturing Cost Calculations'!F163+'Manufacturing Cost Calculations'!F168+'Manufacturing Cost Calculations'!F173+'Manufacturing Cost Calculations'!F178+'Manufacturing Cost Calculations'!F183</f>
        <v>165393.44589024875</v>
      </c>
      <c r="G35" s="214">
        <f ca="1">'Manufacturing Cost Calculations'!G134+'Manufacturing Cost Calculations'!G139+'Manufacturing Cost Calculations'!G146+'Manufacturing Cost Calculations'!G152+'Manufacturing Cost Calculations'!G157+'Manufacturing Cost Calculations'!G163+'Manufacturing Cost Calculations'!G168+'Manufacturing Cost Calculations'!G173+'Manufacturing Cost Calculations'!G178+'Manufacturing Cost Calculations'!G183</f>
        <v>187176.60628344357</v>
      </c>
      <c r="H35" s="214">
        <f ca="1">'Manufacturing Cost Calculations'!H134+'Manufacturing Cost Calculations'!H139+'Manufacturing Cost Calculations'!H146+'Manufacturing Cost Calculations'!H152+'Manufacturing Cost Calculations'!H157+'Manufacturing Cost Calculations'!H163+'Manufacturing Cost Calculations'!H168+'Manufacturing Cost Calculations'!H173+'Manufacturing Cost Calculations'!H178+'Manufacturing Cost Calculations'!H183</f>
        <v>217734.83162592707</v>
      </c>
      <c r="I35" s="214">
        <f ca="1">'Manufacturing Cost Calculations'!I134+'Manufacturing Cost Calculations'!I139+'Manufacturing Cost Calculations'!I146+'Manufacturing Cost Calculations'!I152+'Manufacturing Cost Calculations'!I157+'Manufacturing Cost Calculations'!I163+'Manufacturing Cost Calculations'!I168+'Manufacturing Cost Calculations'!I173+'Manufacturing Cost Calculations'!I178+'Manufacturing Cost Calculations'!I183</f>
        <v>244926.72887150513</v>
      </c>
      <c r="J35" s="214">
        <f ca="1">'Manufacturing Cost Calculations'!J134+'Manufacturing Cost Calculations'!J139+'Manufacturing Cost Calculations'!J146+'Manufacturing Cost Calculations'!J152+'Manufacturing Cost Calculations'!J157+'Manufacturing Cost Calculations'!J163+'Manufacturing Cost Calculations'!J168+'Manufacturing Cost Calculations'!J173+'Manufacturing Cost Calculations'!J178+'Manufacturing Cost Calculations'!J183</f>
        <v>269714.9944198326</v>
      </c>
      <c r="K35" s="214">
        <f ca="1">'Manufacturing Cost Calculations'!K134+'Manufacturing Cost Calculations'!K139+'Manufacturing Cost Calculations'!K146+'Manufacturing Cost Calculations'!K152+'Manufacturing Cost Calculations'!K157+'Manufacturing Cost Calculations'!K163+'Manufacturing Cost Calculations'!K168+'Manufacturing Cost Calculations'!K173+'Manufacturing Cost Calculations'!K178+'Manufacturing Cost Calculations'!K183</f>
        <v>292673.89740022353</v>
      </c>
      <c r="L35" s="214">
        <f ca="1">'Manufacturing Cost Calculations'!L134+'Manufacturing Cost Calculations'!L139+'Manufacturing Cost Calculations'!L146+'Manufacturing Cost Calculations'!L152+'Manufacturing Cost Calculations'!L157+'Manufacturing Cost Calculations'!L163+'Manufacturing Cost Calculations'!L168+'Manufacturing Cost Calculations'!L173+'Manufacturing Cost Calculations'!L178+'Manufacturing Cost Calculations'!L183</f>
        <v>314178.94377452059</v>
      </c>
    </row>
    <row r="36" spans="1:12" x14ac:dyDescent="0.2">
      <c r="A36" s="6" t="s">
        <v>500</v>
      </c>
      <c r="E36" s="4"/>
      <c r="F36" s="214">
        <f ca="1">'Manufacturing Cost Calculations'!F195+'Manufacturing Cost Calculations'!F200+'Manufacturing Cost Calculations'!F205+'Manufacturing Cost Calculations'!F210+'Manufacturing Cost Calculations'!F215</f>
        <v>180989.11250960766</v>
      </c>
      <c r="G36" s="214">
        <f ca="1">'Manufacturing Cost Calculations'!G195+'Manufacturing Cost Calculations'!G200+'Manufacturing Cost Calculations'!G205+'Manufacturing Cost Calculations'!G210+'Manufacturing Cost Calculations'!G215</f>
        <v>181016.82244193403</v>
      </c>
      <c r="H36" s="214">
        <f ca="1">'Manufacturing Cost Calculations'!H195+'Manufacturing Cost Calculations'!H200+'Manufacturing Cost Calculations'!H205+'Manufacturing Cost Calculations'!H210+'Manufacturing Cost Calculations'!H215</f>
        <v>181062.17682296765</v>
      </c>
      <c r="I36" s="214">
        <f ca="1">'Manufacturing Cost Calculations'!I195+'Manufacturing Cost Calculations'!I200+'Manufacturing Cost Calculations'!I205+'Manufacturing Cost Calculations'!I210+'Manufacturing Cost Calculations'!I215</f>
        <v>181102.84424161003</v>
      </c>
      <c r="J36" s="214">
        <f ca="1">'Manufacturing Cost Calculations'!J195+'Manufacturing Cost Calculations'!J200+'Manufacturing Cost Calculations'!J205+'Manufacturing Cost Calculations'!J210+'Manufacturing Cost Calculations'!J215</f>
        <v>181140.09837421254</v>
      </c>
      <c r="K36" s="214">
        <f ca="1">'Manufacturing Cost Calculations'!K195+'Manufacturing Cost Calculations'!K200+'Manufacturing Cost Calculations'!K205+'Manufacturing Cost Calculations'!K210+'Manufacturing Cost Calculations'!K215</f>
        <v>181174.71353822234</v>
      </c>
      <c r="L36" s="214">
        <f ca="1">'Manufacturing Cost Calculations'!L195+'Manufacturing Cost Calculations'!L200+'Manufacturing Cost Calculations'!L205+'Manufacturing Cost Calculations'!L210+'Manufacturing Cost Calculations'!L215</f>
        <v>181207.20390195108</v>
      </c>
    </row>
    <row r="37" spans="1:12" x14ac:dyDescent="0.2">
      <c r="A37" s="6" t="s">
        <v>501</v>
      </c>
      <c r="E37" s="4"/>
      <c r="F37" s="214">
        <f>'Manufacturing Cost Calculations'!F221+'Manufacturing Cost Calculations'!F226+'Manufacturing Cost Calculations'!F231</f>
        <v>124322.24891712813</v>
      </c>
      <c r="G37" s="214">
        <f>'Manufacturing Cost Calculations'!G221+'Manufacturing Cost Calculations'!G226+'Manufacturing Cost Calculations'!G231</f>
        <v>124322.24891712813</v>
      </c>
      <c r="H37" s="214">
        <f>'Manufacturing Cost Calculations'!H221+'Manufacturing Cost Calculations'!H226+'Manufacturing Cost Calculations'!H231</f>
        <v>124322.24891712813</v>
      </c>
      <c r="I37" s="214">
        <f>'Manufacturing Cost Calculations'!I221+'Manufacturing Cost Calculations'!I226+'Manufacturing Cost Calculations'!I231</f>
        <v>124322.24891712813</v>
      </c>
      <c r="J37" s="214">
        <f>'Manufacturing Cost Calculations'!J221+'Manufacturing Cost Calculations'!J226+'Manufacturing Cost Calculations'!J231</f>
        <v>124322.24891712813</v>
      </c>
      <c r="K37" s="214">
        <f>'Manufacturing Cost Calculations'!K221+'Manufacturing Cost Calculations'!K226+'Manufacturing Cost Calculations'!K231</f>
        <v>124322.24891712813</v>
      </c>
      <c r="L37" s="214">
        <f>'Manufacturing Cost Calculations'!L221+'Manufacturing Cost Calculations'!L226+'Manufacturing Cost Calculations'!L231</f>
        <v>124322.24891712813</v>
      </c>
    </row>
    <row r="38" spans="1:12" x14ac:dyDescent="0.2">
      <c r="A38" s="6" t="s">
        <v>502</v>
      </c>
      <c r="E38" s="4"/>
      <c r="F38" s="214">
        <f>'Manufacturing Cost Calculations'!F236+'Manufacturing Cost Calculations'!F242</f>
        <v>109288.31593541919</v>
      </c>
      <c r="G38" s="214">
        <f>'Manufacturing Cost Calculations'!G236+'Manufacturing Cost Calculations'!G242</f>
        <v>109288.31593541919</v>
      </c>
      <c r="H38" s="214">
        <f>'Manufacturing Cost Calculations'!H236+'Manufacturing Cost Calculations'!H242</f>
        <v>109288.31593541919</v>
      </c>
      <c r="I38" s="214">
        <f>'Manufacturing Cost Calculations'!I236+'Manufacturing Cost Calculations'!I242</f>
        <v>109288.31593541919</v>
      </c>
      <c r="J38" s="214">
        <f>'Manufacturing Cost Calculations'!J236+'Manufacturing Cost Calculations'!J242</f>
        <v>109288.31593541919</v>
      </c>
      <c r="K38" s="214">
        <f>'Manufacturing Cost Calculations'!K236+'Manufacturing Cost Calculations'!K242</f>
        <v>109288.31593541919</v>
      </c>
      <c r="L38" s="214">
        <f>'Manufacturing Cost Calculations'!L236+'Manufacturing Cost Calculations'!L242</f>
        <v>109288.31593541919</v>
      </c>
    </row>
    <row r="39" spans="1:12" x14ac:dyDescent="0.2">
      <c r="A39" s="6" t="s">
        <v>507</v>
      </c>
      <c r="E39" s="4"/>
      <c r="F39" s="214">
        <f>'Manufacturing Cost Calculations'!F247</f>
        <v>50024.929887927006</v>
      </c>
      <c r="G39" s="214">
        <f>'Manufacturing Cost Calculations'!G247</f>
        <v>50024.929887927006</v>
      </c>
      <c r="H39" s="214">
        <f>'Manufacturing Cost Calculations'!H247</f>
        <v>50024.929887927006</v>
      </c>
      <c r="I39" s="214">
        <f>'Manufacturing Cost Calculations'!I247</f>
        <v>50024.929887927006</v>
      </c>
      <c r="J39" s="214">
        <f>'Manufacturing Cost Calculations'!J247</f>
        <v>50024.929887927006</v>
      </c>
      <c r="K39" s="214">
        <f>'Manufacturing Cost Calculations'!K247</f>
        <v>50024.929887927006</v>
      </c>
      <c r="L39" s="214">
        <f>'Manufacturing Cost Calculations'!L247</f>
        <v>50024.929887927006</v>
      </c>
    </row>
    <row r="40" spans="1:12" x14ac:dyDescent="0.2">
      <c r="A40" s="6" t="s">
        <v>503</v>
      </c>
      <c r="E40" s="4"/>
      <c r="F40" s="214">
        <f ca="1">'Manufacturing Cost Calculations'!F127+'Manufacturing Cost Calculations'!F252</f>
        <v>30090.684106322777</v>
      </c>
      <c r="G40" s="214">
        <f ca="1">'Manufacturing Cost Calculations'!G127+'Manufacturing Cost Calculations'!G252</f>
        <v>36339.69909673783</v>
      </c>
      <c r="H40" s="214">
        <f ca="1">'Manufacturing Cost Calculations'!H127+'Manufacturing Cost Calculations'!H252</f>
        <v>41554.949972008217</v>
      </c>
      <c r="I40" s="214">
        <f ca="1">'Manufacturing Cost Calculations'!I127+'Manufacturing Cost Calculations'!I252</f>
        <v>46116.20132563349</v>
      </c>
      <c r="J40" s="214">
        <f ca="1">'Manufacturing Cost Calculations'!J127+'Manufacturing Cost Calculations'!J252</f>
        <v>50216.364891590318</v>
      </c>
      <c r="K40" s="214">
        <f ca="1">'Manufacturing Cost Calculations'!K127+'Manufacturing Cost Calculations'!K252</f>
        <v>53969.216034300262</v>
      </c>
      <c r="L40" s="214">
        <f ca="1">'Manufacturing Cost Calculations'!L127+'Manufacturing Cost Calculations'!L252</f>
        <v>57448.457035763407</v>
      </c>
    </row>
    <row r="41" spans="1:12" x14ac:dyDescent="0.2">
      <c r="A41" s="6" t="s">
        <v>504</v>
      </c>
      <c r="E41" s="4"/>
      <c r="F41" s="214">
        <f ca="1">'Manufacturing Cost Calculations'!F188</f>
        <v>19534.781946880179</v>
      </c>
      <c r="G41" s="214">
        <f ca="1">'Manufacturing Cost Calculations'!G188</f>
        <v>23925.124003194494</v>
      </c>
      <c r="H41" s="214">
        <f ca="1">'Manufacturing Cost Calculations'!H188</f>
        <v>27626.353567279035</v>
      </c>
      <c r="I41" s="214">
        <f ca="1">'Manufacturing Cost Calculations'!I188</f>
        <v>30887.202273439896</v>
      </c>
      <c r="J41" s="214">
        <f ca="1">'Manufacturing Cost Calculations'!J188</f>
        <v>33835.23484677574</v>
      </c>
      <c r="K41" s="214">
        <f ca="1">'Manufacturing Cost Calculations'!K188</f>
        <v>36546.230585281206</v>
      </c>
      <c r="L41" s="214">
        <f ca="1">'Manufacturing Cost Calculations'!L188</f>
        <v>39069.563893760358</v>
      </c>
    </row>
    <row r="42" spans="1:12" x14ac:dyDescent="0.2">
      <c r="A42" s="82" t="s">
        <v>13</v>
      </c>
      <c r="E42" s="4"/>
      <c r="F42" s="214">
        <f t="shared" ref="F42:K42" ca="1" si="2">SUM(F35:F41)</f>
        <v>679643.51919353381</v>
      </c>
      <c r="G42" s="214">
        <f t="shared" ca="1" si="2"/>
        <v>712093.74656578421</v>
      </c>
      <c r="H42" s="214">
        <f t="shared" ca="1" si="2"/>
        <v>751613.8067286564</v>
      </c>
      <c r="I42" s="214">
        <f t="shared" ca="1" si="2"/>
        <v>786668.47145266272</v>
      </c>
      <c r="J42" s="214">
        <f t="shared" ca="1" si="2"/>
        <v>818542.18727288558</v>
      </c>
      <c r="K42" s="214">
        <f t="shared" ca="1" si="2"/>
        <v>847999.55229850172</v>
      </c>
      <c r="L42" s="214">
        <f t="shared" ref="L42" ca="1" si="3">SUM(L35:L41)</f>
        <v>875539.66334646975</v>
      </c>
    </row>
    <row r="43" spans="1:12" ht="15" x14ac:dyDescent="0.25">
      <c r="A43" s="259" t="s">
        <v>728</v>
      </c>
      <c r="E43" s="4"/>
      <c r="F43" s="37"/>
      <c r="G43" s="37"/>
      <c r="H43" s="37"/>
      <c r="I43" s="37"/>
      <c r="J43" s="37"/>
      <c r="K43" s="37"/>
      <c r="L43" s="37"/>
    </row>
    <row r="44" spans="1:12" x14ac:dyDescent="0.2">
      <c r="A44" s="6" t="s">
        <v>499</v>
      </c>
      <c r="E44" s="4"/>
      <c r="F44" s="214">
        <f ca="1">'Manufacturing Cost Calculations'!F135+'Manufacturing Cost Calculations'!F140+'Manufacturing Cost Calculations'!F147+'Manufacturing Cost Calculations'!F153+'Manufacturing Cost Calculations'!F158+'Manufacturing Cost Calculations'!F164+'Manufacturing Cost Calculations'!F169+'Manufacturing Cost Calculations'!F174+'Manufacturing Cost Calculations'!F179+'Manufacturing Cost Calculations'!F184</f>
        <v>24.878240550117244</v>
      </c>
      <c r="G44" s="214">
        <f ca="1">'Manufacturing Cost Calculations'!G135+'Manufacturing Cost Calculations'!G140+'Manufacturing Cost Calculations'!G147+'Manufacturing Cost Calculations'!G153+'Manufacturing Cost Calculations'!G158+'Manufacturing Cost Calculations'!G164+'Manufacturing Cost Calculations'!G169+'Manufacturing Cost Calculations'!G174+'Manufacturing Cost Calculations'!G179+'Manufacturing Cost Calculations'!G184</f>
        <v>30.4699318009527</v>
      </c>
      <c r="H44" s="214">
        <f ca="1">'Manufacturing Cost Calculations'!H135+'Manufacturing Cost Calculations'!H140+'Manufacturing Cost Calculations'!H147+'Manufacturing Cost Calculations'!H153+'Manufacturing Cost Calculations'!H158+'Manufacturing Cost Calculations'!H164+'Manufacturing Cost Calculations'!H169+'Manufacturing Cost Calculations'!H174+'Manufacturing Cost Calculations'!H179+'Manufacturing Cost Calculations'!H184</f>
        <v>37.617913573336757</v>
      </c>
      <c r="I44" s="214">
        <f ca="1">'Manufacturing Cost Calculations'!I135+'Manufacturing Cost Calculations'!I140+'Manufacturing Cost Calculations'!I147+'Manufacturing Cost Calculations'!I153+'Manufacturing Cost Calculations'!I158+'Manufacturing Cost Calculations'!I164+'Manufacturing Cost Calculations'!I169+'Manufacturing Cost Calculations'!I174+'Manufacturing Cost Calculations'!I179+'Manufacturing Cost Calculations'!I184</f>
        <v>44.313709093278938</v>
      </c>
      <c r="J44" s="214">
        <f ca="1">'Manufacturing Cost Calculations'!J135+'Manufacturing Cost Calculations'!J140+'Manufacturing Cost Calculations'!J147+'Manufacturing Cost Calculations'!J153+'Manufacturing Cost Calculations'!J158+'Manufacturing Cost Calculations'!J164+'Manufacturing Cost Calculations'!J169+'Manufacturing Cost Calculations'!J174+'Manufacturing Cost Calculations'!J179+'Manufacturing Cost Calculations'!J184</f>
        <v>50.671588739838654</v>
      </c>
      <c r="K44" s="214">
        <f ca="1">'Manufacturing Cost Calculations'!K135+'Manufacturing Cost Calculations'!K140+'Manufacturing Cost Calculations'!K147+'Manufacturing Cost Calculations'!K153+'Manufacturing Cost Calculations'!K158+'Manufacturing Cost Calculations'!K164+'Manufacturing Cost Calculations'!K169+'Manufacturing Cost Calculations'!K174+'Manufacturing Cost Calculations'!K179+'Manufacturing Cost Calculations'!K184</f>
        <v>56.762654369901703</v>
      </c>
      <c r="L44" s="214">
        <f ca="1">'Manufacturing Cost Calculations'!L135+'Manufacturing Cost Calculations'!L140+'Manufacturing Cost Calculations'!L147+'Manufacturing Cost Calculations'!L153+'Manufacturing Cost Calculations'!L158+'Manufacturing Cost Calculations'!L164+'Manufacturing Cost Calculations'!L169+'Manufacturing Cost Calculations'!L174+'Manufacturing Cost Calculations'!L179+'Manufacturing Cost Calculations'!L184</f>
        <v>62.635028096565975</v>
      </c>
    </row>
    <row r="45" spans="1:12" x14ac:dyDescent="0.2">
      <c r="A45" s="6" t="s">
        <v>500</v>
      </c>
      <c r="E45" s="4"/>
      <c r="F45" s="214">
        <f ca="1">'Manufacturing Cost Calculations'!F196+'Manufacturing Cost Calculations'!F201+'Manufacturing Cost Calculations'!F206+'Manufacturing Cost Calculations'!F211+'Manufacturing Cost Calculations'!F216</f>
        <v>27.987623526574247</v>
      </c>
      <c r="G45" s="214">
        <f ca="1">'Manufacturing Cost Calculations'!G196+'Manufacturing Cost Calculations'!G201+'Manufacturing Cost Calculations'!G206+'Manufacturing Cost Calculations'!G211+'Manufacturing Cost Calculations'!G216</f>
        <v>28.532246118993598</v>
      </c>
      <c r="H45" s="214">
        <f ca="1">'Manufacturing Cost Calculations'!H196+'Manufacturing Cost Calculations'!H201+'Manufacturing Cost Calculations'!H206+'Manufacturing Cost Calculations'!H211+'Manufacturing Cost Calculations'!H216</f>
        <v>28.990983087140226</v>
      </c>
      <c r="I45" s="214">
        <f ca="1">'Manufacturing Cost Calculations'!I196+'Manufacturing Cost Calculations'!I201+'Manufacturing Cost Calculations'!I206+'Manufacturing Cost Calculations'!I211+'Manufacturing Cost Calculations'!I216</f>
        <v>29.378845925750412</v>
      </c>
      <c r="J45" s="214">
        <f ca="1">'Manufacturing Cost Calculations'!J196+'Manufacturing Cost Calculations'!J201+'Manufacturing Cost Calculations'!J206+'Manufacturing Cost Calculations'!J211+'Manufacturing Cost Calculations'!J216</f>
        <v>29.718341162238495</v>
      </c>
      <c r="K45" s="214">
        <f ca="1">'Manufacturing Cost Calculations'!K196+'Manufacturing Cost Calculations'!K201+'Manufacturing Cost Calculations'!K206+'Manufacturing Cost Calculations'!K211+'Manufacturing Cost Calculations'!K216</f>
        <v>30.022340732913094</v>
      </c>
      <c r="L45" s="214">
        <f ca="1">'Manufacturing Cost Calculations'!L196+'Manufacturing Cost Calculations'!L201+'Manufacturing Cost Calculations'!L206+'Manufacturing Cost Calculations'!L211+'Manufacturing Cost Calculations'!L216</f>
        <v>30.29897791939484</v>
      </c>
    </row>
    <row r="46" spans="1:12" x14ac:dyDescent="0.2">
      <c r="A46" s="6" t="s">
        <v>501</v>
      </c>
      <c r="E46" s="4"/>
      <c r="F46" s="214">
        <f ca="1">'Manufacturing Cost Calculations'!F222+'Manufacturing Cost Calculations'!F227+'Manufacturing Cost Calculations'!F232</f>
        <v>38.717527833170095</v>
      </c>
      <c r="G46" s="214">
        <f ca="1">'Manufacturing Cost Calculations'!G222+'Manufacturing Cost Calculations'!G227+'Manufacturing Cost Calculations'!G232</f>
        <v>42.526756507621513</v>
      </c>
      <c r="H46" s="214">
        <f ca="1">'Manufacturing Cost Calculations'!H222+'Manufacturing Cost Calculations'!H227+'Manufacturing Cost Calculations'!H232</f>
        <v>45.515438466544069</v>
      </c>
      <c r="I46" s="214">
        <f ca="1">'Manufacturing Cost Calculations'!I222+'Manufacturing Cost Calculations'!I227+'Manufacturing Cost Calculations'!I232</f>
        <v>48.018188334864014</v>
      </c>
      <c r="J46" s="214">
        <f ca="1">'Manufacturing Cost Calculations'!J222+'Manufacturing Cost Calculations'!J227+'Manufacturing Cost Calculations'!J232</f>
        <v>50.191390202755883</v>
      </c>
      <c r="K46" s="214">
        <f ca="1">'Manufacturing Cost Calculations'!K222+'Manufacturing Cost Calculations'!K227+'Manufacturing Cost Calculations'!K232</f>
        <v>52.124040202445045</v>
      </c>
      <c r="L46" s="214">
        <f ca="1">'Manufacturing Cost Calculations'!L222+'Manufacturing Cost Calculations'!L227+'Manufacturing Cost Calculations'!L232</f>
        <v>53.872131270830458</v>
      </c>
    </row>
    <row r="47" spans="1:12" x14ac:dyDescent="0.2">
      <c r="A47" s="6" t="s">
        <v>502</v>
      </c>
      <c r="E47" s="4"/>
      <c r="F47" s="214">
        <f>'Manufacturing Cost Calculations'!F237+'Manufacturing Cost Calculations'!F243</f>
        <v>16.674976629308993</v>
      </c>
      <c r="G47" s="214">
        <f>'Manufacturing Cost Calculations'!G237+'Manufacturing Cost Calculations'!G243</f>
        <v>16.674976629308993</v>
      </c>
      <c r="H47" s="214">
        <f>'Manufacturing Cost Calculations'!H237+'Manufacturing Cost Calculations'!H243</f>
        <v>16.674976629308993</v>
      </c>
      <c r="I47" s="214">
        <f>'Manufacturing Cost Calculations'!I237+'Manufacturing Cost Calculations'!I243</f>
        <v>16.674976629308993</v>
      </c>
      <c r="J47" s="214">
        <f>'Manufacturing Cost Calculations'!J237+'Manufacturing Cost Calculations'!J243</f>
        <v>16.674976629308993</v>
      </c>
      <c r="K47" s="214">
        <f>'Manufacturing Cost Calculations'!K237+'Manufacturing Cost Calculations'!K243</f>
        <v>16.674976629308993</v>
      </c>
      <c r="L47" s="214">
        <f>'Manufacturing Cost Calculations'!L237+'Manufacturing Cost Calculations'!L243</f>
        <v>16.674976629308993</v>
      </c>
    </row>
    <row r="48" spans="1:12" x14ac:dyDescent="0.2">
      <c r="A48" s="6" t="s">
        <v>507</v>
      </c>
      <c r="E48" s="4"/>
      <c r="F48" s="214">
        <f>'Manufacturing Cost Calculations'!F248</f>
        <v>3.4739534644393757</v>
      </c>
      <c r="G48" s="214">
        <f>'Manufacturing Cost Calculations'!G248</f>
        <v>3.4739534644393757</v>
      </c>
      <c r="H48" s="214">
        <f>'Manufacturing Cost Calculations'!H248</f>
        <v>3.4739534644393757</v>
      </c>
      <c r="I48" s="214">
        <f>'Manufacturing Cost Calculations'!I248</f>
        <v>3.4739534644393757</v>
      </c>
      <c r="J48" s="214">
        <f>'Manufacturing Cost Calculations'!J248</f>
        <v>3.4739534644393757</v>
      </c>
      <c r="K48" s="214">
        <f>'Manufacturing Cost Calculations'!K248</f>
        <v>3.4739534644393757</v>
      </c>
      <c r="L48" s="214">
        <f>'Manufacturing Cost Calculations'!L248</f>
        <v>3.4739534644393757</v>
      </c>
    </row>
    <row r="49" spans="1:12" x14ac:dyDescent="0.2">
      <c r="A49" s="6" t="s">
        <v>503</v>
      </c>
      <c r="E49" s="4"/>
      <c r="F49" s="214">
        <f ca="1">'Manufacturing Cost Calculations'!F128+'Manufacturing Cost Calculations'!F253</f>
        <v>5.1631502795948219</v>
      </c>
      <c r="G49" s="214">
        <f ca="1">'Manufacturing Cost Calculations'!G128+'Manufacturing Cost Calculations'!G253</f>
        <v>6.7384564573427745</v>
      </c>
      <c r="H49" s="214">
        <f ca="1">'Manufacturing Cost Calculations'!H128+'Manufacturing Cost Calculations'!H253</f>
        <v>8.14176134803858</v>
      </c>
      <c r="I49" s="214">
        <f ca="1">'Manufacturing Cost Calculations'!I128+'Manufacturing Cost Calculations'!I253</f>
        <v>9.4298624656864298</v>
      </c>
      <c r="J49" s="214">
        <f ca="1">'Manufacturing Cost Calculations'!J128+'Manufacturing Cost Calculations'!J253</f>
        <v>10.63315415875913</v>
      </c>
      <c r="K49" s="214">
        <f ca="1">'Manufacturing Cost Calculations'!K128+'Manufacturing Cost Calculations'!K253</f>
        <v>11.770293176540385</v>
      </c>
      <c r="L49" s="214">
        <f ca="1">'Manufacturing Cost Calculations'!L128+'Manufacturing Cost Calculations'!L253</f>
        <v>12.853765642839122</v>
      </c>
    </row>
    <row r="50" spans="1:12" x14ac:dyDescent="0.2">
      <c r="A50" s="6" t="s">
        <v>504</v>
      </c>
      <c r="E50" s="4"/>
      <c r="F50" s="300">
        <f ca="1">'Manufacturing Cost Calculations'!F189</f>
        <v>0.87111154828599968</v>
      </c>
      <c r="G50" s="300">
        <f ca="1">'Manufacturing Cost Calculations'!G189</f>
        <v>1.1570114385624219</v>
      </c>
      <c r="H50" s="300">
        <f ca="1">'Manufacturing Cost Calculations'!H189</f>
        <v>1.4151248851777867</v>
      </c>
      <c r="I50" s="300">
        <f ca="1">'Manufacturing Cost Calculations'!I189</f>
        <v>1.6543666904221155</v>
      </c>
      <c r="J50" s="300">
        <f ca="1">'Manufacturing Cost Calculations'!J189</f>
        <v>1.8795706271678057</v>
      </c>
      <c r="K50" s="300">
        <f ca="1">'Manufacturing Cost Calculations'!K189</f>
        <v>2.0937335018183729</v>
      </c>
      <c r="L50" s="300">
        <f ca="1">'Manufacturing Cost Calculations'!L189</f>
        <v>2.2988771582580005</v>
      </c>
    </row>
    <row r="51" spans="1:12" x14ac:dyDescent="0.2">
      <c r="A51" s="82" t="s">
        <v>13</v>
      </c>
      <c r="E51" s="4"/>
      <c r="F51" s="285">
        <f t="shared" ref="F51:K51" ca="1" si="4">SUM(F44:F50)</f>
        <v>117.76658383149078</v>
      </c>
      <c r="G51" s="285">
        <f t="shared" ca="1" si="4"/>
        <v>129.57333241722137</v>
      </c>
      <c r="H51" s="285">
        <f t="shared" ca="1" si="4"/>
        <v>141.83015145398579</v>
      </c>
      <c r="I51" s="285">
        <f t="shared" ca="1" si="4"/>
        <v>152.94390260375027</v>
      </c>
      <c r="J51" s="285">
        <f t="shared" ca="1" si="4"/>
        <v>163.24297498450832</v>
      </c>
      <c r="K51" s="285">
        <f t="shared" ca="1" si="4"/>
        <v>172.92199207736698</v>
      </c>
      <c r="L51" s="285">
        <f t="shared" ref="L51" ca="1" si="5">SUM(L44:L50)</f>
        <v>182.10771018163678</v>
      </c>
    </row>
    <row r="52" spans="1:12" ht="15" x14ac:dyDescent="0.25">
      <c r="A52" s="259" t="s">
        <v>730</v>
      </c>
      <c r="E52" s="4"/>
      <c r="F52" s="285"/>
      <c r="G52" s="285"/>
      <c r="H52" s="285"/>
      <c r="I52" s="285"/>
      <c r="J52" s="285"/>
      <c r="K52" s="285"/>
      <c r="L52" s="285"/>
    </row>
    <row r="53" spans="1:12" x14ac:dyDescent="0.2">
      <c r="A53" s="6" t="s">
        <v>499</v>
      </c>
      <c r="E53" s="4"/>
      <c r="F53" s="214">
        <f ca="1">'Manufacturing Cost Calculations'!F136+'Manufacturing Cost Calculations'!F141+'Manufacturing Cost Calculations'!F148+'Manufacturing Cost Calculations'!F154+'Manufacturing Cost Calculations'!F159+'Manufacturing Cost Calculations'!F165+'Manufacturing Cost Calculations'!F170+'Manufacturing Cost Calculations'!F175+'Manufacturing Cost Calculations'!F180+'Manufacturing Cost Calculations'!F185</f>
        <v>3977.1895034286604</v>
      </c>
      <c r="G53" s="214">
        <f ca="1">'Manufacturing Cost Calculations'!G136+'Manufacturing Cost Calculations'!G141+'Manufacturing Cost Calculations'!G148+'Manufacturing Cost Calculations'!G154+'Manufacturing Cost Calculations'!G159+'Manufacturing Cost Calculations'!G165+'Manufacturing Cost Calculations'!G170+'Manufacturing Cost Calculations'!G175+'Manufacturing Cost Calculations'!G180+'Manufacturing Cost Calculations'!G185</f>
        <v>4691.1436161564307</v>
      </c>
      <c r="H53" s="214">
        <f ca="1">'Manufacturing Cost Calculations'!H136+'Manufacturing Cost Calculations'!H141+'Manufacturing Cost Calculations'!H148+'Manufacturing Cost Calculations'!H154+'Manufacturing Cost Calculations'!H159+'Manufacturing Cost Calculations'!H165+'Manufacturing Cost Calculations'!H170+'Manufacturing Cost Calculations'!H175+'Manufacturing Cost Calculations'!H180+'Manufacturing Cost Calculations'!H185</f>
        <v>5679.9452895511622</v>
      </c>
      <c r="I53" s="214">
        <f ca="1">'Manufacturing Cost Calculations'!I136+'Manufacturing Cost Calculations'!I141+'Manufacturing Cost Calculations'!I148+'Manufacturing Cost Calculations'!I154+'Manufacturing Cost Calculations'!I159+'Manufacturing Cost Calculations'!I165+'Manufacturing Cost Calculations'!I170+'Manufacturing Cost Calculations'!I175+'Manufacturing Cost Calculations'!I180+'Manufacturing Cost Calculations'!I185</f>
        <v>6591.9063720928989</v>
      </c>
      <c r="J53" s="214">
        <f ca="1">'Manufacturing Cost Calculations'!J136+'Manufacturing Cost Calculations'!J141+'Manufacturing Cost Calculations'!J148+'Manufacturing Cost Calculations'!J154+'Manufacturing Cost Calculations'!J159+'Manufacturing Cost Calculations'!J165+'Manufacturing Cost Calculations'!J170+'Manufacturing Cost Calculations'!J175+'Manufacturing Cost Calculations'!J180+'Manufacturing Cost Calculations'!J185</f>
        <v>7447.3726861894484</v>
      </c>
      <c r="K53" s="214">
        <f ca="1">'Manufacturing Cost Calculations'!K136+'Manufacturing Cost Calculations'!K141+'Manufacturing Cost Calculations'!K148+'Manufacturing Cost Calculations'!K154+'Manufacturing Cost Calculations'!K159+'Manufacturing Cost Calculations'!K165+'Manufacturing Cost Calculations'!K170+'Manufacturing Cost Calculations'!K175+'Manufacturing Cost Calculations'!K180+'Manufacturing Cost Calculations'!K185</f>
        <v>8258.8112358967064</v>
      </c>
      <c r="L53" s="214">
        <f ca="1">'Manufacturing Cost Calculations'!L136+'Manufacturing Cost Calculations'!L141+'Manufacturing Cost Calculations'!L148+'Manufacturing Cost Calculations'!L154+'Manufacturing Cost Calculations'!L159+'Manufacturing Cost Calculations'!L165+'Manufacturing Cost Calculations'!L170+'Manufacturing Cost Calculations'!L175+'Manufacturing Cost Calculations'!L180+'Manufacturing Cost Calculations'!L185</f>
        <v>9034.5550739922819</v>
      </c>
    </row>
    <row r="54" spans="1:12" x14ac:dyDescent="0.2">
      <c r="A54" s="6" t="s">
        <v>500</v>
      </c>
      <c r="E54" s="4"/>
      <c r="F54" s="214">
        <f ca="1">'Manufacturing Cost Calculations'!F197+'Manufacturing Cost Calculations'!F202+'Manufacturing Cost Calculations'!F207+'Manufacturing Cost Calculations'!F212+'Manufacturing Cost Calculations'!F217</f>
        <v>3848.6414820239493</v>
      </c>
      <c r="G54" s="214">
        <f ca="1">'Manufacturing Cost Calculations'!G197+'Manufacturing Cost Calculations'!G202+'Manufacturing Cost Calculations'!G207+'Manufacturing Cost Calculations'!G212+'Manufacturing Cost Calculations'!G217</f>
        <v>3849.026342195149</v>
      </c>
      <c r="H54" s="214">
        <f ca="1">'Manufacturing Cost Calculations'!H197+'Manufacturing Cost Calculations'!H202+'Manufacturing Cost Calculations'!H207+'Manufacturing Cost Calculations'!H212+'Manufacturing Cost Calculations'!H217</f>
        <v>3849.6562641539495</v>
      </c>
      <c r="I54" s="214">
        <f ca="1">'Manufacturing Cost Calculations'!I197+'Manufacturing Cost Calculations'!I202+'Manufacturing Cost Calculations'!I207+'Manufacturing Cost Calculations'!I212+'Manufacturing Cost Calculations'!I217</f>
        <v>3850.2210894128716</v>
      </c>
      <c r="J54" s="214">
        <f ca="1">'Manufacturing Cost Calculations'!J197+'Manufacturing Cost Calculations'!J202+'Manufacturing Cost Calculations'!J207+'Manufacturing Cost Calculations'!J212+'Manufacturing Cost Calculations'!J217</f>
        <v>3850.7385079212395</v>
      </c>
      <c r="K54" s="214">
        <f ca="1">'Manufacturing Cost Calculations'!K197+'Manufacturing Cost Calculations'!K202+'Manufacturing Cost Calculations'!K207+'Manufacturing Cost Calculations'!K212+'Manufacturing Cost Calculations'!K217</f>
        <v>3851.2192740880423</v>
      </c>
      <c r="L54" s="214">
        <f ca="1">'Manufacturing Cost Calculations'!L197+'Manufacturing Cost Calculations'!L202+'Manufacturing Cost Calculations'!L207+'Manufacturing Cost Calculations'!L212+'Manufacturing Cost Calculations'!L217</f>
        <v>3851.6705291398307</v>
      </c>
    </row>
    <row r="55" spans="1:12" x14ac:dyDescent="0.2">
      <c r="A55" s="6" t="s">
        <v>501</v>
      </c>
      <c r="E55" s="4"/>
      <c r="F55" s="214">
        <f ca="1">'Manufacturing Cost Calculations'!F223+'Manufacturing Cost Calculations'!F228+'Manufacturing Cost Calculations'!F233</f>
        <v>3941.2477578370704</v>
      </c>
      <c r="G55" s="214">
        <f ca="1">'Manufacturing Cost Calculations'!G223+'Manufacturing Cost Calculations'!G228+'Manufacturing Cost Calculations'!G233</f>
        <v>4220.591193963508</v>
      </c>
      <c r="H55" s="214">
        <f ca="1">'Manufacturing Cost Calculations'!H223+'Manufacturing Cost Calculations'!H228+'Manufacturing Cost Calculations'!H233</f>
        <v>4439.7612042844958</v>
      </c>
      <c r="I55" s="214">
        <f ca="1">'Manufacturing Cost Calculations'!I223+'Manufacturing Cost Calculations'!I228+'Manufacturing Cost Calculations'!I233</f>
        <v>4623.2961946279574</v>
      </c>
      <c r="J55" s="214">
        <f ca="1">'Manufacturing Cost Calculations'!J223+'Manufacturing Cost Calculations'!J228+'Manufacturing Cost Calculations'!J233</f>
        <v>4782.6643316066948</v>
      </c>
      <c r="K55" s="214">
        <f ca="1">'Manufacturing Cost Calculations'!K223+'Manufacturing Cost Calculations'!K228+'Manufacturing Cost Calculations'!K233</f>
        <v>4924.3919982505668</v>
      </c>
      <c r="L55" s="214">
        <f ca="1">'Manufacturing Cost Calculations'!L223+'Manufacturing Cost Calculations'!L228+'Manufacturing Cost Calculations'!L233</f>
        <v>5052.5853432654967</v>
      </c>
    </row>
    <row r="56" spans="1:12" x14ac:dyDescent="0.2">
      <c r="A56" s="6" t="s">
        <v>502</v>
      </c>
      <c r="E56" s="4"/>
      <c r="F56" s="214">
        <f>'Manufacturing Cost Calculations'!F238+'Manufacturing Cost Calculations'!F244</f>
        <v>1988.6724104039922</v>
      </c>
      <c r="G56" s="214">
        <f>'Manufacturing Cost Calculations'!G238+'Manufacturing Cost Calculations'!G244</f>
        <v>1988.6724104039922</v>
      </c>
      <c r="H56" s="214">
        <f>'Manufacturing Cost Calculations'!H238+'Manufacturing Cost Calculations'!H244</f>
        <v>1988.6724104039922</v>
      </c>
      <c r="I56" s="214">
        <f>'Manufacturing Cost Calculations'!I238+'Manufacturing Cost Calculations'!I244</f>
        <v>1988.6724104039922</v>
      </c>
      <c r="J56" s="214">
        <f>'Manufacturing Cost Calculations'!J238+'Manufacturing Cost Calculations'!J244</f>
        <v>1988.6724104039922</v>
      </c>
      <c r="K56" s="214">
        <f>'Manufacturing Cost Calculations'!K238+'Manufacturing Cost Calculations'!K244</f>
        <v>1988.6724104039922</v>
      </c>
      <c r="L56" s="214">
        <f>'Manufacturing Cost Calculations'!L238+'Manufacturing Cost Calculations'!L244</f>
        <v>1988.6724104039922</v>
      </c>
    </row>
    <row r="57" spans="1:12" x14ac:dyDescent="0.2">
      <c r="A57" s="6" t="s">
        <v>507</v>
      </c>
      <c r="E57" s="4"/>
      <c r="F57" s="214">
        <f>'Manufacturing Cost Calculations'!F249</f>
        <v>795.46896416159734</v>
      </c>
      <c r="G57" s="214">
        <f>'Manufacturing Cost Calculations'!G249</f>
        <v>795.46896416159734</v>
      </c>
      <c r="H57" s="214">
        <f>'Manufacturing Cost Calculations'!H249</f>
        <v>795.46896416159734</v>
      </c>
      <c r="I57" s="214">
        <f>'Manufacturing Cost Calculations'!I249</f>
        <v>795.46896416159734</v>
      </c>
      <c r="J57" s="214">
        <f>'Manufacturing Cost Calculations'!J249</f>
        <v>795.46896416159734</v>
      </c>
      <c r="K57" s="214">
        <f>'Manufacturing Cost Calculations'!K249</f>
        <v>795.46896416159734</v>
      </c>
      <c r="L57" s="214">
        <f>'Manufacturing Cost Calculations'!L249</f>
        <v>795.46896416159734</v>
      </c>
    </row>
    <row r="58" spans="1:12" x14ac:dyDescent="0.2">
      <c r="A58" s="6" t="s">
        <v>503</v>
      </c>
      <c r="E58" s="4"/>
      <c r="F58" s="214">
        <f ca="1">'Manufacturing Cost Calculations'!F129+'Manufacturing Cost Calculations'!F254</f>
        <v>1175.323215500378</v>
      </c>
      <c r="G58" s="214">
        <f ca="1">'Manufacturing Cost Calculations'!G129+'Manufacturing Cost Calculations'!G254</f>
        <v>1468.0980406335034</v>
      </c>
      <c r="H58" s="214">
        <f ca="1">'Manufacturing Cost Calculations'!H129+'Manufacturing Cost Calculations'!H254</f>
        <v>1719.4931483389591</v>
      </c>
      <c r="I58" s="214">
        <f ca="1">'Manufacturing Cost Calculations'!I129+'Manufacturing Cost Calculations'!I254</f>
        <v>1944.0517787815079</v>
      </c>
      <c r="J58" s="214">
        <f ca="1">'Manufacturing Cost Calculations'!J129+'Manufacturing Cost Calculations'!J254</f>
        <v>2149.3307726783532</v>
      </c>
      <c r="K58" s="214">
        <f ca="1">'Manufacturing Cost Calculations'!K129+'Manufacturing Cost Calculations'!K254</f>
        <v>2339.8650817431562</v>
      </c>
      <c r="L58" s="214">
        <f ca="1">'Manufacturing Cost Calculations'!L129+'Manufacturing Cost Calculations'!L254</f>
        <v>2518.6343171747912</v>
      </c>
    </row>
    <row r="59" spans="1:12" x14ac:dyDescent="0.2">
      <c r="A59" s="6" t="s">
        <v>504</v>
      </c>
      <c r="E59" s="4"/>
      <c r="F59" s="300">
        <f ca="1">'Manufacturing Cost Calculations'!F190</f>
        <v>188.28709322012415</v>
      </c>
      <c r="G59" s="300">
        <f ca="1">'Manufacturing Cost Calculations'!G190</f>
        <v>240.14597184455849</v>
      </c>
      <c r="H59" s="300">
        <f ca="1">'Manufacturing Cost Calculations'!H190</f>
        <v>285.38986645382971</v>
      </c>
      <c r="I59" s="300">
        <f ca="1">'Manufacturing Cost Calculations'!I190</f>
        <v>326.27556924550373</v>
      </c>
      <c r="J59" s="300">
        <f ca="1">'Manufacturing Cost Calculations'!J190</f>
        <v>363.99322790553703</v>
      </c>
      <c r="K59" s="300">
        <f ca="1">'Manufacturing Cost Calculations'!K190</f>
        <v>399.26512531770618</v>
      </c>
      <c r="L59" s="300">
        <f ca="1">'Manufacturing Cost Calculations'!L190</f>
        <v>432.57014849825993</v>
      </c>
    </row>
    <row r="60" spans="1:12" x14ac:dyDescent="0.2">
      <c r="A60" s="82" t="s">
        <v>13</v>
      </c>
      <c r="E60" s="4"/>
      <c r="F60" s="301">
        <f t="shared" ref="F60:K60" ca="1" si="6">SUM(F53:F59)</f>
        <v>15914.830426575771</v>
      </c>
      <c r="G60" s="301">
        <f t="shared" ca="1" si="6"/>
        <v>17253.146539358739</v>
      </c>
      <c r="H60" s="301">
        <f t="shared" ca="1" si="6"/>
        <v>18758.387147347985</v>
      </c>
      <c r="I60" s="301">
        <f t="shared" ca="1" si="6"/>
        <v>20119.89237872633</v>
      </c>
      <c r="J60" s="301">
        <f t="shared" ca="1" si="6"/>
        <v>21378.240900866862</v>
      </c>
      <c r="K60" s="301">
        <f t="shared" ca="1" si="6"/>
        <v>22557.694089861769</v>
      </c>
      <c r="L60" s="301">
        <f t="shared" ref="L60" ca="1" si="7">SUM(L53:L59)</f>
        <v>23674.156786636249</v>
      </c>
    </row>
    <row r="61" spans="1:12" ht="15.75" x14ac:dyDescent="0.25">
      <c r="A61" s="318" t="s">
        <v>729</v>
      </c>
      <c r="B61" s="318"/>
      <c r="C61" s="318"/>
      <c r="D61" s="318"/>
      <c r="E61" s="318"/>
      <c r="F61" s="318"/>
      <c r="G61" s="318"/>
      <c r="H61" s="318"/>
      <c r="I61" s="318"/>
      <c r="J61" s="318"/>
    </row>
    <row r="63" spans="1:12" x14ac:dyDescent="0.2">
      <c r="A63" s="54"/>
      <c r="B63" s="54"/>
      <c r="C63" s="54"/>
      <c r="D63" s="54"/>
      <c r="E63" s="54"/>
      <c r="F63" s="360" t="s">
        <v>0</v>
      </c>
      <c r="G63" s="360" t="s">
        <v>1</v>
      </c>
      <c r="H63" s="360" t="s">
        <v>2</v>
      </c>
      <c r="I63" s="360" t="s">
        <v>3</v>
      </c>
      <c r="J63" s="360" t="s">
        <v>4</v>
      </c>
      <c r="K63" s="360" t="s">
        <v>750</v>
      </c>
      <c r="L63" s="360" t="s">
        <v>752</v>
      </c>
    </row>
    <row r="64" spans="1:12" ht="15" x14ac:dyDescent="0.25">
      <c r="A64" s="259" t="s">
        <v>731</v>
      </c>
      <c r="B64" s="57"/>
      <c r="C64" s="57"/>
      <c r="D64" s="57"/>
      <c r="E64" s="57"/>
      <c r="F64" s="58"/>
      <c r="G64" s="58"/>
      <c r="H64" s="58"/>
      <c r="I64" s="58"/>
      <c r="J64" s="58"/>
      <c r="K64" s="58"/>
      <c r="L64" s="58"/>
    </row>
    <row r="65" spans="1:12" x14ac:dyDescent="0.2">
      <c r="A65" s="6" t="s">
        <v>499</v>
      </c>
      <c r="F65" s="38">
        <f ca="1">F35*'Cost Input'!$J$39*'Cost Input'!$E$66/'Battery Design'!F$72</f>
        <v>55.566640599341568</v>
      </c>
      <c r="G65" s="38">
        <f ca="1">G35*'Cost Input'!$J$39*'Cost Input'!$E$66/'Battery Design'!G$72</f>
        <v>62.885050577265808</v>
      </c>
      <c r="H65" s="38">
        <f ca="1">H35*'Cost Input'!$J$39*'Cost Input'!$E$66/'Battery Design'!H$72</f>
        <v>73.151587535968744</v>
      </c>
      <c r="I65" s="38">
        <f ca="1">I35*'Cost Input'!$J$39*'Cost Input'!$E$66/'Battery Design'!I$72</f>
        <v>82.2871513627355</v>
      </c>
      <c r="J65" s="38">
        <f ca="1">J35*'Cost Input'!$J$39*'Cost Input'!$E$66/'Battery Design'!J$72</f>
        <v>90.615175701251104</v>
      </c>
      <c r="K65" s="38">
        <f ca="1">K35*'Cost Input'!$J$39*'Cost Input'!$E$66/'Battery Design'!K$72</f>
        <v>98.328595683522295</v>
      </c>
      <c r="L65" s="38">
        <f ca="1">L35*'Cost Input'!$J$39*'Cost Input'!$E$66/'Battery Design'!L$72</f>
        <v>105.5535686957279</v>
      </c>
    </row>
    <row r="66" spans="1:12" x14ac:dyDescent="0.2">
      <c r="A66" s="6" t="s">
        <v>500</v>
      </c>
      <c r="F66" s="38">
        <f ca="1">F36*'Cost Input'!$J$39*'Cost Input'!$E$66/'Battery Design'!F$72</f>
        <v>60.806260569047744</v>
      </c>
      <c r="G66" s="38">
        <f ca="1">G36*'Cost Input'!$J$39*'Cost Input'!$E$66/'Battery Design'!G$72</f>
        <v>60.815570175255687</v>
      </c>
      <c r="H66" s="38">
        <f ca="1">H36*'Cost Input'!$J$39*'Cost Input'!$E$66/'Battery Design'!H$72</f>
        <v>60.83080772337577</v>
      </c>
      <c r="I66" s="38">
        <f ca="1">I36*'Cost Input'!$J$39*'Cost Input'!$E$66/'Battery Design'!I$72</f>
        <v>60.844470609614348</v>
      </c>
      <c r="J66" s="38">
        <f ca="1">J36*'Cost Input'!$J$39*'Cost Input'!$E$66/'Battery Design'!J$72</f>
        <v>60.856986746429939</v>
      </c>
      <c r="K66" s="38">
        <f ca="1">K36*'Cost Input'!$J$39*'Cost Input'!$E$66/'Battery Design'!K$72</f>
        <v>60.868616278467712</v>
      </c>
      <c r="L66" s="38">
        <f ca="1">L36*'Cost Input'!$J$39*'Cost Input'!$E$66/'Battery Design'!L$72</f>
        <v>60.879531949004367</v>
      </c>
    </row>
    <row r="67" spans="1:12" x14ac:dyDescent="0.2">
      <c r="A67" s="6" t="s">
        <v>501</v>
      </c>
      <c r="F67" s="38">
        <f>F37*'Cost Input'!$J$39*'Cost Input'!$E$66/'Battery Design'!F$72</f>
        <v>41.768098408591371</v>
      </c>
      <c r="G67" s="38">
        <f>G37*'Cost Input'!$J$39*'Cost Input'!$E$66/'Battery Design'!G$72</f>
        <v>41.768098408591371</v>
      </c>
      <c r="H67" s="38">
        <f>H37*'Cost Input'!$J$39*'Cost Input'!$E$66/'Battery Design'!H$72</f>
        <v>41.768098408591371</v>
      </c>
      <c r="I67" s="38">
        <f>I37*'Cost Input'!$J$39*'Cost Input'!$E$66/'Battery Design'!I$72</f>
        <v>41.768098408591371</v>
      </c>
      <c r="J67" s="38">
        <f>J37*'Cost Input'!$J$39*'Cost Input'!$E$66/'Battery Design'!J$72</f>
        <v>41.768098408591371</v>
      </c>
      <c r="K67" s="38">
        <f>K37*'Cost Input'!$J$39*'Cost Input'!$E$66/'Battery Design'!K$72</f>
        <v>41.768098408591371</v>
      </c>
      <c r="L67" s="38">
        <f>L37*'Cost Input'!$J$39*'Cost Input'!$E$66/'Battery Design'!L$72</f>
        <v>41.768098408591371</v>
      </c>
    </row>
    <row r="68" spans="1:12" x14ac:dyDescent="0.2">
      <c r="A68" s="6" t="s">
        <v>502</v>
      </c>
      <c r="F68" s="38">
        <f>F38*'Cost Input'!$J$39*'Cost Input'!$E$66/'Battery Design'!F$72</f>
        <v>36.717202066885356</v>
      </c>
      <c r="G68" s="38">
        <f>G38*'Cost Input'!$J$39*'Cost Input'!$E$66/'Battery Design'!G$72</f>
        <v>36.717202066885356</v>
      </c>
      <c r="H68" s="38">
        <f>H38*'Cost Input'!$J$39*'Cost Input'!$E$66/'Battery Design'!H$72</f>
        <v>36.717202066885356</v>
      </c>
      <c r="I68" s="38">
        <f>I38*'Cost Input'!$J$39*'Cost Input'!$E$66/'Battery Design'!I$72</f>
        <v>36.717202066885356</v>
      </c>
      <c r="J68" s="38">
        <f>J38*'Cost Input'!$J$39*'Cost Input'!$E$66/'Battery Design'!J$72</f>
        <v>36.717202066885356</v>
      </c>
      <c r="K68" s="38">
        <f>K38*'Cost Input'!$J$39*'Cost Input'!$E$66/'Battery Design'!K$72</f>
        <v>36.717202066885356</v>
      </c>
      <c r="L68" s="38">
        <f>L38*'Cost Input'!$J$39*'Cost Input'!$E$66/'Battery Design'!L$72</f>
        <v>36.717202066885356</v>
      </c>
    </row>
    <row r="69" spans="1:12" x14ac:dyDescent="0.2">
      <c r="A69" s="6" t="s">
        <v>507</v>
      </c>
      <c r="F69" s="38">
        <f>F39*'Cost Input'!$J$39*'Cost Input'!$E$66/'Battery Design'!F$72</f>
        <v>16.806695604699211</v>
      </c>
      <c r="G69" s="38">
        <f>G39*'Cost Input'!$J$39*'Cost Input'!$E$66/'Battery Design'!G$72</f>
        <v>16.806695604699211</v>
      </c>
      <c r="H69" s="38">
        <f>H39*'Cost Input'!$J$39*'Cost Input'!$E$66/'Battery Design'!H$72</f>
        <v>16.806695604699211</v>
      </c>
      <c r="I69" s="38">
        <f>I39*'Cost Input'!$J$39*'Cost Input'!$E$66/'Battery Design'!I$72</f>
        <v>16.806695604699211</v>
      </c>
      <c r="J69" s="38">
        <f>J39*'Cost Input'!$J$39*'Cost Input'!$E$66/'Battery Design'!J$72</f>
        <v>16.806695604699211</v>
      </c>
      <c r="K69" s="38">
        <f>K39*'Cost Input'!$J$39*'Cost Input'!$E$66/'Battery Design'!K$72</f>
        <v>16.806695604699211</v>
      </c>
      <c r="L69" s="38">
        <f>L39*'Cost Input'!$J$39*'Cost Input'!$E$66/'Battery Design'!L$72</f>
        <v>16.806695604699211</v>
      </c>
    </row>
    <row r="70" spans="1:12" x14ac:dyDescent="0.2">
      <c r="A70" s="6" t="s">
        <v>503</v>
      </c>
      <c r="F70" s="38">
        <f ca="1">F40*'Cost Input'!$J$39*'Cost Input'!$E$66/'Battery Design'!F$72</f>
        <v>10.109458812738463</v>
      </c>
      <c r="G70" s="38">
        <f ca="1">G40*'Cost Input'!$J$39*'Cost Input'!$E$66/'Battery Design'!G$72</f>
        <v>12.208917882614241</v>
      </c>
      <c r="H70" s="38">
        <f ca="1">H40*'Cost Input'!$J$39*'Cost Input'!$E$66/'Battery Design'!H$72</f>
        <v>13.961066944275677</v>
      </c>
      <c r="I70" s="38">
        <f ca="1">I40*'Cost Input'!$J$39*'Cost Input'!$E$66/'Battery Design'!I$72</f>
        <v>15.493494141048286</v>
      </c>
      <c r="J70" s="38">
        <f ca="1">J40*'Cost Input'!$J$39*'Cost Input'!$E$66/'Battery Design'!J$72</f>
        <v>16.871011333713959</v>
      </c>
      <c r="K70" s="38">
        <f ca="1">K40*'Cost Input'!$J$39*'Cost Input'!$E$66/'Battery Design'!K$72</f>
        <v>18.131843221866106</v>
      </c>
      <c r="L70" s="38">
        <f ca="1">L40*'Cost Input'!$J$39*'Cost Input'!$E$66/'Battery Design'!L$72</f>
        <v>19.300751295860071</v>
      </c>
    </row>
    <row r="71" spans="1:12" x14ac:dyDescent="0.2">
      <c r="A71" s="6" t="s">
        <v>504</v>
      </c>
      <c r="F71" s="38">
        <f ca="1">F41*'Cost Input'!$J$39*'Cost Input'!$E$66/'Battery Design'!F$72</f>
        <v>6.5630303654783138</v>
      </c>
      <c r="G71" s="38">
        <f ca="1">G41*'Cost Input'!$J$39*'Cost Input'!$E$66/'Battery Design'!G$72</f>
        <v>8.03803778090683</v>
      </c>
      <c r="H71" s="38">
        <f ca="1">H41*'Cost Input'!$J$39*'Cost Input'!$E$66/'Battery Design'!H$72</f>
        <v>9.2815265531258806</v>
      </c>
      <c r="I71" s="38">
        <f ca="1">I41*'Cost Input'!$J$39*'Cost Input'!$E$66/'Battery Design'!I$72</f>
        <v>10.377062153879399</v>
      </c>
      <c r="J71" s="38">
        <f ca="1">J41*'Cost Input'!$J$39*'Cost Input'!$E$66/'Battery Design'!J$72</f>
        <v>11.367502044625779</v>
      </c>
      <c r="K71" s="38">
        <f ca="1">K41*'Cost Input'!$J$39*'Cost Input'!$E$66/'Battery Design'!K$72</f>
        <v>12.2783055233068</v>
      </c>
      <c r="L71" s="38">
        <f ca="1">L41*'Cost Input'!$J$39*'Cost Input'!$E$66/'Battery Design'!L$72</f>
        <v>13.126060730956628</v>
      </c>
    </row>
    <row r="72" spans="1:12" x14ac:dyDescent="0.2">
      <c r="A72" s="82" t="s">
        <v>13</v>
      </c>
      <c r="F72" s="299">
        <f t="shared" ref="F72:K72" ca="1" si="8">SUM(F65:F71)</f>
        <v>228.33738642678202</v>
      </c>
      <c r="G72" s="299">
        <f t="shared" ca="1" si="8"/>
        <v>239.23957249621847</v>
      </c>
      <c r="H72" s="299">
        <f t="shared" ca="1" si="8"/>
        <v>252.51698483692198</v>
      </c>
      <c r="I72" s="299">
        <f t="shared" ca="1" si="8"/>
        <v>264.29417434745346</v>
      </c>
      <c r="J72" s="299">
        <f t="shared" ca="1" si="8"/>
        <v>275.00267190619672</v>
      </c>
      <c r="K72" s="299">
        <f t="shared" ca="1" si="8"/>
        <v>284.89935678733889</v>
      </c>
      <c r="L72" s="299">
        <f t="shared" ref="L72" ca="1" si="9">SUM(L65:L71)</f>
        <v>294.15190875172493</v>
      </c>
    </row>
    <row r="73" spans="1:12" ht="15" x14ac:dyDescent="0.25">
      <c r="A73" s="259" t="s">
        <v>735</v>
      </c>
    </row>
    <row r="74" spans="1:12" x14ac:dyDescent="0.2">
      <c r="A74" s="6" t="s">
        <v>499</v>
      </c>
      <c r="E74" s="214"/>
      <c r="F74" s="38">
        <f ca="1">F44*'Cost Input'!$E$67*100000/'Battery Design'!F$72</f>
        <v>96.438011668474374</v>
      </c>
      <c r="G74" s="38">
        <f ca="1">G44*'Cost Input'!$E$67*100000/'Battery Design'!G$72</f>
        <v>118.11364363321289</v>
      </c>
      <c r="H74" s="38">
        <f ca="1">H44*'Cost Input'!$E$67*100000/'Battery Design'!H$72</f>
        <v>145.82208017568243</v>
      </c>
      <c r="I74" s="38">
        <f ca="1">I44*'Cost Input'!$E$67*100000/'Battery Design'!I$72</f>
        <v>171.77766192918628</v>
      </c>
      <c r="J74" s="38">
        <f ca="1">J44*'Cost Input'!$E$67*100000/'Battery Design'!J$72</f>
        <v>196.42334659111032</v>
      </c>
      <c r="K74" s="38">
        <f ca="1">K44*'Cost Input'!$E$67*100000/'Battery Design'!K$72</f>
        <v>220.0347533994867</v>
      </c>
      <c r="L74" s="38">
        <f ca="1">L44*'Cost Input'!$E$67*100000/'Battery Design'!L$72</f>
        <v>242.79842291352807</v>
      </c>
    </row>
    <row r="75" spans="1:12" x14ac:dyDescent="0.2">
      <c r="A75" s="6" t="s">
        <v>500</v>
      </c>
      <c r="F75" s="38">
        <f ca="1">F45*'Cost Input'!$E$67*100000/'Battery Design'!F$72</f>
        <v>108.49122383841228</v>
      </c>
      <c r="G75" s="38">
        <f ca="1">G45*'Cost Input'!$E$67*100000/'Battery Design'!G$72</f>
        <v>110.60239885566665</v>
      </c>
      <c r="H75" s="38">
        <f ca="1">H45*'Cost Input'!$E$67*100000/'Battery Design'!H$72</f>
        <v>112.38064683899023</v>
      </c>
      <c r="I75" s="38">
        <f ca="1">I45*'Cost Input'!$E$67*100000/'Battery Design'!I$72</f>
        <v>113.88415834657876</v>
      </c>
      <c r="J75" s="38">
        <f ca="1">J45*'Cost Input'!$E$67*100000/'Battery Design'!J$72</f>
        <v>115.20017768130116</v>
      </c>
      <c r="K75" s="38">
        <f ca="1">K45*'Cost Input'!$E$67*100000/'Battery Design'!K$72</f>
        <v>116.37860161706418</v>
      </c>
      <c r="L75" s="38">
        <f ca="1">L45*'Cost Input'!$E$67*100000/'Battery Design'!L$72</f>
        <v>117.45095800674201</v>
      </c>
    </row>
    <row r="76" spans="1:12" x14ac:dyDescent="0.2">
      <c r="A76" s="6" t="s">
        <v>501</v>
      </c>
      <c r="F76" s="38">
        <f ca="1">F46*'Cost Input'!$E$67*100000/'Battery Design'!F$72</f>
        <v>150.08462489250039</v>
      </c>
      <c r="G76" s="38">
        <f ca="1">G46*'Cost Input'!$E$67*100000/'Battery Design'!G$72</f>
        <v>164.85071892614383</v>
      </c>
      <c r="H76" s="38">
        <f ca="1">H46*'Cost Input'!$E$67*100000/'Battery Design'!H$72</f>
        <v>176.43604567171124</v>
      </c>
      <c r="I76" s="38">
        <f ca="1">I46*'Cost Input'!$E$67*100000/'Battery Design'!I$72</f>
        <v>186.13770526126663</v>
      </c>
      <c r="J76" s="38">
        <f ca="1">J46*'Cost Input'!$E$67*100000/'Battery Design'!J$72</f>
        <v>194.56190498196267</v>
      </c>
      <c r="K76" s="38">
        <f ca="1">K46*'Cost Input'!$E$67*100000/'Battery Design'!K$72</f>
        <v>202.05362944075773</v>
      </c>
      <c r="L76" s="38">
        <f ca="1">L46*'Cost Input'!$E$67*100000/'Battery Design'!L$72</f>
        <v>208.82992965824698</v>
      </c>
    </row>
    <row r="77" spans="1:12" x14ac:dyDescent="0.2">
      <c r="A77" s="6" t="s">
        <v>502</v>
      </c>
      <c r="F77" s="38">
        <f>F47*'Cost Input'!$E$67*100000/'Battery Design'!F$72</f>
        <v>64.638879405853302</v>
      </c>
      <c r="G77" s="38">
        <f>G47*'Cost Input'!$E$67*100000/'Battery Design'!G$72</f>
        <v>64.638879405853302</v>
      </c>
      <c r="H77" s="38">
        <f>H47*'Cost Input'!$E$67*100000/'Battery Design'!H$72</f>
        <v>64.638879405853302</v>
      </c>
      <c r="I77" s="38">
        <f>I47*'Cost Input'!$E$67*100000/'Battery Design'!I$72</f>
        <v>64.638879405853302</v>
      </c>
      <c r="J77" s="38">
        <f>J47*'Cost Input'!$E$67*100000/'Battery Design'!J$72</f>
        <v>64.638879405853302</v>
      </c>
      <c r="K77" s="38">
        <f>K47*'Cost Input'!$E$67*100000/'Battery Design'!K$72</f>
        <v>64.638879405853302</v>
      </c>
      <c r="L77" s="38">
        <f>L47*'Cost Input'!$E$67*100000/'Battery Design'!L$72</f>
        <v>64.638879405853302</v>
      </c>
    </row>
    <row r="78" spans="1:12" x14ac:dyDescent="0.2">
      <c r="A78" s="6" t="s">
        <v>507</v>
      </c>
      <c r="F78" s="38">
        <f>F48*'Cost Input'!$E$67*100000/'Battery Design'!F$72</f>
        <v>13.466433209552781</v>
      </c>
      <c r="G78" s="38">
        <f>G48*'Cost Input'!$E$67*100000/'Battery Design'!G$72</f>
        <v>13.466433209552781</v>
      </c>
      <c r="H78" s="38">
        <f>H48*'Cost Input'!$E$67*100000/'Battery Design'!H$72</f>
        <v>13.466433209552781</v>
      </c>
      <c r="I78" s="38">
        <f>I48*'Cost Input'!$E$67*100000/'Battery Design'!I$72</f>
        <v>13.466433209552781</v>
      </c>
      <c r="J78" s="38">
        <f>J48*'Cost Input'!$E$67*100000/'Battery Design'!J$72</f>
        <v>13.466433209552781</v>
      </c>
      <c r="K78" s="38">
        <f>K48*'Cost Input'!$E$67*100000/'Battery Design'!K$72</f>
        <v>13.466433209552781</v>
      </c>
      <c r="L78" s="38">
        <f>L48*'Cost Input'!$E$67*100000/'Battery Design'!L$72</f>
        <v>13.466433209552781</v>
      </c>
    </row>
    <row r="79" spans="1:12" x14ac:dyDescent="0.2">
      <c r="A79" s="6" t="s">
        <v>503</v>
      </c>
      <c r="F79" s="38">
        <f ca="1">F49*'Cost Input'!$E$67*100000/'Battery Design'!F$72</f>
        <v>20.014435743821345</v>
      </c>
      <c r="G79" s="38">
        <f ca="1">G49*'Cost Input'!$E$67*100000/'Battery Design'!G$72</f>
        <v>26.120952611243503</v>
      </c>
      <c r="H79" s="38">
        <f ca="1">H49*'Cost Input'!$E$67*100000/'Battery Design'!H$72</f>
        <v>31.560723689536712</v>
      </c>
      <c r="I79" s="38">
        <f ca="1">I49*'Cost Input'!$E$67*100000/'Battery Design'!I$72</f>
        <v>36.55391886198683</v>
      </c>
      <c r="J79" s="38">
        <f ca="1">J49*'Cost Input'!$E$67*100000/'Battery Design'!J$72</f>
        <v>41.218358781013841</v>
      </c>
      <c r="K79" s="38">
        <f ca="1">K49*'Cost Input'!$E$67*100000/'Battery Design'!K$72</f>
        <v>45.626364469541095</v>
      </c>
      <c r="L79" s="38">
        <f ca="1">L49*'Cost Input'!$E$67*100000/'Battery Design'!L$72</f>
        <v>49.826337137901511</v>
      </c>
    </row>
    <row r="80" spans="1:12" x14ac:dyDescent="0.2">
      <c r="A80" s="6" t="s">
        <v>504</v>
      </c>
      <c r="F80" s="38">
        <f ca="1">F50*'Cost Input'!$E$67*100000/'Battery Design'!F$72</f>
        <v>3.3767768057758456</v>
      </c>
      <c r="G80" s="38">
        <f ca="1">G50*'Cost Input'!$E$67*100000/'Battery Design'!G$72</f>
        <v>4.4850391404433667</v>
      </c>
      <c r="H80" s="38">
        <f ca="1">H50*'Cost Input'!$E$67*100000/'Battery Design'!H$72</f>
        <v>5.4855901049031655</v>
      </c>
      <c r="I80" s="38">
        <f ca="1">I50*'Cost Input'!$E$67*100000/'Battery Design'!I$72</f>
        <v>6.4129870387522807</v>
      </c>
      <c r="J80" s="38">
        <f ca="1">J50*'Cost Input'!$E$67*100000/'Battery Design'!J$72</f>
        <v>7.2859675791532732</v>
      </c>
      <c r="K80" s="38">
        <f ca="1">K50*'Cost Input'!$E$67*100000/'Battery Design'!K$72</f>
        <v>8.1161485464487306</v>
      </c>
      <c r="L80" s="38">
        <f ca="1">L50*'Cost Input'!$E$67*100000/'Battery Design'!L$72</f>
        <v>8.9113674162713021</v>
      </c>
    </row>
    <row r="81" spans="1:12" x14ac:dyDescent="0.2">
      <c r="A81" s="82" t="s">
        <v>13</v>
      </c>
      <c r="F81" s="38">
        <f t="shared" ref="F81:K81" ca="1" si="10">SUM(F74:F80)</f>
        <v>456.51038556439028</v>
      </c>
      <c r="G81" s="38">
        <f t="shared" ca="1" si="10"/>
        <v>502.27806578211636</v>
      </c>
      <c r="H81" s="38">
        <f t="shared" ca="1" si="10"/>
        <v>549.79039909622986</v>
      </c>
      <c r="I81" s="38">
        <f t="shared" ca="1" si="10"/>
        <v>592.87174405317683</v>
      </c>
      <c r="J81" s="38">
        <f t="shared" ca="1" si="10"/>
        <v>632.79506822994745</v>
      </c>
      <c r="K81" s="38">
        <f t="shared" ca="1" si="10"/>
        <v>670.31481008870446</v>
      </c>
      <c r="L81" s="38">
        <f t="shared" ref="L81" ca="1" si="11">SUM(L74:L80)</f>
        <v>705.922327748096</v>
      </c>
    </row>
    <row r="82" spans="1:12" ht="15" x14ac:dyDescent="0.25">
      <c r="A82" s="259" t="s">
        <v>736</v>
      </c>
    </row>
    <row r="83" spans="1:12" x14ac:dyDescent="0.2">
      <c r="A83" s="6" t="s">
        <v>499</v>
      </c>
      <c r="E83" s="214"/>
      <c r="F83" s="38">
        <f ca="1">F53*'Cost Input'!$J$32/1000000*'Cost Input'!$E$68*100000/'Battery Design'!F$72</f>
        <v>18.285367373383355</v>
      </c>
      <c r="G83" s="38">
        <f ca="1">G53*'Cost Input'!$J$32/1000000*'Cost Input'!$E$68*100000/'Battery Design'!G$72</f>
        <v>21.56781424389602</v>
      </c>
      <c r="H83" s="38">
        <f ca="1">H53*'Cost Input'!$J$32/1000000*'Cost Input'!$E$68*100000/'Battery Design'!H$72</f>
        <v>26.113889265428675</v>
      </c>
      <c r="I83" s="38">
        <f ca="1">I53*'Cost Input'!$J$32/1000000*'Cost Input'!$E$68*100000/'Battery Design'!I$72</f>
        <v>30.306685060079232</v>
      </c>
      <c r="J83" s="38">
        <f ca="1">J53*'Cost Input'!$J$32/1000000*'Cost Input'!$E$68*100000/'Battery Design'!J$72</f>
        <v>34.239742767116937</v>
      </c>
      <c r="K83" s="38">
        <f ca="1">K53*'Cost Input'!$J$32/1000000*'Cost Input'!$E$68*100000/'Battery Design'!K$72</f>
        <v>37.970380185709018</v>
      </c>
      <c r="L83" s="38">
        <f ca="1">L53*'Cost Input'!$J$32/1000000*'Cost Input'!$E$68*100000/'Battery Design'!L$72</f>
        <v>41.53690902598369</v>
      </c>
    </row>
    <row r="84" spans="1:12" x14ac:dyDescent="0.2">
      <c r="A84" s="6" t="s">
        <v>500</v>
      </c>
      <c r="E84" s="214"/>
      <c r="F84" s="38">
        <f ca="1">F54*'Cost Input'!$J$32/1000000*'Cost Input'!$E$68*100000/'Battery Design'!F$72</f>
        <v>17.694360132093916</v>
      </c>
      <c r="G84" s="38">
        <f ca="1">G54*'Cost Input'!$J$32/1000000*'Cost Input'!$E$68*100000/'Battery Design'!G$72</f>
        <v>17.696129549822615</v>
      </c>
      <c r="H84" s="38">
        <f ca="1">H54*'Cost Input'!$J$32/1000000*'Cost Input'!$E$68*100000/'Battery Design'!H$72</f>
        <v>17.699025653823515</v>
      </c>
      <c r="I84" s="38">
        <f ca="1">I54*'Cost Input'!$J$32/1000000*'Cost Input'!$E$68*100000/'Battery Design'!I$72</f>
        <v>17.701622471840928</v>
      </c>
      <c r="J84" s="38">
        <f ca="1">J54*'Cost Input'!$J$32/1000000*'Cost Input'!$E$68*100000/'Battery Design'!J$72</f>
        <v>17.70400133447826</v>
      </c>
      <c r="K84" s="38">
        <f ca="1">K54*'Cost Input'!$J$32/1000000*'Cost Input'!$E$68*100000/'Battery Design'!K$72</f>
        <v>17.706211685776108</v>
      </c>
      <c r="L84" s="38">
        <f ca="1">L54*'Cost Input'!$J$32/1000000*'Cost Input'!$E$68*100000/'Battery Design'!L$72</f>
        <v>17.708286357952005</v>
      </c>
    </row>
    <row r="85" spans="1:12" x14ac:dyDescent="0.2">
      <c r="A85" s="6" t="s">
        <v>501</v>
      </c>
      <c r="E85" s="214"/>
      <c r="F85" s="38">
        <f ca="1">F55*'Cost Input'!$J$32/1000000*'Cost Input'!$E$68*100000/'Battery Design'!F$72</f>
        <v>18.120123041521282</v>
      </c>
      <c r="G85" s="38">
        <f ca="1">G55*'Cost Input'!$J$32/1000000*'Cost Input'!$E$68*100000/'Battery Design'!G$72</f>
        <v>19.404421249718741</v>
      </c>
      <c r="H85" s="38">
        <f ca="1">H55*'Cost Input'!$J$32/1000000*'Cost Input'!$E$68*100000/'Battery Design'!H$72</f>
        <v>20.412068522370095</v>
      </c>
      <c r="I85" s="38">
        <f ca="1">I55*'Cost Input'!$J$32/1000000*'Cost Input'!$E$68*100000/'Battery Design'!I$72</f>
        <v>21.255881652573574</v>
      </c>
      <c r="J85" s="38">
        <f ca="1">J55*'Cost Input'!$J$32/1000000*'Cost Input'!$E$68*100000/'Battery Design'!J$72</f>
        <v>21.988586224421532</v>
      </c>
      <c r="K85" s="38">
        <f ca="1">K55*'Cost Input'!$J$32/1000000*'Cost Input'!$E$68*100000/'Battery Design'!K$72</f>
        <v>22.640187675476731</v>
      </c>
      <c r="L85" s="38">
        <f ca="1">L55*'Cost Input'!$J$32/1000000*'Cost Input'!$E$68*100000/'Battery Design'!L$72</f>
        <v>23.229564270783566</v>
      </c>
    </row>
    <row r="86" spans="1:12" x14ac:dyDescent="0.2">
      <c r="A86" s="6" t="s">
        <v>502</v>
      </c>
      <c r="E86" s="214"/>
      <c r="F86" s="38">
        <f>F56*'Cost Input'!$J$32/1000000*'Cost Input'!$E$68*100000/'Battery Design'!F$72</f>
        <v>9.1430407271769205</v>
      </c>
      <c r="G86" s="38">
        <f>G56*'Cost Input'!$J$32/1000000*'Cost Input'!$E$68*100000/'Battery Design'!G$72</f>
        <v>9.1430407271769205</v>
      </c>
      <c r="H86" s="38">
        <f>H56*'Cost Input'!$J$32/1000000*'Cost Input'!$E$68*100000/'Battery Design'!H$72</f>
        <v>9.1430407271769205</v>
      </c>
      <c r="I86" s="38">
        <f>I56*'Cost Input'!$J$32/1000000*'Cost Input'!$E$68*100000/'Battery Design'!I$72</f>
        <v>9.1430407271769205</v>
      </c>
      <c r="J86" s="38">
        <f>J56*'Cost Input'!$J$32/1000000*'Cost Input'!$E$68*100000/'Battery Design'!J$72</f>
        <v>9.1430407271769205</v>
      </c>
      <c r="K86" s="38">
        <f>K56*'Cost Input'!$J$32/1000000*'Cost Input'!$E$68*100000/'Battery Design'!K$72</f>
        <v>9.1430407271769205</v>
      </c>
      <c r="L86" s="38">
        <f>L56*'Cost Input'!$J$32/1000000*'Cost Input'!$E$68*100000/'Battery Design'!L$72</f>
        <v>9.1430407271769205</v>
      </c>
    </row>
    <row r="87" spans="1:12" x14ac:dyDescent="0.2">
      <c r="A87" s="6" t="s">
        <v>507</v>
      </c>
      <c r="E87" s="214"/>
      <c r="F87" s="38">
        <f>F57*'Cost Input'!$J$32/1000000*'Cost Input'!$E$68*100000/'Battery Design'!F$72</f>
        <v>3.6572162908707697</v>
      </c>
      <c r="G87" s="38">
        <f>G57*'Cost Input'!$J$32/1000000*'Cost Input'!$E$68*100000/'Battery Design'!G$72</f>
        <v>3.6572162908707697</v>
      </c>
      <c r="H87" s="38">
        <f>H57*'Cost Input'!$J$32/1000000*'Cost Input'!$E$68*100000/'Battery Design'!H$72</f>
        <v>3.6572162908707697</v>
      </c>
      <c r="I87" s="38">
        <f>I57*'Cost Input'!$J$32/1000000*'Cost Input'!$E$68*100000/'Battery Design'!I$72</f>
        <v>3.6572162908707697</v>
      </c>
      <c r="J87" s="38">
        <f>J57*'Cost Input'!$J$32/1000000*'Cost Input'!$E$68*100000/'Battery Design'!J$72</f>
        <v>3.6572162908707697</v>
      </c>
      <c r="K87" s="38">
        <f>K57*'Cost Input'!$J$32/1000000*'Cost Input'!$E$68*100000/'Battery Design'!K$72</f>
        <v>3.6572162908707697</v>
      </c>
      <c r="L87" s="38">
        <f>L57*'Cost Input'!$J$32/1000000*'Cost Input'!$E$68*100000/'Battery Design'!L$72</f>
        <v>3.6572162908707697</v>
      </c>
    </row>
    <row r="88" spans="1:12" x14ac:dyDescent="0.2">
      <c r="A88" s="6" t="s">
        <v>503</v>
      </c>
      <c r="E88" s="214"/>
      <c r="F88" s="38">
        <f ca="1">F58*'Cost Input'!$J$32/1000000*'Cost Input'!$E$68*100000/'Battery Design'!F$72</f>
        <v>5.4036190026558835</v>
      </c>
      <c r="G88" s="38">
        <f ca="1">G58*'Cost Input'!$J$32/1000000*'Cost Input'!$E$68*100000/'Battery Design'!G$72</f>
        <v>6.7496688276949266</v>
      </c>
      <c r="H88" s="38">
        <f ca="1">H58*'Cost Input'!$J$32/1000000*'Cost Input'!$E$68*100000/'Battery Design'!H$72</f>
        <v>7.9054729190772139</v>
      </c>
      <c r="I88" s="38">
        <f ca="1">I58*'Cost Input'!$J$32/1000000*'Cost Input'!$E$68*100000/'Battery Design'!I$72</f>
        <v>8.9378946960546504</v>
      </c>
      <c r="J88" s="38">
        <f ca="1">J58*'Cost Input'!$J$32/1000000*'Cost Input'!$E$68*100000/'Battery Design'!J$72</f>
        <v>9.8816771872350255</v>
      </c>
      <c r="K88" s="38">
        <f ca="1">K58*'Cost Input'!$J$32/1000000*'Cost Input'!$E$68*100000/'Battery Design'!K$72</f>
        <v>10.757670105218994</v>
      </c>
      <c r="L88" s="38">
        <f ca="1">L58*'Cost Input'!$J$32/1000000*'Cost Input'!$E$68*100000/'Battery Design'!L$72</f>
        <v>11.579572391270059</v>
      </c>
    </row>
    <row r="89" spans="1:12" x14ac:dyDescent="0.2">
      <c r="A89" s="6" t="s">
        <v>504</v>
      </c>
      <c r="E89" s="301"/>
      <c r="F89" s="38">
        <f ca="1">F59*'Cost Input'!$J$32/1000000*'Cost Input'!$E$68*100000/'Battery Design'!F$72</f>
        <v>0.86566120830510829</v>
      </c>
      <c r="G89" s="38">
        <f ca="1">G59*'Cost Input'!$J$32/1000000*'Cost Input'!$E$68*100000/'Battery Design'!G$72</f>
        <v>1.1040855143136612</v>
      </c>
      <c r="H89" s="38">
        <f ca="1">H59*'Cost Input'!$J$32/1000000*'Cost Input'!$E$68*100000/'Battery Design'!H$72</f>
        <v>1.312097034413461</v>
      </c>
      <c r="I89" s="38">
        <f ca="1">I59*'Cost Input'!$J$32/1000000*'Cost Input'!$E$68*100000/'Battery Design'!I$72</f>
        <v>1.5000715061403485</v>
      </c>
      <c r="J89" s="38">
        <f ca="1">J59*'Cost Input'!$J$32/1000000*'Cost Input'!$E$68*100000/'Battery Design'!J$72</f>
        <v>1.6734807048893701</v>
      </c>
      <c r="K89" s="38">
        <f ca="1">K59*'Cost Input'!$J$32/1000000*'Cost Input'!$E$68*100000/'Battery Design'!K$72</f>
        <v>1.8356453695556614</v>
      </c>
      <c r="L89" s="38">
        <f ca="1">L59*'Cost Input'!$J$32/1000000*'Cost Input'!$E$68*100000/'Battery Design'!L$72</f>
        <v>1.9887672119296471</v>
      </c>
    </row>
    <row r="90" spans="1:12" x14ac:dyDescent="0.2">
      <c r="A90" s="82" t="s">
        <v>13</v>
      </c>
      <c r="F90" s="38">
        <f t="shared" ref="F90:K90" ca="1" si="12">SUM(F83:F89)</f>
        <v>73.169387776007241</v>
      </c>
      <c r="G90" s="38">
        <f t="shared" ca="1" si="12"/>
        <v>79.322376403493664</v>
      </c>
      <c r="H90" s="38">
        <f t="shared" ca="1" si="12"/>
        <v>86.24281041316064</v>
      </c>
      <c r="I90" s="38">
        <f t="shared" ca="1" si="12"/>
        <v>92.502412404736418</v>
      </c>
      <c r="J90" s="38">
        <f t="shared" ca="1" si="12"/>
        <v>98.287745236188826</v>
      </c>
      <c r="K90" s="38">
        <f t="shared" ca="1" si="12"/>
        <v>103.71035203978421</v>
      </c>
      <c r="L90" s="38">
        <f t="shared" ref="L90" ca="1" si="13">SUM(L83:L89)</f>
        <v>108.84335627596666</v>
      </c>
    </row>
    <row r="91" spans="1:12" ht="15" x14ac:dyDescent="0.25">
      <c r="A91" s="362" t="s">
        <v>757</v>
      </c>
      <c r="F91" s="38"/>
      <c r="G91" s="38"/>
      <c r="H91" s="38"/>
      <c r="I91" s="38"/>
      <c r="J91" s="38"/>
      <c r="K91" s="38"/>
      <c r="L91" s="38"/>
    </row>
    <row r="92" spans="1:12" x14ac:dyDescent="0.2">
      <c r="A92" s="142" t="s">
        <v>737</v>
      </c>
      <c r="F92" s="86">
        <f t="shared" ref="F92:L93" ca="1" si="14">F98</f>
        <v>443.75179729398076</v>
      </c>
      <c r="G92" s="86">
        <f t="shared" ca="1" si="14"/>
        <v>601.64596197499361</v>
      </c>
      <c r="H92" s="86">
        <f t="shared" ca="1" si="14"/>
        <v>787.50564936631122</v>
      </c>
      <c r="I92" s="86">
        <f t="shared" ca="1" si="14"/>
        <v>970.90171837341177</v>
      </c>
      <c r="J92" s="86">
        <f t="shared" ca="1" si="14"/>
        <v>1152.4111841696495</v>
      </c>
      <c r="K92" s="86">
        <f t="shared" ca="1" si="14"/>
        <v>1332.4012121690298</v>
      </c>
      <c r="L92" s="86">
        <f t="shared" ca="1" si="14"/>
        <v>1511.1250116202154</v>
      </c>
    </row>
    <row r="93" spans="1:12" x14ac:dyDescent="0.2">
      <c r="A93" s="142" t="s">
        <v>739</v>
      </c>
      <c r="F93" s="86">
        <f t="shared" ca="1" si="14"/>
        <v>652.83851172544291</v>
      </c>
      <c r="G93" s="86">
        <f t="shared" ca="1" si="14"/>
        <v>668.12518932550006</v>
      </c>
      <c r="H93" s="86">
        <f t="shared" ca="1" si="14"/>
        <v>702.87746318530401</v>
      </c>
      <c r="I93" s="86">
        <f t="shared" ca="1" si="14"/>
        <v>721.3405594259674</v>
      </c>
      <c r="J93" s="86">
        <f t="shared" ca="1" si="14"/>
        <v>738.82669753879372</v>
      </c>
      <c r="K93" s="86">
        <f t="shared" ca="1" si="14"/>
        <v>778.48528243529699</v>
      </c>
      <c r="L93" s="86">
        <f t="shared" ca="1" si="14"/>
        <v>796.58857522139658</v>
      </c>
    </row>
    <row r="94" spans="1:12" x14ac:dyDescent="0.2">
      <c r="A94" s="142" t="s">
        <v>742</v>
      </c>
      <c r="F94" s="86">
        <f t="shared" ref="F94:L94" ca="1" si="15">F72</f>
        <v>228.33738642678202</v>
      </c>
      <c r="G94" s="86">
        <f t="shared" ca="1" si="15"/>
        <v>239.23957249621847</v>
      </c>
      <c r="H94" s="86">
        <f t="shared" ca="1" si="15"/>
        <v>252.51698483692198</v>
      </c>
      <c r="I94" s="86">
        <f t="shared" ca="1" si="15"/>
        <v>264.29417434745346</v>
      </c>
      <c r="J94" s="86">
        <f t="shared" ca="1" si="15"/>
        <v>275.00267190619672</v>
      </c>
      <c r="K94" s="86">
        <f t="shared" ca="1" si="15"/>
        <v>284.89935678733889</v>
      </c>
      <c r="L94" s="86">
        <f t="shared" ca="1" si="15"/>
        <v>294.15190875172493</v>
      </c>
    </row>
    <row r="95" spans="1:12" x14ac:dyDescent="0.2">
      <c r="A95" s="253" t="s">
        <v>743</v>
      </c>
      <c r="F95" s="87">
        <f ca="1">F81+F90</f>
        <v>529.67977334039756</v>
      </c>
      <c r="G95" s="87">
        <f t="shared" ref="G95:L95" ca="1" si="16">G81+G90</f>
        <v>581.60044218561006</v>
      </c>
      <c r="H95" s="87">
        <f t="shared" ca="1" si="16"/>
        <v>636.03320950939053</v>
      </c>
      <c r="I95" s="87">
        <f t="shared" ca="1" si="16"/>
        <v>685.37415645791327</v>
      </c>
      <c r="J95" s="87">
        <f t="shared" ca="1" si="16"/>
        <v>731.08281346613626</v>
      </c>
      <c r="K95" s="87">
        <f t="shared" ca="1" si="16"/>
        <v>774.02516212848866</v>
      </c>
      <c r="L95" s="87">
        <f t="shared" ca="1" si="16"/>
        <v>814.76568402406269</v>
      </c>
    </row>
    <row r="96" spans="1:12" x14ac:dyDescent="0.2">
      <c r="F96" s="86">
        <f t="shared" ref="F96:K96" ca="1" si="17">SUM(F92:F95)</f>
        <v>1854.6074687866032</v>
      </c>
      <c r="G96" s="86">
        <f t="shared" ca="1" si="17"/>
        <v>2090.6111659823223</v>
      </c>
      <c r="H96" s="86">
        <f t="shared" ca="1" si="17"/>
        <v>2378.9333068979277</v>
      </c>
      <c r="I96" s="86">
        <f t="shared" ca="1" si="17"/>
        <v>2641.9106086047459</v>
      </c>
      <c r="J96" s="86">
        <f t="shared" ca="1" si="17"/>
        <v>2897.3233670807758</v>
      </c>
      <c r="K96" s="86">
        <f t="shared" ca="1" si="17"/>
        <v>3169.8110135201546</v>
      </c>
      <c r="L96" s="86">
        <f t="shared" ref="L96" ca="1" si="18">SUM(L92:L95)</f>
        <v>3416.6311796173995</v>
      </c>
    </row>
    <row r="97" spans="1:19" ht="15.75" x14ac:dyDescent="0.25">
      <c r="A97" s="318" t="s">
        <v>748</v>
      </c>
      <c r="B97" s="318"/>
      <c r="C97" s="318"/>
      <c r="D97" s="318"/>
      <c r="E97" s="318"/>
      <c r="F97" s="318"/>
      <c r="G97" s="318"/>
      <c r="H97" s="318"/>
      <c r="I97" s="318"/>
      <c r="J97" s="318"/>
      <c r="M97" s="16"/>
      <c r="N97" s="16"/>
      <c r="O97" s="16"/>
      <c r="P97" s="16"/>
      <c r="Q97" s="16"/>
      <c r="R97" s="16"/>
      <c r="S97" s="16"/>
    </row>
    <row r="98" spans="1:19" x14ac:dyDescent="0.2">
      <c r="A98" s="142" t="s">
        <v>737</v>
      </c>
      <c r="F98" s="214">
        <f ca="1">'Summary of Results'!F61*'Cost Input'!$E$65</f>
        <v>443.75179729398076</v>
      </c>
      <c r="G98" s="214">
        <f ca="1">'Summary of Results'!G61*'Cost Input'!$E$65</f>
        <v>601.64596197499361</v>
      </c>
      <c r="H98" s="214">
        <f ca="1">'Summary of Results'!H61*'Cost Input'!$E$65</f>
        <v>787.50564936631122</v>
      </c>
      <c r="I98" s="214">
        <f ca="1">'Summary of Results'!I61*'Cost Input'!$E$65</f>
        <v>970.90171837341177</v>
      </c>
      <c r="J98" s="214">
        <f ca="1">'Summary of Results'!J61*'Cost Input'!$E$65</f>
        <v>1152.4111841696495</v>
      </c>
      <c r="K98" s="214">
        <f ca="1">'Summary of Results'!K61*'Cost Input'!$E$65</f>
        <v>1332.4012121690298</v>
      </c>
      <c r="L98" s="214">
        <f ca="1">'Summary of Results'!L61*'Cost Input'!$E$65</f>
        <v>1511.1250116202154</v>
      </c>
      <c r="M98" s="44"/>
      <c r="N98" s="44"/>
      <c r="O98" s="44"/>
      <c r="P98" s="16"/>
      <c r="Q98" s="365"/>
      <c r="R98" s="176"/>
      <c r="S98" s="16"/>
    </row>
    <row r="99" spans="1:19" x14ac:dyDescent="0.2">
      <c r="A99" s="142" t="s">
        <v>739</v>
      </c>
      <c r="F99" s="117">
        <f ca="1">'Summary of Results'!F62*'Cost Input'!$E$65</f>
        <v>652.83851172502057</v>
      </c>
      <c r="G99" s="117">
        <f ca="1">'Summary of Results'!G62*'Cost Input'!$E$65</f>
        <v>668.12518932536545</v>
      </c>
      <c r="H99" s="117">
        <f ca="1">'Summary of Results'!H62*'Cost Input'!$E$65</f>
        <v>702.87746318527422</v>
      </c>
      <c r="I99" s="117">
        <f ca="1">'Summary of Results'!I62*'Cost Input'!$E$65</f>
        <v>721.3405594259566</v>
      </c>
      <c r="J99" s="117">
        <f ca="1">'Summary of Results'!J62*'Cost Input'!$E$65</f>
        <v>738.82669753879372</v>
      </c>
      <c r="K99" s="117">
        <f ca="1">'Summary of Results'!K62*'Cost Input'!$E$65</f>
        <v>778.48528243529699</v>
      </c>
      <c r="L99" s="117">
        <f ca="1">'Summary of Results'!L62*'Cost Input'!$E$65</f>
        <v>796.58857522139658</v>
      </c>
      <c r="M99" s="25"/>
      <c r="N99" s="44"/>
      <c r="O99" s="44"/>
      <c r="P99" s="16"/>
      <c r="Q99" s="365"/>
      <c r="R99" s="176"/>
      <c r="S99" s="16"/>
    </row>
    <row r="100" spans="1:19" x14ac:dyDescent="0.2">
      <c r="A100" s="142" t="s">
        <v>738</v>
      </c>
      <c r="F100" s="36"/>
      <c r="G100" s="36"/>
      <c r="H100" s="36"/>
      <c r="I100" s="36"/>
      <c r="J100" s="36"/>
      <c r="K100" s="36"/>
      <c r="L100" s="36"/>
      <c r="M100" s="44"/>
      <c r="N100" s="44"/>
      <c r="O100" s="44"/>
      <c r="P100" s="16"/>
      <c r="Q100" s="365"/>
      <c r="R100" s="176"/>
      <c r="S100" s="16"/>
    </row>
    <row r="101" spans="1:19" x14ac:dyDescent="0.2">
      <c r="A101" s="253" t="s">
        <v>150</v>
      </c>
      <c r="F101" s="117">
        <f t="shared" ref="F101:J107" ca="1" si="19">F65+F74+F83</f>
        <v>170.29001964119931</v>
      </c>
      <c r="G101" s="117">
        <f t="shared" ca="1" si="19"/>
        <v>202.56650845437471</v>
      </c>
      <c r="H101" s="117">
        <f t="shared" ca="1" si="19"/>
        <v>245.08755697707983</v>
      </c>
      <c r="I101" s="117">
        <f t="shared" ca="1" si="19"/>
        <v>284.37149835200103</v>
      </c>
      <c r="J101" s="117">
        <f t="shared" ca="1" si="19"/>
        <v>321.27826505947837</v>
      </c>
      <c r="K101" s="117">
        <f t="shared" ref="K101:L101" ca="1" si="20">K65+K74+K83</f>
        <v>356.333729268718</v>
      </c>
      <c r="L101" s="117">
        <f t="shared" ca="1" si="20"/>
        <v>389.88890063523962</v>
      </c>
      <c r="M101" s="44"/>
      <c r="N101" s="44"/>
      <c r="O101" s="44"/>
      <c r="P101" s="16"/>
      <c r="Q101" s="365"/>
      <c r="R101" s="176"/>
      <c r="S101" s="16"/>
    </row>
    <row r="102" spans="1:19" x14ac:dyDescent="0.2">
      <c r="A102" s="253" t="s">
        <v>151</v>
      </c>
      <c r="F102" s="117">
        <f t="shared" ca="1" si="19"/>
        <v>186.99184453955394</v>
      </c>
      <c r="G102" s="117">
        <f t="shared" ca="1" si="19"/>
        <v>189.11409858074495</v>
      </c>
      <c r="H102" s="117">
        <f t="shared" ca="1" si="19"/>
        <v>190.91048021618951</v>
      </c>
      <c r="I102" s="117">
        <f t="shared" ca="1" si="19"/>
        <v>192.43025142803404</v>
      </c>
      <c r="J102" s="117">
        <f t="shared" ca="1" si="19"/>
        <v>193.76116576220934</v>
      </c>
      <c r="K102" s="117">
        <f t="shared" ref="K102:L102" ca="1" si="21">K66+K75+K84</f>
        <v>194.953429581308</v>
      </c>
      <c r="L102" s="117">
        <f t="shared" ca="1" si="21"/>
        <v>196.03877631369838</v>
      </c>
      <c r="M102" s="44"/>
      <c r="N102" s="44"/>
      <c r="O102" s="44"/>
      <c r="P102" s="16"/>
      <c r="Q102" s="365"/>
      <c r="R102" s="69"/>
      <c r="S102" s="16"/>
    </row>
    <row r="103" spans="1:19" x14ac:dyDescent="0.2">
      <c r="A103" s="253" t="s">
        <v>338</v>
      </c>
      <c r="F103" s="117">
        <f t="shared" ca="1" si="19"/>
        <v>209.97284634261305</v>
      </c>
      <c r="G103" s="117">
        <f t="shared" ca="1" si="19"/>
        <v>226.02323858445394</v>
      </c>
      <c r="H103" s="117">
        <f t="shared" ca="1" si="19"/>
        <v>238.61621260267273</v>
      </c>
      <c r="I103" s="117">
        <f t="shared" ca="1" si="19"/>
        <v>249.16168532243159</v>
      </c>
      <c r="J103" s="117">
        <f t="shared" ca="1" si="19"/>
        <v>258.31858961497556</v>
      </c>
      <c r="K103" s="117">
        <f t="shared" ref="K103:L103" ca="1" si="22">K67+K76+K85</f>
        <v>266.46191552482583</v>
      </c>
      <c r="L103" s="117">
        <f t="shared" ca="1" si="22"/>
        <v>273.82759233762192</v>
      </c>
      <c r="M103" s="44"/>
      <c r="N103" s="44"/>
      <c r="O103" s="44"/>
      <c r="P103" s="16"/>
      <c r="Q103" s="365"/>
      <c r="R103" s="176"/>
      <c r="S103" s="16"/>
    </row>
    <row r="104" spans="1:19" x14ac:dyDescent="0.2">
      <c r="A104" s="253" t="s">
        <v>152</v>
      </c>
      <c r="F104" s="117">
        <f t="shared" si="19"/>
        <v>110.49912219991558</v>
      </c>
      <c r="G104" s="117">
        <f t="shared" si="19"/>
        <v>110.49912219991558</v>
      </c>
      <c r="H104" s="117">
        <f t="shared" si="19"/>
        <v>110.49912219991558</v>
      </c>
      <c r="I104" s="117">
        <f t="shared" si="19"/>
        <v>110.49912219991558</v>
      </c>
      <c r="J104" s="117">
        <f t="shared" si="19"/>
        <v>110.49912219991558</v>
      </c>
      <c r="K104" s="117">
        <f t="shared" ref="K104:L104" si="23">K68+K77+K86</f>
        <v>110.49912219991558</v>
      </c>
      <c r="L104" s="117">
        <f t="shared" si="23"/>
        <v>110.49912219991558</v>
      </c>
      <c r="M104" s="44"/>
      <c r="N104" s="44"/>
      <c r="O104" s="44"/>
      <c r="P104" s="16"/>
      <c r="Q104" s="365"/>
      <c r="R104" s="176"/>
      <c r="S104" s="16"/>
    </row>
    <row r="105" spans="1:19" x14ac:dyDescent="0.2">
      <c r="A105" s="253" t="s">
        <v>506</v>
      </c>
      <c r="F105" s="117">
        <f t="shared" si="19"/>
        <v>33.930345105122761</v>
      </c>
      <c r="G105" s="117">
        <f t="shared" si="19"/>
        <v>33.930345105122761</v>
      </c>
      <c r="H105" s="117">
        <f t="shared" si="19"/>
        <v>33.930345105122761</v>
      </c>
      <c r="I105" s="117">
        <f t="shared" si="19"/>
        <v>33.930345105122761</v>
      </c>
      <c r="J105" s="117">
        <f t="shared" si="19"/>
        <v>33.930345105122761</v>
      </c>
      <c r="K105" s="117">
        <f t="shared" ref="K105:L105" si="24">K69+K78+K87</f>
        <v>33.930345105122761</v>
      </c>
      <c r="L105" s="117">
        <f t="shared" si="24"/>
        <v>33.930345105122761</v>
      </c>
      <c r="M105" s="44"/>
      <c r="N105" s="44"/>
      <c r="O105" s="44"/>
      <c r="P105" s="16"/>
      <c r="Q105" s="365"/>
      <c r="R105" s="176"/>
      <c r="S105" s="16"/>
    </row>
    <row r="106" spans="1:19" x14ac:dyDescent="0.2">
      <c r="A106" s="253" t="s">
        <v>154</v>
      </c>
      <c r="F106" s="117">
        <f t="shared" ca="1" si="19"/>
        <v>35.527513559215691</v>
      </c>
      <c r="G106" s="117">
        <f t="shared" ca="1" si="19"/>
        <v>45.079539321552666</v>
      </c>
      <c r="H106" s="117">
        <f t="shared" ca="1" si="19"/>
        <v>53.427263552889599</v>
      </c>
      <c r="I106" s="117">
        <f t="shared" ca="1" si="19"/>
        <v>60.985307699089766</v>
      </c>
      <c r="J106" s="117">
        <f t="shared" ca="1" si="19"/>
        <v>67.971047301962827</v>
      </c>
      <c r="K106" s="117">
        <f t="shared" ref="K106:L106" ca="1" si="25">K70+K79+K88</f>
        <v>74.515877796626199</v>
      </c>
      <c r="L106" s="117">
        <f t="shared" ca="1" si="25"/>
        <v>80.706660825031648</v>
      </c>
      <c r="M106" s="25"/>
      <c r="N106" s="44"/>
      <c r="O106" s="44"/>
      <c r="P106" s="16"/>
      <c r="Q106" s="365"/>
      <c r="R106" s="176"/>
      <c r="S106" s="16"/>
    </row>
    <row r="107" spans="1:19" x14ac:dyDescent="0.2">
      <c r="A107" s="253" t="s">
        <v>339</v>
      </c>
      <c r="F107" s="117">
        <f t="shared" ca="1" si="19"/>
        <v>10.805468379559267</v>
      </c>
      <c r="G107" s="117">
        <f t="shared" ca="1" si="19"/>
        <v>13.627162435663857</v>
      </c>
      <c r="H107" s="117">
        <f t="shared" ca="1" si="19"/>
        <v>16.079213692442508</v>
      </c>
      <c r="I107" s="117">
        <f t="shared" ca="1" si="19"/>
        <v>18.290120698772025</v>
      </c>
      <c r="J107" s="117">
        <f t="shared" ca="1" si="19"/>
        <v>20.326950328668424</v>
      </c>
      <c r="K107" s="117">
        <f t="shared" ref="K107:L107" ca="1" si="26">K71+K80+K89</f>
        <v>22.230099439311193</v>
      </c>
      <c r="L107" s="117">
        <f t="shared" ca="1" si="26"/>
        <v>24.026195359157576</v>
      </c>
      <c r="M107" s="44"/>
      <c r="N107" s="16"/>
      <c r="O107" s="16"/>
      <c r="P107" s="16"/>
      <c r="Q107" s="365"/>
      <c r="R107" s="176"/>
      <c r="S107" s="16"/>
    </row>
    <row r="108" spans="1:19" x14ac:dyDescent="0.2">
      <c r="A108" s="253" t="s">
        <v>102</v>
      </c>
      <c r="F108" s="87">
        <f t="shared" ref="F108:K108" ca="1" si="27">SUM(F101:F107)</f>
        <v>758.01715976717958</v>
      </c>
      <c r="G108" s="87">
        <f t="shared" ca="1" si="27"/>
        <v>820.84001468182862</v>
      </c>
      <c r="H108" s="87">
        <f t="shared" ca="1" si="27"/>
        <v>888.55019434631265</v>
      </c>
      <c r="I108" s="87">
        <f t="shared" ca="1" si="27"/>
        <v>949.66833080536685</v>
      </c>
      <c r="J108" s="87">
        <f t="shared" ca="1" si="27"/>
        <v>1006.0854853723329</v>
      </c>
      <c r="K108" s="87">
        <f t="shared" ca="1" si="27"/>
        <v>1058.9245189158278</v>
      </c>
      <c r="L108" s="87">
        <f t="shared" ref="L108" ca="1" si="28">SUM(L101:L107)</f>
        <v>1108.9175927757874</v>
      </c>
      <c r="M108" s="16"/>
      <c r="N108" s="16"/>
      <c r="O108" s="16"/>
      <c r="P108" s="16"/>
      <c r="Q108" s="16"/>
      <c r="R108" s="16"/>
      <c r="S108" s="16"/>
    </row>
    <row r="109" spans="1:19" x14ac:dyDescent="0.2">
      <c r="A109" s="253" t="s">
        <v>740</v>
      </c>
      <c r="F109" s="86">
        <f t="shared" ref="F109:K109" ca="1" si="29">F98+F99+F108</f>
        <v>1854.607468786181</v>
      </c>
      <c r="G109" s="86">
        <f t="shared" ca="1" si="29"/>
        <v>2090.6111659821877</v>
      </c>
      <c r="H109" s="86">
        <f t="shared" ca="1" si="29"/>
        <v>2378.9333068978981</v>
      </c>
      <c r="I109" s="86">
        <f t="shared" ca="1" si="29"/>
        <v>2641.910608604735</v>
      </c>
      <c r="J109" s="86">
        <f t="shared" ca="1" si="29"/>
        <v>2897.3233670807758</v>
      </c>
      <c r="K109" s="86">
        <f t="shared" ca="1" si="29"/>
        <v>3169.8110135201546</v>
      </c>
      <c r="L109" s="86">
        <f t="shared" ref="L109" ca="1" si="30">L98+L99+L108</f>
        <v>3416.6311796173995</v>
      </c>
      <c r="M109" s="16"/>
      <c r="N109" s="16"/>
      <c r="O109" s="16"/>
      <c r="P109" s="16"/>
      <c r="Q109" s="16"/>
      <c r="R109" s="16"/>
      <c r="S109" s="16"/>
    </row>
    <row r="110" spans="1:19" x14ac:dyDescent="0.2">
      <c r="A110" s="253" t="s">
        <v>741</v>
      </c>
      <c r="F110" s="117">
        <f>'Summary of Results'!F71</f>
        <v>395</v>
      </c>
      <c r="G110" s="117">
        <f>'Summary of Results'!G71</f>
        <v>395</v>
      </c>
      <c r="H110" s="117">
        <f>'Summary of Results'!H71</f>
        <v>395</v>
      </c>
      <c r="I110" s="117">
        <f>'Summary of Results'!I71</f>
        <v>395</v>
      </c>
      <c r="J110" s="117">
        <f>'Summary of Results'!J71</f>
        <v>395</v>
      </c>
      <c r="K110" s="117">
        <f>'Summary of Results'!K71</f>
        <v>395</v>
      </c>
      <c r="L110" s="117">
        <f>'Summary of Results'!L71</f>
        <v>395</v>
      </c>
      <c r="M110" s="16"/>
      <c r="N110" s="16"/>
      <c r="O110" s="16"/>
      <c r="P110" s="16"/>
      <c r="Q110" s="16"/>
      <c r="R110" s="16"/>
      <c r="S110" s="16"/>
    </row>
    <row r="111" spans="1:19" x14ac:dyDescent="0.2">
      <c r="A111" t="s">
        <v>493</v>
      </c>
      <c r="F111" s="117">
        <f ca="1">'Summary of Results'!F73</f>
        <v>120</v>
      </c>
      <c r="G111" s="117">
        <f ca="1">'Summary of Results'!G73</f>
        <v>160</v>
      </c>
      <c r="H111" s="117">
        <f ca="1">'Summary of Results'!H73</f>
        <v>160</v>
      </c>
      <c r="I111" s="117">
        <f ca="1">'Summary of Results'!I73</f>
        <v>160</v>
      </c>
      <c r="J111" s="117">
        <f ca="1">'Summary of Results'!J73</f>
        <v>160</v>
      </c>
      <c r="K111" s="117">
        <f ca="1">'Summary of Results'!K73</f>
        <v>120</v>
      </c>
      <c r="L111" s="117">
        <f ca="1">'Summary of Results'!L73</f>
        <v>120</v>
      </c>
      <c r="M111" s="16"/>
      <c r="N111" s="16"/>
      <c r="O111" s="16"/>
      <c r="P111" s="16"/>
      <c r="Q111" s="16"/>
      <c r="R111" s="16"/>
      <c r="S111" s="16"/>
    </row>
    <row r="112" spans="1:19" x14ac:dyDescent="0.2">
      <c r="A112" t="s">
        <v>492</v>
      </c>
      <c r="F112" s="86">
        <f t="shared" ref="F112:K112" ca="1" si="31">F109+F110+F111</f>
        <v>2369.607468786181</v>
      </c>
      <c r="G112" s="86">
        <f t="shared" ca="1" si="31"/>
        <v>2645.6111659821877</v>
      </c>
      <c r="H112" s="86">
        <f t="shared" ca="1" si="31"/>
        <v>2933.9333068978981</v>
      </c>
      <c r="I112" s="86">
        <f t="shared" ca="1" si="31"/>
        <v>3196.910608604735</v>
      </c>
      <c r="J112" s="86">
        <f t="shared" ca="1" si="31"/>
        <v>3452.3233670807758</v>
      </c>
      <c r="K112" s="86">
        <f t="shared" ca="1" si="31"/>
        <v>3684.8110135201546</v>
      </c>
      <c r="L112" s="86">
        <f t="shared" ref="L112" ca="1" si="32">L109+L110+L111</f>
        <v>3931.6311796173995</v>
      </c>
      <c r="M112" s="16"/>
      <c r="N112" s="16"/>
      <c r="O112" s="16"/>
      <c r="P112" s="16"/>
      <c r="Q112" s="16"/>
      <c r="R112" s="16"/>
      <c r="S112" s="16"/>
    </row>
    <row r="114" spans="6:10" x14ac:dyDescent="0.2">
      <c r="F114" s="86"/>
      <c r="G114" s="86"/>
      <c r="H114" s="86"/>
      <c r="I114" s="86"/>
      <c r="J114" s="86"/>
    </row>
    <row r="115" spans="6:10" x14ac:dyDescent="0.2">
      <c r="F115" s="86"/>
      <c r="G115" s="86"/>
      <c r="H115" s="86"/>
      <c r="I115" s="86"/>
      <c r="J115" s="86"/>
    </row>
    <row r="116" spans="6:10" x14ac:dyDescent="0.2">
      <c r="F116" s="86"/>
      <c r="G116" s="86"/>
      <c r="H116" s="86"/>
      <c r="I116" s="86"/>
      <c r="J116" s="86"/>
    </row>
    <row r="117" spans="6:10" x14ac:dyDescent="0.2">
      <c r="F117" s="86"/>
      <c r="G117" s="86"/>
      <c r="H117" s="86"/>
      <c r="I117" s="86"/>
      <c r="J117" s="86"/>
    </row>
    <row r="118" spans="6:10" x14ac:dyDescent="0.2">
      <c r="F118" s="86"/>
      <c r="G118" s="86"/>
      <c r="H118" s="86"/>
      <c r="I118" s="86"/>
      <c r="J118" s="86"/>
    </row>
    <row r="119" spans="6:10" x14ac:dyDescent="0.2">
      <c r="F119" s="86"/>
      <c r="G119" s="86"/>
      <c r="H119" s="86"/>
      <c r="I119" s="86"/>
      <c r="J119" s="86"/>
    </row>
    <row r="120" spans="6:10" x14ac:dyDescent="0.2">
      <c r="F120" s="86"/>
      <c r="G120" s="86"/>
      <c r="H120" s="86"/>
      <c r="I120" s="86"/>
      <c r="J120" s="86"/>
    </row>
    <row r="121" spans="6:10" x14ac:dyDescent="0.2">
      <c r="F121" s="86"/>
      <c r="G121" s="86"/>
      <c r="H121" s="86"/>
      <c r="I121" s="86"/>
      <c r="J121" s="86"/>
    </row>
    <row r="122" spans="6:10" x14ac:dyDescent="0.2">
      <c r="F122" s="86"/>
      <c r="G122" s="86"/>
      <c r="H122" s="86"/>
      <c r="I122" s="86"/>
      <c r="J122" s="86"/>
    </row>
    <row r="123" spans="6:10" x14ac:dyDescent="0.2">
      <c r="F123" s="86"/>
      <c r="G123" s="86"/>
      <c r="H123" s="86"/>
      <c r="I123" s="86"/>
      <c r="J123" s="86"/>
    </row>
    <row r="124" spans="6:10" x14ac:dyDescent="0.2">
      <c r="F124" s="86"/>
      <c r="G124" s="86"/>
      <c r="H124" s="86"/>
      <c r="I124" s="86"/>
      <c r="J124" s="86"/>
    </row>
    <row r="125" spans="6:10" x14ac:dyDescent="0.2">
      <c r="F125" s="86"/>
      <c r="G125" s="86"/>
      <c r="H125" s="86"/>
      <c r="I125" s="86"/>
      <c r="J125" s="86"/>
    </row>
    <row r="126" spans="6:10" x14ac:dyDescent="0.2">
      <c r="F126" s="86"/>
      <c r="G126" s="86"/>
      <c r="H126" s="86"/>
      <c r="I126" s="86"/>
      <c r="J126" s="86"/>
    </row>
    <row r="127" spans="6:10" x14ac:dyDescent="0.2">
      <c r="F127" s="86"/>
      <c r="G127" s="86"/>
      <c r="H127" s="86"/>
      <c r="I127" s="86"/>
      <c r="J127" s="86"/>
    </row>
    <row r="128" spans="6:10" x14ac:dyDescent="0.2">
      <c r="F128" s="86"/>
      <c r="G128" s="86"/>
      <c r="H128" s="86"/>
      <c r="I128" s="86"/>
      <c r="J128" s="86"/>
    </row>
    <row r="129" spans="6:10" x14ac:dyDescent="0.2">
      <c r="F129" s="86"/>
      <c r="G129" s="86"/>
      <c r="H129" s="86"/>
      <c r="I129" s="86"/>
      <c r="J129" s="86"/>
    </row>
    <row r="130" spans="6:10" x14ac:dyDescent="0.2">
      <c r="F130" s="86"/>
      <c r="G130" s="86"/>
      <c r="H130" s="86"/>
      <c r="I130" s="86"/>
      <c r="J130" s="86"/>
    </row>
    <row r="131" spans="6:10" x14ac:dyDescent="0.2">
      <c r="F131" s="86"/>
      <c r="G131" s="86"/>
      <c r="H131" s="86"/>
      <c r="I131" s="86"/>
      <c r="J131" s="86"/>
    </row>
    <row r="132" spans="6:10" x14ac:dyDescent="0.2">
      <c r="F132" s="86"/>
      <c r="G132" s="86"/>
      <c r="H132" s="86"/>
      <c r="I132" s="86"/>
      <c r="J132" s="86"/>
    </row>
    <row r="133" spans="6:10" x14ac:dyDescent="0.2">
      <c r="F133" s="86"/>
      <c r="G133" s="86"/>
      <c r="H133" s="86"/>
      <c r="I133" s="86"/>
      <c r="J133" s="86"/>
    </row>
    <row r="134" spans="6:10" x14ac:dyDescent="0.2">
      <c r="F134" s="86"/>
      <c r="G134" s="86"/>
      <c r="H134" s="86"/>
      <c r="I134" s="86"/>
      <c r="J134" s="86"/>
    </row>
    <row r="135" spans="6:10" x14ac:dyDescent="0.2">
      <c r="F135" s="86"/>
      <c r="G135" s="86"/>
      <c r="H135" s="86"/>
      <c r="I135" s="86"/>
      <c r="J135" s="86"/>
    </row>
    <row r="136" spans="6:10" x14ac:dyDescent="0.2">
      <c r="F136" s="86"/>
      <c r="G136" s="86"/>
      <c r="H136" s="86"/>
      <c r="I136" s="86"/>
      <c r="J136" s="86"/>
    </row>
    <row r="137" spans="6:10" x14ac:dyDescent="0.2">
      <c r="F137" s="86"/>
      <c r="G137" s="86"/>
      <c r="H137" s="86"/>
      <c r="I137" s="86"/>
      <c r="J137" s="86"/>
    </row>
    <row r="138" spans="6:10" x14ac:dyDescent="0.2">
      <c r="F138" s="86"/>
      <c r="G138" s="86"/>
      <c r="H138" s="86"/>
      <c r="I138" s="86"/>
      <c r="J138" s="86"/>
    </row>
    <row r="139" spans="6:10" x14ac:dyDescent="0.2">
      <c r="F139" s="86"/>
      <c r="G139" s="86"/>
      <c r="H139" s="86"/>
      <c r="I139" s="86"/>
      <c r="J139" s="86"/>
    </row>
    <row r="140" spans="6:10" x14ac:dyDescent="0.2">
      <c r="F140" s="86"/>
      <c r="G140" s="86"/>
      <c r="H140" s="86"/>
      <c r="I140" s="86"/>
      <c r="J140" s="86"/>
    </row>
    <row r="141" spans="6:10" x14ac:dyDescent="0.2">
      <c r="F141" s="86"/>
      <c r="G141" s="86"/>
      <c r="H141" s="86"/>
      <c r="I141" s="86"/>
      <c r="J141" s="86"/>
    </row>
  </sheetData>
  <mergeCells count="2">
    <mergeCell ref="A1:L1"/>
    <mergeCell ref="A2:L2"/>
  </mergeCells>
  <pageMargins left="0.45" right="0.45" top="0.75" bottom="0.75" header="0.3" footer="0.3"/>
  <pageSetup scale="89" orientation="portrait" r:id="rId1"/>
  <headerFooter>
    <oddFooter>&amp;C&amp;P&amp;R&amp;F, &amp;D</oddFooter>
  </headerFooter>
  <rowBreaks count="5" manualBreakCount="5">
    <brk id="60" max="16383" man="1"/>
    <brk id="112" max="16383" man="1"/>
    <brk id="167" max="11" man="1"/>
    <brk id="227" max="11" man="1"/>
    <brk id="288" max="11" man="1"/>
  </rowBreaks>
  <colBreaks count="1" manualBreakCount="1">
    <brk id="12" max="1048575" man="1"/>
  </col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3"/>
    <pageSetUpPr fitToPage="1"/>
  </sheetPr>
  <dimension ref="A1"/>
  <sheetViews>
    <sheetView zoomScaleNormal="100" workbookViewId="0">
      <selection activeCell="D251" sqref="D251"/>
    </sheetView>
  </sheetViews>
  <sheetFormatPr defaultRowHeight="12.75" x14ac:dyDescent="0.2"/>
  <sheetData/>
  <phoneticPr fontId="5" type="noConversion"/>
  <printOptions horizontalCentered="1"/>
  <pageMargins left="0.5" right="0.5" top="0.5" bottom="0.5" header="0.5" footer="0.5"/>
  <pageSetup scale="94" orientation="landscape" verticalDpi="300" r:id="rId1"/>
  <headerFooter alignWithMargins="0">
    <oddFooter>&amp;C&amp;P&amp;R&amp;F, &amp;D</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44"/>
  <sheetViews>
    <sheetView zoomScaleNormal="100" workbookViewId="0">
      <selection activeCell="D251" sqref="D251"/>
    </sheetView>
  </sheetViews>
  <sheetFormatPr defaultRowHeight="12.75" x14ac:dyDescent="0.2"/>
  <sheetData>
    <row r="144" ht="12" customHeight="1" x14ac:dyDescent="0.2"/>
  </sheetData>
  <phoneticPr fontId="5" type="noConversion"/>
  <printOptions horizontalCentered="1"/>
  <pageMargins left="0.25" right="0.25" top="0.75" bottom="0.75" header="0.3" footer="0.3"/>
  <pageSetup scale="88" fitToHeight="0" orientation="landscape" verticalDpi="300" r:id="rId1"/>
  <headerFooter scaleWithDoc="0">
    <oddFooter>&amp;C&amp;P&amp;R&amp;F, &amp;D</oddFooter>
  </headerFooter>
  <rowBreaks count="2" manualBreakCount="2">
    <brk id="39" max="16383" man="1"/>
    <brk id="85" max="16"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7C80"/>
  </sheetPr>
  <dimension ref="A1"/>
  <sheetViews>
    <sheetView topLeftCell="A19" zoomScaleNormal="100" workbookViewId="0">
      <selection activeCell="X1" sqref="A1:X88"/>
    </sheetView>
  </sheetViews>
  <sheetFormatPr defaultRowHeight="12.75" x14ac:dyDescent="0.2"/>
  <sheetData/>
  <pageMargins left="0.7" right="0.7" top="0.75" bottom="0.75" header="0.3" footer="0.3"/>
  <pageSetup scale="55" fitToHeight="2" orientation="landscape" r:id="rId1"/>
  <rowBreaks count="1" manualBreakCount="1">
    <brk id="45" max="23"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P80"/>
  <sheetViews>
    <sheetView zoomScale="78" zoomScaleNormal="78" workbookViewId="0">
      <selection activeCell="D251" sqref="D251"/>
    </sheetView>
  </sheetViews>
  <sheetFormatPr defaultRowHeight="12.75" x14ac:dyDescent="0.2"/>
  <sheetData>
    <row r="1" spans="1:16" ht="27.75" x14ac:dyDescent="0.4">
      <c r="A1" s="633" t="s">
        <v>560</v>
      </c>
      <c r="B1" s="633"/>
      <c r="C1" s="633"/>
      <c r="D1" s="633"/>
      <c r="E1" s="633"/>
      <c r="F1" s="633"/>
      <c r="G1" s="633"/>
      <c r="H1" s="633"/>
      <c r="I1" s="633"/>
      <c r="J1" s="633"/>
      <c r="K1" s="633"/>
      <c r="L1" s="633"/>
      <c r="M1" s="633"/>
      <c r="N1" s="633"/>
      <c r="O1" s="633"/>
      <c r="P1" s="633"/>
    </row>
    <row r="2" spans="1:16" ht="23.25" x14ac:dyDescent="0.35">
      <c r="A2" s="244"/>
    </row>
    <row r="77" spans="1:16" ht="27.75" x14ac:dyDescent="0.4">
      <c r="A77" s="633" t="s">
        <v>561</v>
      </c>
      <c r="B77" s="633"/>
      <c r="C77" s="633"/>
      <c r="D77" s="633"/>
      <c r="E77" s="633"/>
      <c r="F77" s="633"/>
      <c r="G77" s="633"/>
      <c r="H77" s="633"/>
      <c r="I77" s="633"/>
      <c r="J77" s="633"/>
      <c r="K77" s="633"/>
      <c r="L77" s="633"/>
      <c r="M77" s="633"/>
      <c r="N77" s="633"/>
      <c r="O77" s="633"/>
      <c r="P77" s="633"/>
    </row>
    <row r="78" spans="1:16" s="253" customFormat="1" x14ac:dyDescent="0.2">
      <c r="A78" s="275"/>
      <c r="B78" s="275"/>
      <c r="C78" s="275"/>
      <c r="D78" s="275"/>
      <c r="E78" s="275"/>
      <c r="F78" s="275"/>
      <c r="G78" s="275"/>
      <c r="H78" s="275"/>
      <c r="I78" s="275"/>
      <c r="J78" s="275"/>
      <c r="K78" s="275"/>
      <c r="L78" s="275"/>
      <c r="M78" s="275"/>
      <c r="N78" s="275"/>
      <c r="O78" s="275"/>
      <c r="P78" s="275"/>
    </row>
    <row r="79" spans="1:16" s="253" customFormat="1" x14ac:dyDescent="0.2">
      <c r="A79" s="275"/>
      <c r="B79" s="275"/>
      <c r="C79" s="275"/>
      <c r="D79" s="275"/>
      <c r="E79" s="275"/>
      <c r="F79" s="275"/>
      <c r="G79" s="275"/>
      <c r="H79" s="275"/>
      <c r="I79" s="275"/>
      <c r="J79" s="275"/>
      <c r="K79" s="275"/>
      <c r="L79" s="275"/>
      <c r="M79" s="275"/>
      <c r="N79" s="275"/>
      <c r="O79" s="275"/>
      <c r="P79" s="275"/>
    </row>
    <row r="80" spans="1:16" s="253" customFormat="1" x14ac:dyDescent="0.2">
      <c r="A80" s="275"/>
      <c r="B80" s="275"/>
      <c r="C80" s="275"/>
      <c r="D80" s="275"/>
      <c r="E80" s="275"/>
      <c r="F80" s="275"/>
      <c r="G80" s="275"/>
      <c r="H80" s="275"/>
      <c r="I80" s="275"/>
      <c r="J80" s="275"/>
      <c r="K80" s="275"/>
      <c r="L80" s="275"/>
      <c r="M80" s="275"/>
      <c r="N80" s="275"/>
      <c r="O80" s="275"/>
      <c r="P80" s="275"/>
    </row>
  </sheetData>
  <mergeCells count="2">
    <mergeCell ref="A1:P1"/>
    <mergeCell ref="A77:P77"/>
  </mergeCells>
  <phoneticPr fontId="5" type="noConversion"/>
  <printOptions horizontalCentered="1"/>
  <pageMargins left="0.5" right="0.5" top="0.75" bottom="0.5" header="0.3" footer="0.3"/>
  <pageSetup scale="66" fitToHeight="0" orientation="portrait" r:id="rId1"/>
  <headerFooter alignWithMargins="0">
    <oddFooter>&amp;C&amp;P&amp;R&amp;F, &amp;D</oddFooter>
  </headerFooter>
  <rowBreaks count="1" manualBreakCount="1">
    <brk id="75" max="15"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T55"/>
  <sheetViews>
    <sheetView zoomScaleNormal="100" workbookViewId="0">
      <selection activeCell="B40" sqref="B40"/>
    </sheetView>
  </sheetViews>
  <sheetFormatPr defaultRowHeight="12.75" x14ac:dyDescent="0.2"/>
  <cols>
    <col min="1" max="1" width="29.85546875" customWidth="1"/>
    <col min="2" max="2" width="9.85546875" customWidth="1"/>
    <col min="11" max="11" width="9" customWidth="1"/>
  </cols>
  <sheetData>
    <row r="1" spans="1:20" ht="15.75" x14ac:dyDescent="0.25">
      <c r="A1" s="626" t="s">
        <v>774</v>
      </c>
      <c r="B1" s="626"/>
      <c r="C1" s="626"/>
      <c r="D1" s="626"/>
      <c r="E1" s="626"/>
      <c r="F1" s="626"/>
      <c r="G1" s="626"/>
      <c r="H1" s="626"/>
      <c r="I1" s="626"/>
      <c r="J1" s="626"/>
      <c r="K1" s="219"/>
    </row>
    <row r="2" spans="1:20" x14ac:dyDescent="0.2">
      <c r="K2" s="99"/>
    </row>
    <row r="3" spans="1:20" x14ac:dyDescent="0.2">
      <c r="C3" s="7" t="s">
        <v>542</v>
      </c>
      <c r="D3" s="7" t="s">
        <v>541</v>
      </c>
      <c r="E3" s="7"/>
      <c r="F3" s="7" t="s">
        <v>543</v>
      </c>
      <c r="G3" s="7" t="s">
        <v>541</v>
      </c>
      <c r="H3" s="7"/>
      <c r="I3" s="7" t="s">
        <v>547</v>
      </c>
      <c r="J3" s="7" t="s">
        <v>541</v>
      </c>
      <c r="K3" s="491"/>
      <c r="L3" s="7" t="s">
        <v>540</v>
      </c>
      <c r="M3" s="7" t="s">
        <v>541</v>
      </c>
      <c r="N3" s="242"/>
      <c r="O3" s="7" t="s">
        <v>538</v>
      </c>
      <c r="P3" s="7" t="s">
        <v>539</v>
      </c>
      <c r="Q3" s="7"/>
      <c r="R3" s="7" t="s">
        <v>538</v>
      </c>
      <c r="S3" s="7" t="s">
        <v>541</v>
      </c>
      <c r="T3" s="7"/>
    </row>
    <row r="4" spans="1:20" x14ac:dyDescent="0.2">
      <c r="A4" t="s">
        <v>544</v>
      </c>
      <c r="D4" s="235">
        <v>1.25</v>
      </c>
      <c r="G4" s="235">
        <v>1.25</v>
      </c>
      <c r="J4" s="235">
        <v>1.25</v>
      </c>
      <c r="M4" s="235">
        <v>1.07</v>
      </c>
      <c r="N4" s="95"/>
      <c r="P4" s="235">
        <v>1.1000000000000001</v>
      </c>
      <c r="Q4" s="95"/>
      <c r="S4" s="235">
        <v>1.115</v>
      </c>
    </row>
    <row r="5" spans="1:20" x14ac:dyDescent="0.2">
      <c r="A5" t="s">
        <v>545</v>
      </c>
      <c r="D5" s="19">
        <f>+C10*D4/D10</f>
        <v>0.60606060606060608</v>
      </c>
      <c r="G5" s="19">
        <f>+F10*G4/G10</f>
        <v>0.66287878787878785</v>
      </c>
      <c r="J5" s="19">
        <f>+I10*J4/J10</f>
        <v>0.56818181818181823</v>
      </c>
      <c r="M5" s="19">
        <f>+L10*M4/M10</f>
        <v>0.54148484848484846</v>
      </c>
      <c r="N5" s="95"/>
      <c r="P5" s="19">
        <f>+O10*P4/P10</f>
        <v>0.69882352941176473</v>
      </c>
      <c r="Q5" s="95"/>
      <c r="S5" s="19">
        <f>+R10*S4/S10</f>
        <v>0.36490909090909091</v>
      </c>
    </row>
    <row r="6" spans="1:20" x14ac:dyDescent="0.2">
      <c r="N6" s="99"/>
      <c r="Q6" s="99"/>
    </row>
    <row r="7" spans="1:20" x14ac:dyDescent="0.2">
      <c r="A7" t="s">
        <v>528</v>
      </c>
      <c r="D7" s="19">
        <f>(D10-C15)*D5/C16</f>
        <v>1.2436143039591314</v>
      </c>
      <c r="G7" s="19">
        <f>(G10-F15)*G5/F16</f>
        <v>1.2430156449553</v>
      </c>
      <c r="J7" s="19">
        <f>(J10-I15)*J5/I16</f>
        <v>1.2440134099616857</v>
      </c>
      <c r="M7" s="19">
        <f>(M10-L15)*M5/L16</f>
        <v>1.2006120367222035</v>
      </c>
      <c r="N7" s="95"/>
      <c r="P7" s="19">
        <f>(P10-O15)*P5/O16</f>
        <v>1.0670924369747898</v>
      </c>
      <c r="Q7" s="95"/>
      <c r="S7" s="19">
        <f>(S10-R15)*S5/R16</f>
        <v>1.200547807197053</v>
      </c>
    </row>
    <row r="8" spans="1:20" x14ac:dyDescent="0.2">
      <c r="D8" s="2"/>
      <c r="G8" s="2"/>
      <c r="J8" s="2"/>
      <c r="M8" s="2"/>
      <c r="N8" s="124"/>
      <c r="P8" s="2"/>
      <c r="Q8" s="124"/>
      <c r="S8" s="2"/>
    </row>
    <row r="9" spans="1:20" x14ac:dyDescent="0.2">
      <c r="C9" s="4" t="s">
        <v>529</v>
      </c>
      <c r="D9" s="4" t="s">
        <v>530</v>
      </c>
      <c r="F9" s="4" t="s">
        <v>529</v>
      </c>
      <c r="G9" s="4" t="s">
        <v>530</v>
      </c>
      <c r="I9" s="4" t="s">
        <v>529</v>
      </c>
      <c r="J9" s="4" t="s">
        <v>530</v>
      </c>
      <c r="L9" s="4" t="s">
        <v>529</v>
      </c>
      <c r="M9" s="4" t="s">
        <v>530</v>
      </c>
      <c r="N9" s="217"/>
      <c r="O9" s="4" t="s">
        <v>529</v>
      </c>
      <c r="P9" s="4" t="s">
        <v>530</v>
      </c>
      <c r="Q9" s="217"/>
      <c r="R9" s="4" t="s">
        <v>529</v>
      </c>
      <c r="S9" s="4" t="s">
        <v>530</v>
      </c>
    </row>
    <row r="10" spans="1:20" x14ac:dyDescent="0.2">
      <c r="A10" t="s">
        <v>534</v>
      </c>
      <c r="C10" s="237">
        <v>160</v>
      </c>
      <c r="D10" s="237">
        <v>330</v>
      </c>
      <c r="F10" s="237">
        <v>175</v>
      </c>
      <c r="G10" s="237">
        <v>330</v>
      </c>
      <c r="I10" s="237">
        <v>150</v>
      </c>
      <c r="J10" s="237">
        <v>330</v>
      </c>
      <c r="L10" s="237">
        <v>167</v>
      </c>
      <c r="M10" s="237">
        <v>330</v>
      </c>
      <c r="N10" s="124"/>
      <c r="O10" s="237">
        <v>108</v>
      </c>
      <c r="P10" s="237">
        <v>170</v>
      </c>
      <c r="Q10" s="124"/>
      <c r="R10" s="237">
        <v>108</v>
      </c>
      <c r="S10" s="237">
        <v>330</v>
      </c>
    </row>
    <row r="11" spans="1:20" x14ac:dyDescent="0.2">
      <c r="A11" t="s">
        <v>533</v>
      </c>
      <c r="C11" s="235">
        <v>0.87</v>
      </c>
      <c r="D11" s="235">
        <v>0.9</v>
      </c>
      <c r="F11" s="235">
        <v>0.87</v>
      </c>
      <c r="G11" s="235">
        <v>0.9</v>
      </c>
      <c r="I11" s="235">
        <v>0.87</v>
      </c>
      <c r="J11" s="235">
        <v>0.9</v>
      </c>
      <c r="L11" s="235">
        <v>0.99</v>
      </c>
      <c r="M11" s="235">
        <v>0.9</v>
      </c>
      <c r="N11" s="95"/>
      <c r="O11" s="235">
        <v>0.94499999999999995</v>
      </c>
      <c r="P11" s="235">
        <v>0.99</v>
      </c>
      <c r="Q11" s="95"/>
      <c r="R11" s="235">
        <v>0.95</v>
      </c>
      <c r="S11" s="235">
        <v>0.9</v>
      </c>
    </row>
    <row r="12" spans="1:20" x14ac:dyDescent="0.2">
      <c r="A12" t="s">
        <v>532</v>
      </c>
      <c r="C12" s="3">
        <f>+C10/C11</f>
        <v>183.90804597701148</v>
      </c>
      <c r="D12" s="3">
        <f>+D10/D11</f>
        <v>366.66666666666669</v>
      </c>
      <c r="F12" s="3">
        <f>+F10/F11</f>
        <v>201.14942528735634</v>
      </c>
      <c r="G12" s="3">
        <f>+G10/G11</f>
        <v>366.66666666666669</v>
      </c>
      <c r="I12" s="3">
        <f>+I10/I11</f>
        <v>172.41379310344828</v>
      </c>
      <c r="J12" s="3">
        <f>+J10/J11</f>
        <v>366.66666666666669</v>
      </c>
      <c r="L12" s="3">
        <f>+L10/L11</f>
        <v>168.68686868686868</v>
      </c>
      <c r="M12" s="3">
        <f>+M10/M11</f>
        <v>366.66666666666669</v>
      </c>
      <c r="N12" s="128"/>
      <c r="O12" s="3">
        <f>+O10/O11</f>
        <v>114.28571428571429</v>
      </c>
      <c r="P12" s="3">
        <f>+P10/P11</f>
        <v>171.71717171717171</v>
      </c>
      <c r="Q12" s="128"/>
      <c r="R12" s="3">
        <f>+R10/R11</f>
        <v>113.68421052631579</v>
      </c>
      <c r="S12" s="3">
        <f>+S10/S11</f>
        <v>366.66666666666669</v>
      </c>
    </row>
    <row r="13" spans="1:20" x14ac:dyDescent="0.2">
      <c r="N13" s="99"/>
      <c r="Q13" s="99"/>
    </row>
    <row r="14" spans="1:20" x14ac:dyDescent="0.2">
      <c r="A14" t="s">
        <v>536</v>
      </c>
      <c r="C14" s="3">
        <f>(D12-D10)*D5</f>
        <v>22.222222222222236</v>
      </c>
      <c r="F14" s="3">
        <f>(G12-G10)*G5</f>
        <v>24.305555555555568</v>
      </c>
      <c r="I14" s="3">
        <f>(J12-J10)*J5</f>
        <v>20.833333333333346</v>
      </c>
      <c r="L14" s="3">
        <f>(M12-M10)*M5</f>
        <v>19.854444444444454</v>
      </c>
      <c r="N14" s="99"/>
      <c r="O14" s="3">
        <f>(P12-P10)*P5</f>
        <v>1.1999999999999944</v>
      </c>
      <c r="Q14" s="99"/>
      <c r="R14" s="3">
        <f>(S12-S10)*S5</f>
        <v>13.380000000000006</v>
      </c>
    </row>
    <row r="15" spans="1:20" x14ac:dyDescent="0.2">
      <c r="A15" t="s">
        <v>537</v>
      </c>
      <c r="C15" s="3">
        <f>IF(C10+C10/C11*(1-C11)-C10*D4/D11*(1-D11)&gt;C10,C10/C11*(1-C11)-C10*D4/D11*(1-D11),0)</f>
        <v>1.6858237547892756</v>
      </c>
      <c r="F15" s="3">
        <f>IF(F10+F10/F11*(1-F11)-F10*G4/G11*(1-G11)&gt;F10,F10/F11*(1-F11)-F10*G4/G11*(1-G11),0)</f>
        <v>1.8438697318007762</v>
      </c>
      <c r="I15" s="3">
        <f>IF(I10+I10/I11*(1-I11)-I10*J4/J11*(1-J11)&gt;I10,I10/I11*(1-I11)-I10*J4/J11*(1-J11),0)</f>
        <v>1.5804597701149525</v>
      </c>
      <c r="L15" s="3">
        <f>IF(L10+L10/L11*(1-L11)-L10*M4/M11*(1-M11)&gt;L10,L10/L11*(1-L11)-L10*M4/M11*(1-M11),0)</f>
        <v>0</v>
      </c>
      <c r="N15" s="99"/>
      <c r="O15" s="3">
        <f>IF(O10+O10/O11*(1-O11)-O10*P4/P11*(1-P11)&gt;O10,O10/O11*(1-O11)-O10*P4/P11*(1-P11),0)</f>
        <v>5.0857142857142907</v>
      </c>
      <c r="Q15" s="99"/>
      <c r="R15" s="3">
        <f>IF(R10+R10/R11*(1-R11)-R10*S4/S11*(1-S11)&gt;R10,R10/R11*(1-R11)-R10*S4/S11*(1-S11),0)</f>
        <v>0</v>
      </c>
    </row>
    <row r="16" spans="1:20" x14ac:dyDescent="0.2">
      <c r="A16" t="s">
        <v>535</v>
      </c>
      <c r="C16" s="3">
        <f>MIN(C10+C10/C11*(1-C11)-C10*D4/D11*(1-D11),C10)</f>
        <v>160</v>
      </c>
      <c r="D16" s="3">
        <f>+C16/D5</f>
        <v>264</v>
      </c>
      <c r="F16" s="3">
        <f>MIN(F10+F10/F11*(1-F11)-F10*G4/G11*(1-G11),F10)</f>
        <v>175</v>
      </c>
      <c r="G16" s="3">
        <f>+F16/G5</f>
        <v>264</v>
      </c>
      <c r="I16" s="3">
        <f>MIN(I10+I10/I11*(1-I11)-I10*J4/J11*(1-J11),I10)</f>
        <v>150</v>
      </c>
      <c r="J16" s="3">
        <f>+I16/J5</f>
        <v>264</v>
      </c>
      <c r="L16" s="3">
        <f>MIN(L10+L10/L11*(1-L11)-L10*M4/M11*(1-M11),L10)</f>
        <v>148.83242424242422</v>
      </c>
      <c r="M16" s="3">
        <f>+L16/M5</f>
        <v>274.85981308411215</v>
      </c>
      <c r="N16" s="128"/>
      <c r="O16" s="3">
        <f>MIN(O10+O10/O11*(1-O11)-O10*P4/P11*(1-P11),O10)</f>
        <v>108</v>
      </c>
      <c r="P16" s="3">
        <f>+O16/P5</f>
        <v>154.54545454545453</v>
      </c>
      <c r="Q16" s="128"/>
      <c r="R16" s="3">
        <f>MIN(R10+R10/R11*(1-R11)-R10*S4/S11*(1-S11),R10)</f>
        <v>100.3042105263158</v>
      </c>
      <c r="S16" s="3">
        <f>+R16/S5</f>
        <v>274.87451813389981</v>
      </c>
    </row>
    <row r="17" spans="1:20" x14ac:dyDescent="0.2">
      <c r="N17" s="99"/>
      <c r="Q17" s="99"/>
    </row>
    <row r="18" spans="1:20" x14ac:dyDescent="0.2">
      <c r="N18" s="99"/>
      <c r="Q18" s="99"/>
    </row>
    <row r="19" spans="1:20" x14ac:dyDescent="0.2">
      <c r="A19" t="s">
        <v>531</v>
      </c>
      <c r="C19" s="7" t="s">
        <v>542</v>
      </c>
      <c r="D19" s="7" t="s">
        <v>541</v>
      </c>
      <c r="E19" s="7"/>
      <c r="F19" s="7" t="s">
        <v>543</v>
      </c>
      <c r="G19" s="7" t="s">
        <v>541</v>
      </c>
      <c r="H19" s="7"/>
      <c r="I19" s="7" t="s">
        <v>547</v>
      </c>
      <c r="J19" s="7" t="s">
        <v>541</v>
      </c>
      <c r="K19" s="491"/>
      <c r="L19" s="7" t="s">
        <v>540</v>
      </c>
      <c r="M19" s="7" t="s">
        <v>541</v>
      </c>
      <c r="N19" s="242"/>
      <c r="O19" s="7" t="s">
        <v>538</v>
      </c>
      <c r="P19" s="7" t="s">
        <v>539</v>
      </c>
      <c r="Q19" s="242"/>
      <c r="R19" s="7" t="s">
        <v>538</v>
      </c>
      <c r="S19" s="7" t="s">
        <v>541</v>
      </c>
      <c r="T19" s="7"/>
    </row>
    <row r="20" spans="1:20" x14ac:dyDescent="0.2">
      <c r="A20" t="s">
        <v>205</v>
      </c>
      <c r="C20" s="238">
        <f>+C16</f>
        <v>160</v>
      </c>
      <c r="D20" s="239">
        <f>D10</f>
        <v>330</v>
      </c>
      <c r="F20" s="238">
        <f>+F16</f>
        <v>175</v>
      </c>
      <c r="G20" s="239">
        <f>G10</f>
        <v>330</v>
      </c>
      <c r="I20" s="238">
        <f>+I16</f>
        <v>150</v>
      </c>
      <c r="J20" s="239">
        <f>J10</f>
        <v>330</v>
      </c>
      <c r="L20" s="238">
        <f>+L16</f>
        <v>148.83242424242422</v>
      </c>
      <c r="M20" s="239">
        <f>M10</f>
        <v>330</v>
      </c>
      <c r="N20" s="124"/>
      <c r="O20" s="238">
        <f>+O16</f>
        <v>108</v>
      </c>
      <c r="P20" s="239">
        <f>P10</f>
        <v>170</v>
      </c>
      <c r="Q20" s="124"/>
      <c r="R20" s="238">
        <f>+R16</f>
        <v>100.3042105263158</v>
      </c>
      <c r="S20" s="239">
        <f>S10</f>
        <v>330</v>
      </c>
    </row>
    <row r="21" spans="1:20" x14ac:dyDescent="0.2">
      <c r="A21" s="27" t="s">
        <v>204</v>
      </c>
      <c r="B21" s="27"/>
      <c r="C21" s="241">
        <f>D20*D5/C20</f>
        <v>1.25</v>
      </c>
      <c r="D21" s="241"/>
      <c r="E21" s="80"/>
      <c r="F21" s="241">
        <f>G20*G5/F20</f>
        <v>1.25</v>
      </c>
      <c r="G21" s="241"/>
      <c r="H21" s="80"/>
      <c r="I21" s="241">
        <f>J20*J5/I20</f>
        <v>1.2500000000000002</v>
      </c>
      <c r="J21" s="241"/>
      <c r="K21" s="80"/>
      <c r="L21" s="241">
        <f>M20*M5/L20</f>
        <v>1.2006120367222035</v>
      </c>
      <c r="M21" s="239"/>
      <c r="N21" s="124"/>
      <c r="O21" s="241">
        <f>P20*P5/O20</f>
        <v>1.1000000000000001</v>
      </c>
      <c r="P21" s="239"/>
      <c r="Q21" s="124"/>
      <c r="R21" s="241">
        <f>S20*S5/R20</f>
        <v>1.200547807197053</v>
      </c>
      <c r="S21" s="241"/>
      <c r="T21" s="80"/>
    </row>
    <row r="22" spans="1:20" x14ac:dyDescent="0.2">
      <c r="K22" s="99"/>
      <c r="N22" s="99"/>
    </row>
    <row r="23" spans="1:20" x14ac:dyDescent="0.2">
      <c r="K23" s="99"/>
      <c r="N23" s="99"/>
    </row>
    <row r="24" spans="1:20" x14ac:dyDescent="0.2">
      <c r="A24" t="s">
        <v>527</v>
      </c>
      <c r="B24" s="236"/>
      <c r="L24" s="99"/>
      <c r="N24" s="99"/>
    </row>
    <row r="25" spans="1:20" x14ac:dyDescent="0.2">
      <c r="A25" t="s">
        <v>548</v>
      </c>
      <c r="B25" s="240"/>
      <c r="L25" s="99"/>
    </row>
    <row r="29" spans="1:20" ht="15.75" x14ac:dyDescent="0.25">
      <c r="A29" s="327"/>
      <c r="B29" s="136"/>
      <c r="C29" s="21"/>
      <c r="D29" s="21"/>
      <c r="E29" s="518"/>
      <c r="F29" s="518"/>
      <c r="G29" s="518"/>
      <c r="H29" s="519"/>
      <c r="I29" s="518"/>
      <c r="J29" s="518"/>
      <c r="K29" s="518"/>
    </row>
    <row r="30" spans="1:20" ht="15.75" x14ac:dyDescent="0.25">
      <c r="A30" s="327"/>
      <c r="B30" s="136"/>
      <c r="C30" s="21"/>
      <c r="D30" s="21"/>
      <c r="E30" s="518"/>
      <c r="F30" s="518"/>
      <c r="G30" s="518"/>
      <c r="H30" s="519"/>
      <c r="I30" s="518"/>
      <c r="J30" s="518"/>
      <c r="K30" s="518"/>
    </row>
    <row r="31" spans="1:20" x14ac:dyDescent="0.2">
      <c r="B31" s="136"/>
      <c r="C31" s="21"/>
      <c r="D31" s="21"/>
      <c r="E31" s="445"/>
      <c r="F31" s="445"/>
      <c r="G31" s="445"/>
      <c r="H31" s="520"/>
      <c r="I31" s="445"/>
      <c r="J31" s="445"/>
      <c r="K31" s="445"/>
    </row>
    <row r="32" spans="1:20" x14ac:dyDescent="0.2">
      <c r="A32" s="150"/>
      <c r="B32" s="21"/>
      <c r="C32" s="21"/>
      <c r="D32" s="21"/>
      <c r="E32" s="445"/>
      <c r="F32" s="521"/>
      <c r="G32" s="145"/>
      <c r="H32" s="520"/>
      <c r="I32" s="145"/>
      <c r="J32" s="22"/>
      <c r="K32" s="22"/>
    </row>
    <row r="33" spans="1:11" x14ac:dyDescent="0.2">
      <c r="A33" s="11"/>
      <c r="B33" s="10"/>
      <c r="C33" s="10"/>
      <c r="D33" s="10"/>
      <c r="E33" s="445"/>
      <c r="F33" s="445"/>
      <c r="G33" s="445"/>
      <c r="H33" s="520"/>
      <c r="I33" s="445"/>
      <c r="J33" s="445"/>
      <c r="K33" s="445"/>
    </row>
    <row r="34" spans="1:11" x14ac:dyDescent="0.2">
      <c r="A34" s="11"/>
      <c r="B34" s="35"/>
      <c r="C34" s="35"/>
      <c r="D34" s="35"/>
      <c r="E34" s="445"/>
      <c r="F34" s="445"/>
      <c r="G34" s="445"/>
      <c r="H34" s="520"/>
      <c r="I34" s="445"/>
      <c r="J34" s="445"/>
      <c r="K34" s="445"/>
    </row>
    <row r="35" spans="1:11" x14ac:dyDescent="0.2">
      <c r="A35" s="9"/>
      <c r="B35" s="9"/>
      <c r="C35" s="9"/>
      <c r="D35" s="9"/>
      <c r="E35" s="445"/>
      <c r="F35" s="156"/>
      <c r="G35" s="156"/>
      <c r="H35" s="520"/>
      <c r="I35" s="156"/>
      <c r="J35" s="156"/>
      <c r="K35" s="156"/>
    </row>
    <row r="36" spans="1:11" x14ac:dyDescent="0.2">
      <c r="A36" s="137"/>
      <c r="B36" s="9"/>
      <c r="C36" s="9"/>
      <c r="D36" s="9"/>
      <c r="E36" s="445"/>
      <c r="F36" s="156"/>
      <c r="G36" s="156"/>
      <c r="H36" s="520"/>
      <c r="I36" s="156"/>
      <c r="J36" s="156"/>
      <c r="K36" s="156"/>
    </row>
    <row r="37" spans="1:11" x14ac:dyDescent="0.2">
      <c r="A37" s="137"/>
      <c r="B37" s="14"/>
      <c r="C37" s="14"/>
      <c r="D37" s="14"/>
      <c r="E37" s="445"/>
      <c r="F37" s="482"/>
      <c r="G37" s="482"/>
      <c r="H37" s="522"/>
      <c r="I37" s="482"/>
      <c r="J37" s="482"/>
      <c r="K37" s="482"/>
    </row>
    <row r="38" spans="1:11" x14ac:dyDescent="0.2">
      <c r="A38" s="137"/>
      <c r="B38" s="14"/>
      <c r="C38" s="14"/>
      <c r="D38" s="14"/>
      <c r="E38" s="445"/>
      <c r="F38" s="145"/>
      <c r="G38" s="145"/>
      <c r="H38" s="523"/>
      <c r="I38" s="145"/>
      <c r="J38" s="482"/>
      <c r="K38" s="482"/>
    </row>
    <row r="39" spans="1:11" x14ac:dyDescent="0.2">
      <c r="A39" s="11"/>
      <c r="B39" s="14"/>
      <c r="C39" s="14"/>
      <c r="D39" s="14"/>
      <c r="E39" s="445"/>
      <c r="F39" s="156"/>
      <c r="G39" s="156"/>
      <c r="H39" s="523"/>
      <c r="I39" s="156"/>
      <c r="J39" s="156"/>
      <c r="K39" s="156"/>
    </row>
    <row r="40" spans="1:11" x14ac:dyDescent="0.2">
      <c r="A40" s="11"/>
      <c r="B40" s="14"/>
      <c r="C40" s="14"/>
      <c r="D40" s="14"/>
      <c r="E40" s="445"/>
      <c r="F40" s="156"/>
      <c r="G40" s="156"/>
      <c r="H40" s="523"/>
      <c r="I40" s="156"/>
      <c r="J40" s="156"/>
      <c r="K40" s="156"/>
    </row>
    <row r="41" spans="1:11" x14ac:dyDescent="0.2">
      <c r="A41" s="9"/>
      <c r="B41" s="14"/>
      <c r="C41" s="14"/>
      <c r="D41" s="14"/>
      <c r="E41" s="445"/>
      <c r="F41" s="156"/>
      <c r="G41" s="156"/>
      <c r="H41" s="523"/>
      <c r="I41" s="156"/>
      <c r="J41" s="156"/>
      <c r="K41" s="156"/>
    </row>
    <row r="42" spans="1:11" ht="15" x14ac:dyDescent="0.25">
      <c r="A42" s="328"/>
      <c r="B42" s="25"/>
      <c r="C42" s="25"/>
      <c r="D42" s="25"/>
      <c r="E42" s="445"/>
      <c r="F42" s="145"/>
      <c r="G42" s="145"/>
      <c r="H42" s="520"/>
      <c r="I42" s="145"/>
      <c r="J42" s="142"/>
      <c r="K42" s="142"/>
    </row>
    <row r="43" spans="1:11" x14ac:dyDescent="0.2">
      <c r="A43" s="27"/>
      <c r="B43" s="25"/>
      <c r="C43" s="25"/>
      <c r="D43" s="25"/>
      <c r="E43" s="445"/>
      <c r="F43" s="156"/>
      <c r="G43" s="156"/>
      <c r="H43" s="520"/>
      <c r="I43" s="156"/>
      <c r="J43" s="143"/>
      <c r="K43" s="156"/>
    </row>
    <row r="44" spans="1:11" x14ac:dyDescent="0.2">
      <c r="B44" s="25"/>
      <c r="C44" s="25"/>
      <c r="D44" s="25"/>
      <c r="E44" s="445"/>
      <c r="F44" s="156"/>
      <c r="G44" s="156"/>
      <c r="H44" s="520"/>
      <c r="I44" s="156"/>
      <c r="J44" s="125"/>
      <c r="K44" s="156"/>
    </row>
    <row r="45" spans="1:11" x14ac:dyDescent="0.2">
      <c r="A45" s="151"/>
      <c r="B45" s="25"/>
      <c r="C45" s="25"/>
      <c r="D45" s="25"/>
      <c r="E45" s="445"/>
      <c r="F45" s="145"/>
      <c r="G45" s="145"/>
      <c r="H45" s="520"/>
      <c r="I45" s="145"/>
      <c r="J45" s="142"/>
      <c r="K45" s="145"/>
    </row>
    <row r="46" spans="1:11" x14ac:dyDescent="0.2">
      <c r="A46" s="50"/>
      <c r="B46" s="25"/>
      <c r="C46" s="25"/>
      <c r="D46" s="25"/>
      <c r="E46" s="445"/>
      <c r="F46" s="144"/>
      <c r="G46" s="144"/>
      <c r="H46" s="524"/>
      <c r="I46" s="144"/>
      <c r="J46" s="144"/>
      <c r="K46" s="144"/>
    </row>
    <row r="47" spans="1:11" x14ac:dyDescent="0.2">
      <c r="A47" s="27"/>
      <c r="B47" s="25"/>
      <c r="C47" s="25"/>
      <c r="D47" s="25"/>
      <c r="E47" s="445"/>
      <c r="F47" s="144"/>
      <c r="G47" s="144"/>
      <c r="H47" s="524"/>
      <c r="I47" s="144"/>
      <c r="J47" s="144"/>
      <c r="K47" s="144"/>
    </row>
    <row r="48" spans="1:11" x14ac:dyDescent="0.2">
      <c r="A48" s="27"/>
      <c r="B48" s="25"/>
      <c r="C48" s="25"/>
      <c r="D48" s="25"/>
      <c r="E48" s="445"/>
      <c r="F48" s="144"/>
      <c r="G48" s="144"/>
      <c r="H48" s="524"/>
      <c r="I48" s="144"/>
      <c r="J48" s="144"/>
      <c r="K48" s="144"/>
    </row>
    <row r="49" spans="1:11" x14ac:dyDescent="0.2">
      <c r="A49" s="137"/>
      <c r="B49" s="25"/>
      <c r="C49" s="25"/>
      <c r="D49" s="25"/>
      <c r="E49" s="445"/>
      <c r="F49" s="144"/>
      <c r="G49" s="144"/>
      <c r="H49" s="524"/>
      <c r="I49" s="144"/>
      <c r="J49" s="144"/>
      <c r="K49" s="144"/>
    </row>
    <row r="50" spans="1:11" x14ac:dyDescent="0.2">
      <c r="A50" s="137"/>
      <c r="B50" s="30"/>
      <c r="C50" s="30"/>
      <c r="D50" s="30"/>
      <c r="E50" s="445"/>
      <c r="F50" s="125"/>
      <c r="G50" s="125"/>
      <c r="H50" s="523"/>
      <c r="I50" s="125"/>
      <c r="J50" s="125"/>
      <c r="K50" s="125"/>
    </row>
    <row r="51" spans="1:11" x14ac:dyDescent="0.2">
      <c r="A51" s="137"/>
      <c r="B51" s="30"/>
      <c r="C51" s="30"/>
      <c r="D51" s="30"/>
      <c r="E51" s="445"/>
      <c r="F51" s="145"/>
      <c r="G51" s="145"/>
      <c r="H51" s="523"/>
      <c r="I51" s="145"/>
      <c r="J51" s="125"/>
      <c r="K51" s="145"/>
    </row>
    <row r="52" spans="1:11" x14ac:dyDescent="0.2">
      <c r="A52" s="50"/>
      <c r="B52" s="30"/>
      <c r="C52" s="30"/>
      <c r="D52" s="30"/>
      <c r="E52" s="445"/>
      <c r="F52" s="113"/>
      <c r="G52" s="113"/>
      <c r="H52" s="525"/>
      <c r="I52" s="113"/>
      <c r="J52" s="113"/>
      <c r="K52" s="113"/>
    </row>
    <row r="53" spans="1:11" x14ac:dyDescent="0.2">
      <c r="A53" s="27"/>
      <c r="B53" s="30"/>
      <c r="C53" s="30"/>
      <c r="D53" s="30"/>
      <c r="E53" s="445"/>
      <c r="F53" s="113"/>
      <c r="G53" s="113"/>
      <c r="H53" s="525"/>
      <c r="I53" s="113"/>
      <c r="J53" s="113"/>
      <c r="K53" s="113"/>
    </row>
    <row r="54" spans="1:11" x14ac:dyDescent="0.2">
      <c r="A54" s="27"/>
      <c r="B54" s="30"/>
      <c r="C54" s="30"/>
      <c r="D54" s="30"/>
      <c r="E54" s="445"/>
      <c r="F54" s="113"/>
      <c r="G54" s="113"/>
      <c r="H54" s="525"/>
      <c r="I54" s="113"/>
      <c r="J54" s="113"/>
      <c r="K54" s="113"/>
    </row>
    <row r="55" spans="1:11" x14ac:dyDescent="0.2">
      <c r="E55" s="145"/>
      <c r="F55" s="145"/>
      <c r="G55" s="145"/>
      <c r="H55" s="145"/>
      <c r="I55" s="145"/>
      <c r="J55" s="145"/>
      <c r="K55" s="145"/>
    </row>
  </sheetData>
  <mergeCells count="1">
    <mergeCell ref="A1:J1"/>
  </mergeCells>
  <phoneticPr fontId="5" type="noConversion"/>
  <printOptions horizontalCentered="1"/>
  <pageMargins left="0.75" right="0.75" top="1" bottom="1" header="0.5" footer="0.5"/>
  <pageSetup orientation="landscape" r:id="rId1"/>
  <headerFooter alignWithMargins="0">
    <oddFooter>&amp;C&amp;P&amp;R&amp;F, &amp;D</oddFooter>
  </headerFooter>
  <colBreaks count="1" manualBreakCount="1">
    <brk id="10" max="24"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0"/>
  </sheetPr>
  <dimension ref="A1:S173"/>
  <sheetViews>
    <sheetView zoomScaleNormal="100" workbookViewId="0">
      <selection activeCell="L5" sqref="L5"/>
    </sheetView>
  </sheetViews>
  <sheetFormatPr defaultRowHeight="12.75" x14ac:dyDescent="0.2"/>
  <cols>
    <col min="3" max="3" width="11" customWidth="1"/>
    <col min="4" max="4" width="10.5703125" customWidth="1"/>
    <col min="5" max="5" width="18" customWidth="1"/>
    <col min="6" max="6" width="9.28515625" customWidth="1"/>
    <col min="7" max="7" width="12.42578125" customWidth="1"/>
    <col min="8" max="8" width="12" customWidth="1"/>
    <col min="9" max="9" width="10.28515625" customWidth="1"/>
    <col min="10" max="10" width="11.42578125" customWidth="1"/>
    <col min="11" max="11" width="9.5703125" bestFit="1" customWidth="1"/>
    <col min="12" max="12" width="17.28515625" customWidth="1"/>
    <col min="13" max="13" width="11.140625" customWidth="1"/>
    <col min="14" max="14" width="10.140625" customWidth="1"/>
    <col min="17" max="17" width="14.42578125" customWidth="1"/>
    <col min="18" max="18" width="14" customWidth="1"/>
    <col min="19" max="19" width="18.85546875" customWidth="1"/>
    <col min="20" max="21" width="14" customWidth="1"/>
    <col min="22" max="22" width="13.140625" customWidth="1"/>
    <col min="23" max="23" width="14.28515625" customWidth="1"/>
  </cols>
  <sheetData>
    <row r="1" spans="1:18" ht="18" x14ac:dyDescent="0.25">
      <c r="A1" s="620" t="s">
        <v>195</v>
      </c>
      <c r="B1" s="620"/>
      <c r="C1" s="620"/>
      <c r="D1" s="620"/>
      <c r="E1" s="620"/>
      <c r="F1" s="620"/>
      <c r="G1" s="620"/>
      <c r="H1" s="620"/>
      <c r="I1" s="620"/>
      <c r="J1" s="620"/>
      <c r="K1" s="620"/>
      <c r="L1" s="620"/>
      <c r="M1" s="557"/>
      <c r="N1" s="557"/>
    </row>
    <row r="2" spans="1:18" ht="16.5" thickBot="1" x14ac:dyDescent="0.3">
      <c r="A2" s="15"/>
      <c r="B2" s="7"/>
      <c r="C2" s="7"/>
      <c r="D2" s="7"/>
      <c r="E2" s="341" t="s">
        <v>943</v>
      </c>
      <c r="F2" s="623" t="s">
        <v>206</v>
      </c>
      <c r="G2" s="623"/>
      <c r="H2" s="623"/>
      <c r="I2" s="623"/>
      <c r="J2" s="623"/>
      <c r="K2" s="623"/>
      <c r="L2" s="623"/>
    </row>
    <row r="3" spans="1:18" ht="16.5" thickBot="1" x14ac:dyDescent="0.3">
      <c r="A3" s="15"/>
      <c r="B3" s="15"/>
      <c r="C3" s="34"/>
      <c r="D3" s="139"/>
      <c r="E3" s="582"/>
      <c r="G3" s="338"/>
      <c r="H3" s="338"/>
      <c r="I3" s="338"/>
      <c r="J3" s="338"/>
      <c r="K3" s="338"/>
      <c r="L3" s="565" t="s">
        <v>931</v>
      </c>
      <c r="N3" s="341" t="s">
        <v>214</v>
      </c>
      <c r="O3" s="480"/>
    </row>
    <row r="4" spans="1:18" ht="21.95" customHeight="1" thickBot="1" x14ac:dyDescent="0.3">
      <c r="A4" s="327"/>
      <c r="B4" s="136"/>
      <c r="C4" s="21"/>
      <c r="D4" s="21"/>
      <c r="E4" s="544" t="s">
        <v>216</v>
      </c>
      <c r="F4" s="544" t="s">
        <v>207</v>
      </c>
      <c r="G4" s="544" t="s">
        <v>942</v>
      </c>
      <c r="H4" s="545" t="s">
        <v>546</v>
      </c>
      <c r="I4" s="544" t="s">
        <v>209</v>
      </c>
      <c r="J4" s="544" t="s">
        <v>366</v>
      </c>
      <c r="K4" s="544" t="s">
        <v>216</v>
      </c>
      <c r="L4" s="566">
        <v>0.75</v>
      </c>
      <c r="M4" s="544" t="s">
        <v>208</v>
      </c>
      <c r="N4" s="544" t="s">
        <v>210</v>
      </c>
      <c r="O4" s="481"/>
    </row>
    <row r="5" spans="1:18" ht="15.75" x14ac:dyDescent="0.25">
      <c r="A5" s="327" t="s">
        <v>5</v>
      </c>
      <c r="B5" s="136"/>
      <c r="C5" s="21"/>
      <c r="D5" s="21"/>
      <c r="E5" s="341"/>
      <c r="F5" s="341"/>
      <c r="G5" s="341"/>
      <c r="H5" s="234"/>
      <c r="I5" s="341"/>
      <c r="J5" s="341"/>
      <c r="K5" s="341"/>
      <c r="L5" s="542"/>
      <c r="O5" s="57"/>
    </row>
    <row r="6" spans="1:18" x14ac:dyDescent="0.2">
      <c r="A6" t="s">
        <v>205</v>
      </c>
      <c r="B6" s="136"/>
      <c r="C6" s="21"/>
      <c r="D6" s="21"/>
      <c r="E6" s="567">
        <f>IF(N6&gt;0,N6,IF($E$4=$F$4,F6,IF($E$4=$G$4,G6,IF($E$4=$H$4,H6,IF($E$4=$I$4,I6,IF($E$4=$J$4,J6,IF($E$4=$K$4,K6,IF($E$4=$L$3,L6,IF($E$4=$M$4,M6)))))))))</f>
        <v>100</v>
      </c>
      <c r="F6" s="283">
        <v>200</v>
      </c>
      <c r="G6" s="283">
        <v>180</v>
      </c>
      <c r="H6" s="559">
        <v>155</v>
      </c>
      <c r="I6" s="561">
        <v>150</v>
      </c>
      <c r="J6" s="283">
        <v>108</v>
      </c>
      <c r="K6" s="283">
        <v>100</v>
      </c>
      <c r="L6" s="256">
        <f>H6-L$4*(H6-K6)</f>
        <v>113.75</v>
      </c>
      <c r="M6" s="263"/>
      <c r="N6" s="124"/>
      <c r="O6" s="445"/>
      <c r="P6" s="546"/>
    </row>
    <row r="7" spans="1:18" x14ac:dyDescent="0.2">
      <c r="A7" s="150" t="s">
        <v>8</v>
      </c>
      <c r="B7" s="21"/>
      <c r="C7" s="21"/>
      <c r="D7" s="21"/>
      <c r="E7" s="567"/>
      <c r="F7" s="150"/>
      <c r="G7" s="266"/>
      <c r="H7" s="559"/>
      <c r="I7" s="400"/>
      <c r="J7" s="293"/>
      <c r="K7" s="293"/>
      <c r="L7" s="293"/>
      <c r="O7" s="150"/>
      <c r="Q7" s="550"/>
      <c r="R7" s="551"/>
    </row>
    <row r="8" spans="1:18" x14ac:dyDescent="0.2">
      <c r="A8" s="11" t="s">
        <v>6</v>
      </c>
      <c r="B8" s="10"/>
      <c r="C8" s="10"/>
      <c r="D8" s="10"/>
      <c r="E8" s="567">
        <f t="shared" ref="E8:E66" si="0">IF(N8&gt;0,N8,IF($E$4=$F$4,F8,IF($E$4=$G$4,G8,IF($E$4=$H$4,H8,IF($E$4=$I$4,I8,IF($E$4=$J$4,J8,IF($E$4=$K$4,K8,IF($E$4=$L$3,L8,IF($E$4=$M$4,M8)))))))))</f>
        <v>89</v>
      </c>
      <c r="F8" s="283">
        <f>100-F9-F10</f>
        <v>89</v>
      </c>
      <c r="G8" s="283">
        <f>100-G9-G10</f>
        <v>89</v>
      </c>
      <c r="H8" s="559">
        <v>89</v>
      </c>
      <c r="I8" s="283">
        <f>100-I9-I10</f>
        <v>89</v>
      </c>
      <c r="J8" s="283">
        <f>100-J9-J10</f>
        <v>89</v>
      </c>
      <c r="K8" s="283">
        <f>100-K9-K10</f>
        <v>89</v>
      </c>
      <c r="L8" s="283">
        <f>100-L9-L10</f>
        <v>89</v>
      </c>
      <c r="O8" s="445"/>
      <c r="Q8" s="549"/>
      <c r="R8" s="551"/>
    </row>
    <row r="9" spans="1:18" x14ac:dyDescent="0.2">
      <c r="A9" s="11" t="s">
        <v>10</v>
      </c>
      <c r="B9" s="35"/>
      <c r="C9" s="35"/>
      <c r="D9" s="35"/>
      <c r="E9" s="567">
        <f t="shared" si="0"/>
        <v>6</v>
      </c>
      <c r="F9" s="283">
        <v>6</v>
      </c>
      <c r="G9" s="283">
        <v>6</v>
      </c>
      <c r="H9" s="559">
        <v>6</v>
      </c>
      <c r="I9" s="283">
        <v>6</v>
      </c>
      <c r="J9" s="283">
        <v>6</v>
      </c>
      <c r="K9" s="283">
        <v>6</v>
      </c>
      <c r="L9" s="283">
        <v>6</v>
      </c>
      <c r="O9" s="445"/>
      <c r="Q9" s="552"/>
      <c r="R9" s="553"/>
    </row>
    <row r="10" spans="1:18" x14ac:dyDescent="0.2">
      <c r="A10" s="9" t="s">
        <v>11</v>
      </c>
      <c r="B10" s="9"/>
      <c r="C10" s="9"/>
      <c r="D10" s="9"/>
      <c r="E10" s="567">
        <f t="shared" si="0"/>
        <v>5</v>
      </c>
      <c r="F10" s="283">
        <v>5</v>
      </c>
      <c r="G10" s="283">
        <v>5</v>
      </c>
      <c r="H10" s="561">
        <v>5</v>
      </c>
      <c r="I10" s="283">
        <v>5</v>
      </c>
      <c r="J10" s="283">
        <v>5</v>
      </c>
      <c r="K10" s="283">
        <v>5</v>
      </c>
      <c r="L10" s="283">
        <v>5</v>
      </c>
      <c r="O10" s="156"/>
      <c r="Q10" s="552"/>
      <c r="R10" s="553"/>
    </row>
    <row r="11" spans="1:18" x14ac:dyDescent="0.2">
      <c r="A11" s="137" t="s">
        <v>280</v>
      </c>
      <c r="B11" s="9"/>
      <c r="C11" s="9"/>
      <c r="D11" s="9"/>
      <c r="E11" s="567" t="str">
        <f t="shared" si="0"/>
        <v>NMP</v>
      </c>
      <c r="F11" s="283" t="s">
        <v>281</v>
      </c>
      <c r="G11" s="283" t="s">
        <v>281</v>
      </c>
      <c r="H11" s="561" t="s">
        <v>281</v>
      </c>
      <c r="I11" s="283" t="s">
        <v>281</v>
      </c>
      <c r="J11" s="283" t="s">
        <v>281</v>
      </c>
      <c r="K11" s="283" t="s">
        <v>281</v>
      </c>
      <c r="L11" s="283" t="s">
        <v>281</v>
      </c>
      <c r="O11" s="156"/>
    </row>
    <row r="12" spans="1:18" x14ac:dyDescent="0.2">
      <c r="A12" s="137" t="s">
        <v>340</v>
      </c>
      <c r="B12" s="14"/>
      <c r="C12" s="14"/>
      <c r="D12" s="14"/>
      <c r="E12" s="567">
        <f t="shared" si="0"/>
        <v>32</v>
      </c>
      <c r="F12" s="568">
        <v>32</v>
      </c>
      <c r="G12" s="568">
        <v>32</v>
      </c>
      <c r="H12" s="569">
        <v>32</v>
      </c>
      <c r="I12" s="568">
        <v>50</v>
      </c>
      <c r="J12" s="568">
        <v>32</v>
      </c>
      <c r="K12" s="568">
        <v>32</v>
      </c>
      <c r="L12" s="568">
        <v>32</v>
      </c>
      <c r="N12" s="141"/>
      <c r="O12" s="482"/>
    </row>
    <row r="13" spans="1:18" ht="14.25" x14ac:dyDescent="0.2">
      <c r="A13" s="137" t="s">
        <v>196</v>
      </c>
      <c r="B13" s="14"/>
      <c r="C13" s="14"/>
      <c r="D13" s="14"/>
      <c r="E13" s="567"/>
      <c r="F13" s="266"/>
      <c r="G13" s="266"/>
      <c r="H13" s="570"/>
      <c r="I13" s="400"/>
      <c r="J13" s="568"/>
      <c r="K13" s="568"/>
      <c r="L13" s="568"/>
      <c r="O13" s="145"/>
    </row>
    <row r="14" spans="1:18" x14ac:dyDescent="0.2">
      <c r="A14" s="11" t="s">
        <v>6</v>
      </c>
      <c r="B14" s="14"/>
      <c r="C14" s="14"/>
      <c r="D14" s="14"/>
      <c r="E14" s="567">
        <f t="shared" si="0"/>
        <v>4.2300000000000004</v>
      </c>
      <c r="F14" s="283">
        <v>4.78</v>
      </c>
      <c r="G14" s="283">
        <v>4.6500000000000004</v>
      </c>
      <c r="H14" s="570">
        <v>4.6500000000000004</v>
      </c>
      <c r="I14" s="283">
        <v>3.45</v>
      </c>
      <c r="J14" s="283">
        <v>4.2300000000000004</v>
      </c>
      <c r="K14" s="283">
        <v>4.2300000000000004</v>
      </c>
      <c r="L14" s="284">
        <f>H14-L$4*(H14-K14)</f>
        <v>4.3350000000000009</v>
      </c>
      <c r="O14" s="156"/>
    </row>
    <row r="15" spans="1:18" x14ac:dyDescent="0.2">
      <c r="A15" s="11" t="s">
        <v>10</v>
      </c>
      <c r="B15" s="14"/>
      <c r="C15" s="14"/>
      <c r="D15" s="14"/>
      <c r="E15" s="567">
        <f t="shared" si="0"/>
        <v>1.825</v>
      </c>
      <c r="F15" s="283">
        <v>1.825</v>
      </c>
      <c r="G15" s="283">
        <v>1.825</v>
      </c>
      <c r="H15" s="570">
        <v>1.825</v>
      </c>
      <c r="I15" s="283">
        <v>1.825</v>
      </c>
      <c r="J15" s="283">
        <v>1.825</v>
      </c>
      <c r="K15" s="283">
        <v>1.825</v>
      </c>
      <c r="L15" s="283">
        <v>1.825</v>
      </c>
      <c r="O15" s="156"/>
    </row>
    <row r="16" spans="1:18" x14ac:dyDescent="0.2">
      <c r="A16" s="9" t="s">
        <v>11</v>
      </c>
      <c r="B16" s="14"/>
      <c r="C16" s="14"/>
      <c r="D16" s="14"/>
      <c r="E16" s="567">
        <f t="shared" si="0"/>
        <v>1.77</v>
      </c>
      <c r="F16" s="283">
        <v>1.77</v>
      </c>
      <c r="G16" s="283">
        <v>1.77</v>
      </c>
      <c r="H16" s="570">
        <v>1.77</v>
      </c>
      <c r="I16" s="283">
        <v>1.77</v>
      </c>
      <c r="J16" s="283">
        <v>1.77</v>
      </c>
      <c r="K16" s="283">
        <v>1.77</v>
      </c>
      <c r="L16" s="283">
        <v>1.77</v>
      </c>
      <c r="O16" s="156"/>
    </row>
    <row r="17" spans="1:17" ht="15" x14ac:dyDescent="0.25">
      <c r="A17" s="328" t="s">
        <v>197</v>
      </c>
      <c r="B17" s="25"/>
      <c r="C17" s="25"/>
      <c r="D17" s="25"/>
      <c r="E17" s="567"/>
      <c r="F17" s="266"/>
      <c r="G17" s="266"/>
      <c r="H17" s="559"/>
      <c r="I17" s="400"/>
      <c r="J17" s="142"/>
      <c r="K17" s="142"/>
      <c r="L17" s="142"/>
      <c r="O17" s="145"/>
      <c r="Q17" s="372"/>
    </row>
    <row r="18" spans="1:17" x14ac:dyDescent="0.2">
      <c r="A18" s="27" t="s">
        <v>204</v>
      </c>
      <c r="B18" s="25"/>
      <c r="C18" s="25"/>
      <c r="D18" s="25"/>
      <c r="E18" s="567">
        <f t="shared" si="0"/>
        <v>1.2</v>
      </c>
      <c r="F18" s="283">
        <v>1.25</v>
      </c>
      <c r="G18" s="283">
        <v>1.25</v>
      </c>
      <c r="H18" s="559">
        <v>1.25</v>
      </c>
      <c r="I18" s="283">
        <v>1.2</v>
      </c>
      <c r="J18" s="113">
        <v>1.1000000000000001</v>
      </c>
      <c r="K18" s="283">
        <v>1.2</v>
      </c>
      <c r="L18" s="283">
        <v>1.2</v>
      </c>
      <c r="N18" s="140"/>
      <c r="O18" s="156"/>
    </row>
    <row r="19" spans="1:17" x14ac:dyDescent="0.2">
      <c r="A19" t="s">
        <v>205</v>
      </c>
      <c r="B19" s="25"/>
      <c r="C19" s="25"/>
      <c r="D19" s="25"/>
      <c r="E19" s="567">
        <f t="shared" si="0"/>
        <v>360</v>
      </c>
      <c r="F19" s="283">
        <v>360</v>
      </c>
      <c r="G19" s="283">
        <v>360</v>
      </c>
      <c r="H19" s="283">
        <v>360</v>
      </c>
      <c r="I19" s="283">
        <v>360</v>
      </c>
      <c r="J19" s="125">
        <v>170</v>
      </c>
      <c r="K19" s="283">
        <v>360</v>
      </c>
      <c r="L19" s="283">
        <v>360</v>
      </c>
      <c r="N19" s="140"/>
      <c r="O19" s="156"/>
    </row>
    <row r="20" spans="1:17" x14ac:dyDescent="0.2">
      <c r="A20" s="151" t="s">
        <v>8</v>
      </c>
      <c r="B20" s="25"/>
      <c r="C20" s="25"/>
      <c r="D20" s="25"/>
      <c r="E20" s="567"/>
      <c r="F20" s="266"/>
      <c r="G20" s="266"/>
      <c r="H20" s="559"/>
      <c r="I20" s="400"/>
      <c r="J20" s="142"/>
      <c r="K20" s="266"/>
      <c r="L20" s="266"/>
      <c r="O20" s="145"/>
    </row>
    <row r="21" spans="1:17" x14ac:dyDescent="0.2">
      <c r="A21" s="50" t="s">
        <v>6</v>
      </c>
      <c r="B21" s="25"/>
      <c r="C21" s="25"/>
      <c r="D21" s="25"/>
      <c r="E21" s="567">
        <f t="shared" si="0"/>
        <v>95</v>
      </c>
      <c r="F21" s="144">
        <f>100-F22-F23</f>
        <v>95</v>
      </c>
      <c r="G21" s="144">
        <f>100-G22-G23</f>
        <v>95</v>
      </c>
      <c r="H21" s="29">
        <v>95</v>
      </c>
      <c r="I21" s="144">
        <f>100-I22-I23</f>
        <v>95</v>
      </c>
      <c r="J21" s="144">
        <f>100-J22-J23</f>
        <v>89</v>
      </c>
      <c r="K21" s="144">
        <f>100-K22-K23</f>
        <v>95</v>
      </c>
      <c r="L21" s="144">
        <f>100-L22-L23</f>
        <v>95</v>
      </c>
      <c r="O21" s="144"/>
    </row>
    <row r="22" spans="1:17" x14ac:dyDescent="0.2">
      <c r="A22" s="27" t="s">
        <v>10</v>
      </c>
      <c r="B22" s="25"/>
      <c r="C22" s="25"/>
      <c r="D22" s="25"/>
      <c r="E22" s="567">
        <f t="shared" si="0"/>
        <v>0</v>
      </c>
      <c r="F22" s="144">
        <v>0</v>
      </c>
      <c r="G22" s="144">
        <v>0</v>
      </c>
      <c r="H22" s="29">
        <v>0</v>
      </c>
      <c r="I22" s="144">
        <v>0</v>
      </c>
      <c r="J22" s="144">
        <v>6</v>
      </c>
      <c r="K22" s="144">
        <v>0</v>
      </c>
      <c r="L22" s="144">
        <v>0</v>
      </c>
      <c r="O22" s="144"/>
    </row>
    <row r="23" spans="1:17" x14ac:dyDescent="0.2">
      <c r="A23" s="27" t="s">
        <v>11</v>
      </c>
      <c r="B23" s="25"/>
      <c r="C23" s="25"/>
      <c r="D23" s="25"/>
      <c r="E23" s="567">
        <f t="shared" si="0"/>
        <v>5</v>
      </c>
      <c r="F23" s="144">
        <v>5</v>
      </c>
      <c r="G23" s="144">
        <v>5</v>
      </c>
      <c r="H23" s="29">
        <v>5</v>
      </c>
      <c r="I23" s="144">
        <v>5</v>
      </c>
      <c r="J23" s="144">
        <v>5</v>
      </c>
      <c r="K23" s="144">
        <v>5</v>
      </c>
      <c r="L23" s="144">
        <v>5</v>
      </c>
      <c r="O23" s="144"/>
    </row>
    <row r="24" spans="1:17" x14ac:dyDescent="0.2">
      <c r="A24" s="137" t="s">
        <v>280</v>
      </c>
      <c r="B24" s="25"/>
      <c r="C24" s="25"/>
      <c r="D24" s="25"/>
      <c r="E24" s="567" t="str">
        <f t="shared" si="0"/>
        <v>Water</v>
      </c>
      <c r="F24" s="144" t="s">
        <v>282</v>
      </c>
      <c r="G24" s="144" t="s">
        <v>282</v>
      </c>
      <c r="H24" s="29" t="s">
        <v>282</v>
      </c>
      <c r="I24" s="144" t="s">
        <v>282</v>
      </c>
      <c r="J24" s="144" t="s">
        <v>282</v>
      </c>
      <c r="K24" s="144" t="s">
        <v>282</v>
      </c>
      <c r="L24" s="144" t="s">
        <v>282</v>
      </c>
      <c r="O24" s="144"/>
    </row>
    <row r="25" spans="1:17" x14ac:dyDescent="0.2">
      <c r="A25" s="137" t="s">
        <v>340</v>
      </c>
      <c r="B25" s="30"/>
      <c r="C25" s="30"/>
      <c r="D25" s="30"/>
      <c r="E25" s="567">
        <f t="shared" si="0"/>
        <v>34</v>
      </c>
      <c r="F25" s="125">
        <v>34</v>
      </c>
      <c r="G25" s="125">
        <v>34</v>
      </c>
      <c r="H25" s="571">
        <v>34</v>
      </c>
      <c r="I25" s="125">
        <v>34</v>
      </c>
      <c r="J25" s="125">
        <v>40</v>
      </c>
      <c r="K25" s="125">
        <v>34</v>
      </c>
      <c r="L25" s="125">
        <v>34</v>
      </c>
      <c r="O25" s="125"/>
    </row>
    <row r="26" spans="1:17" ht="14.25" x14ac:dyDescent="0.2">
      <c r="A26" s="137" t="s">
        <v>196</v>
      </c>
      <c r="B26" s="30"/>
      <c r="C26" s="30"/>
      <c r="D26" s="30"/>
      <c r="E26" s="567"/>
      <c r="F26" s="266"/>
      <c r="G26" s="266"/>
      <c r="H26" s="571"/>
      <c r="I26" s="266"/>
      <c r="J26" s="125"/>
      <c r="K26" s="266"/>
      <c r="L26" s="266"/>
      <c r="O26" s="145"/>
    </row>
    <row r="27" spans="1:17" x14ac:dyDescent="0.2">
      <c r="A27" s="50" t="s">
        <v>6</v>
      </c>
      <c r="B27" s="30"/>
      <c r="C27" s="30"/>
      <c r="D27" s="30"/>
      <c r="E27" s="567">
        <f t="shared" si="0"/>
        <v>2.2400000000000002</v>
      </c>
      <c r="F27" s="113">
        <v>2.2400000000000002</v>
      </c>
      <c r="G27" s="113">
        <v>2.2400000000000002</v>
      </c>
      <c r="H27" s="572">
        <v>2.2400000000000002</v>
      </c>
      <c r="I27" s="113">
        <v>2.2400000000000002</v>
      </c>
      <c r="J27" s="113">
        <v>3.4</v>
      </c>
      <c r="K27" s="113">
        <v>2.2400000000000002</v>
      </c>
      <c r="L27" s="113">
        <v>2.2400000000000002</v>
      </c>
      <c r="M27" s="80"/>
      <c r="N27" s="80"/>
      <c r="O27" s="113"/>
    </row>
    <row r="28" spans="1:17" x14ac:dyDescent="0.2">
      <c r="A28" s="27" t="s">
        <v>10</v>
      </c>
      <c r="B28" s="30"/>
      <c r="C28" s="30"/>
      <c r="D28" s="30"/>
      <c r="E28" s="567">
        <f t="shared" si="0"/>
        <v>1.95</v>
      </c>
      <c r="F28" s="113">
        <v>1.95</v>
      </c>
      <c r="G28" s="113">
        <v>1.95</v>
      </c>
      <c r="H28" s="572">
        <v>1.95</v>
      </c>
      <c r="I28" s="113">
        <v>1.95</v>
      </c>
      <c r="J28" s="113">
        <v>1.95</v>
      </c>
      <c r="K28" s="113">
        <v>1.95</v>
      </c>
      <c r="L28" s="113">
        <v>1.95</v>
      </c>
      <c r="M28" s="80"/>
      <c r="N28" s="80"/>
      <c r="O28" s="113"/>
    </row>
    <row r="29" spans="1:17" x14ac:dyDescent="0.2">
      <c r="A29" s="27" t="s">
        <v>11</v>
      </c>
      <c r="B29" s="30"/>
      <c r="C29" s="30"/>
      <c r="D29" s="30"/>
      <c r="E29" s="567">
        <f t="shared" si="0"/>
        <v>1.1000000000000001</v>
      </c>
      <c r="F29" s="113">
        <v>1.1000000000000001</v>
      </c>
      <c r="G29" s="113">
        <v>1.1000000000000001</v>
      </c>
      <c r="H29" s="572">
        <v>1.1000000000000001</v>
      </c>
      <c r="I29" s="113">
        <v>1.1000000000000001</v>
      </c>
      <c r="J29" s="113">
        <v>1.1000000000000001</v>
      </c>
      <c r="K29" s="113">
        <v>1.1000000000000001</v>
      </c>
      <c r="L29" s="113">
        <v>1.1000000000000001</v>
      </c>
      <c r="M29" s="80"/>
      <c r="N29" s="80"/>
      <c r="O29" s="113"/>
    </row>
    <row r="30" spans="1:17" ht="15" x14ac:dyDescent="0.25">
      <c r="A30" s="328" t="s">
        <v>198</v>
      </c>
      <c r="B30" s="57"/>
      <c r="C30" s="57"/>
      <c r="D30" s="57"/>
      <c r="E30" s="567"/>
      <c r="F30" s="266"/>
      <c r="G30" s="266"/>
      <c r="H30" s="58"/>
      <c r="I30" s="400"/>
      <c r="J30" s="73"/>
      <c r="K30" s="73"/>
      <c r="L30" s="73"/>
      <c r="O30" s="145"/>
    </row>
    <row r="31" spans="1:17" x14ac:dyDescent="0.2">
      <c r="A31" s="27" t="s">
        <v>199</v>
      </c>
      <c r="B31" s="25"/>
      <c r="C31" s="25"/>
      <c r="D31" s="25"/>
      <c r="E31" s="567" t="str">
        <f t="shared" si="0"/>
        <v>Aluminum</v>
      </c>
      <c r="F31" s="125" t="s">
        <v>203</v>
      </c>
      <c r="G31" s="125" t="s">
        <v>203</v>
      </c>
      <c r="H31" s="559" t="s">
        <v>203</v>
      </c>
      <c r="I31" s="125" t="s">
        <v>203</v>
      </c>
      <c r="J31" s="125" t="s">
        <v>203</v>
      </c>
      <c r="K31" s="125" t="s">
        <v>203</v>
      </c>
      <c r="L31" s="125" t="s">
        <v>203</v>
      </c>
      <c r="O31" s="125"/>
    </row>
    <row r="32" spans="1:17" x14ac:dyDescent="0.2">
      <c r="A32" s="27" t="s">
        <v>201</v>
      </c>
      <c r="B32" s="25"/>
      <c r="C32" s="25"/>
      <c r="D32" s="25"/>
      <c r="E32" s="567">
        <f t="shared" si="0"/>
        <v>15</v>
      </c>
      <c r="F32" s="125">
        <v>15</v>
      </c>
      <c r="G32" s="125">
        <v>15</v>
      </c>
      <c r="H32" s="125">
        <v>15</v>
      </c>
      <c r="I32" s="125">
        <v>15</v>
      </c>
      <c r="J32" s="125">
        <v>15</v>
      </c>
      <c r="K32" s="125">
        <v>15</v>
      </c>
      <c r="L32" s="125">
        <v>15</v>
      </c>
      <c r="N32" s="125"/>
      <c r="O32" s="125"/>
    </row>
    <row r="33" spans="1:16" ht="15" x14ac:dyDescent="0.25">
      <c r="A33" s="328" t="s">
        <v>200</v>
      </c>
      <c r="B33" s="25"/>
      <c r="C33" s="25"/>
      <c r="D33" s="25"/>
      <c r="E33" s="567"/>
      <c r="F33" s="266"/>
      <c r="G33" s="266"/>
      <c r="H33" s="559"/>
      <c r="I33" s="400"/>
      <c r="J33" s="125"/>
      <c r="K33" s="400"/>
      <c r="L33" s="400"/>
      <c r="O33" s="145"/>
    </row>
    <row r="34" spans="1:16" x14ac:dyDescent="0.2">
      <c r="A34" s="27" t="s">
        <v>199</v>
      </c>
      <c r="B34" s="25"/>
      <c r="C34" s="25"/>
      <c r="D34" s="25"/>
      <c r="E34" s="567" t="str">
        <f t="shared" si="0"/>
        <v>Copper</v>
      </c>
      <c r="F34" s="283" t="s">
        <v>212</v>
      </c>
      <c r="G34" s="283" t="s">
        <v>212</v>
      </c>
      <c r="H34" s="559" t="s">
        <v>212</v>
      </c>
      <c r="I34" s="283" t="s">
        <v>212</v>
      </c>
      <c r="J34" s="125" t="s">
        <v>203</v>
      </c>
      <c r="K34" s="283" t="s">
        <v>212</v>
      </c>
      <c r="L34" s="283" t="s">
        <v>212</v>
      </c>
      <c r="O34" s="445"/>
    </row>
    <row r="35" spans="1:16" x14ac:dyDescent="0.2">
      <c r="A35" s="27" t="s">
        <v>201</v>
      </c>
      <c r="B35" s="25"/>
      <c r="C35" s="25"/>
      <c r="D35" s="25"/>
      <c r="E35" s="567">
        <f t="shared" si="0"/>
        <v>10</v>
      </c>
      <c r="F35" s="283">
        <v>10</v>
      </c>
      <c r="G35" s="283">
        <v>10</v>
      </c>
      <c r="H35" s="283">
        <v>10</v>
      </c>
      <c r="I35" s="283">
        <v>10</v>
      </c>
      <c r="J35" s="283">
        <v>15</v>
      </c>
      <c r="K35" s="283">
        <v>10</v>
      </c>
      <c r="L35" s="283">
        <v>10</v>
      </c>
      <c r="N35" s="125"/>
      <c r="O35" s="445"/>
    </row>
    <row r="36" spans="1:16" ht="15" x14ac:dyDescent="0.25">
      <c r="A36" s="329" t="s">
        <v>202</v>
      </c>
      <c r="B36" s="25"/>
      <c r="C36" s="25"/>
      <c r="D36" s="25"/>
      <c r="E36" s="567"/>
      <c r="F36" s="283"/>
      <c r="G36" s="283"/>
      <c r="H36" s="559"/>
      <c r="I36" s="400"/>
      <c r="J36" s="125"/>
      <c r="K36" s="125"/>
      <c r="L36" s="125"/>
      <c r="O36" s="445"/>
    </row>
    <row r="37" spans="1:16" x14ac:dyDescent="0.2">
      <c r="A37" s="27" t="s">
        <v>201</v>
      </c>
      <c r="B37" s="25"/>
      <c r="C37" s="25"/>
      <c r="D37" s="25"/>
      <c r="E37" s="567">
        <f t="shared" si="0"/>
        <v>15</v>
      </c>
      <c r="F37" s="283">
        <v>15</v>
      </c>
      <c r="G37" s="283">
        <v>15</v>
      </c>
      <c r="H37" s="283">
        <v>15</v>
      </c>
      <c r="I37" s="283">
        <v>15</v>
      </c>
      <c r="J37" s="283">
        <v>15</v>
      </c>
      <c r="K37" s="283">
        <v>15</v>
      </c>
      <c r="L37" s="283">
        <v>15</v>
      </c>
      <c r="N37" s="124"/>
      <c r="O37" s="445"/>
    </row>
    <row r="38" spans="1:16" x14ac:dyDescent="0.2">
      <c r="A38" s="27" t="s">
        <v>340</v>
      </c>
      <c r="B38" s="25"/>
      <c r="C38" s="25"/>
      <c r="D38" s="25"/>
      <c r="E38" s="567">
        <f t="shared" si="0"/>
        <v>50</v>
      </c>
      <c r="F38" s="283">
        <v>50</v>
      </c>
      <c r="G38" s="283">
        <v>50</v>
      </c>
      <c r="H38" s="559">
        <v>50</v>
      </c>
      <c r="I38" s="283">
        <v>50</v>
      </c>
      <c r="J38" s="283">
        <v>50</v>
      </c>
      <c r="K38" s="283">
        <v>50</v>
      </c>
      <c r="L38" s="283">
        <v>50</v>
      </c>
      <c r="O38" s="138"/>
    </row>
    <row r="39" spans="1:16" ht="14.25" x14ac:dyDescent="0.2">
      <c r="A39" s="138" t="s">
        <v>268</v>
      </c>
      <c r="B39" s="25"/>
      <c r="C39" s="25"/>
      <c r="D39" s="25"/>
      <c r="E39" s="567">
        <f t="shared" si="0"/>
        <v>0.46</v>
      </c>
      <c r="F39" s="573">
        <f>(1-F38/100)*0.92</f>
        <v>0.46</v>
      </c>
      <c r="G39" s="573">
        <f>(1-G38/100)*0.92</f>
        <v>0.46</v>
      </c>
      <c r="H39" s="33">
        <v>0.46</v>
      </c>
      <c r="I39" s="573">
        <f>(1-I38/100)*0.92</f>
        <v>0.46</v>
      </c>
      <c r="J39" s="573">
        <f>(1-J38/100)*0.92</f>
        <v>0.46</v>
      </c>
      <c r="K39" s="573">
        <f>(1-K38/100)*0.92</f>
        <v>0.46</v>
      </c>
      <c r="L39" s="573">
        <f>(1-L38/100)*0.92</f>
        <v>0.46</v>
      </c>
      <c r="O39" s="57"/>
    </row>
    <row r="40" spans="1:16" ht="17.25" x14ac:dyDescent="0.25">
      <c r="A40" s="327" t="s">
        <v>758</v>
      </c>
      <c r="B40" s="25"/>
      <c r="C40" s="25"/>
      <c r="D40" s="25"/>
      <c r="E40" s="567">
        <f t="shared" si="0"/>
        <v>1.2</v>
      </c>
      <c r="F40" s="573">
        <v>1.2</v>
      </c>
      <c r="G40" s="573">
        <v>1.2</v>
      </c>
      <c r="H40" s="33">
        <v>1.2</v>
      </c>
      <c r="I40" s="573">
        <v>1.2</v>
      </c>
      <c r="J40" s="113">
        <v>1.2</v>
      </c>
      <c r="K40" s="573">
        <v>1.2</v>
      </c>
      <c r="L40" s="573">
        <v>1.2</v>
      </c>
      <c r="O40" s="138"/>
      <c r="P40" s="34"/>
    </row>
    <row r="41" spans="1:16" ht="15" x14ac:dyDescent="0.25">
      <c r="A41" s="328" t="s">
        <v>29</v>
      </c>
      <c r="B41" s="16"/>
      <c r="C41" s="16"/>
      <c r="D41" s="16"/>
      <c r="E41" s="567"/>
      <c r="F41" s="283"/>
      <c r="G41" s="283"/>
      <c r="H41" s="283"/>
      <c r="I41" s="400"/>
      <c r="J41" s="142"/>
      <c r="K41" s="400"/>
      <c r="L41" s="400"/>
    </row>
    <row r="42" spans="1:16" x14ac:dyDescent="0.2">
      <c r="A42" s="27" t="s">
        <v>930</v>
      </c>
      <c r="B42" s="16"/>
      <c r="C42" s="16"/>
      <c r="D42" s="16"/>
      <c r="E42" s="574">
        <f t="shared" si="0"/>
        <v>3.8260000000000001</v>
      </c>
      <c r="F42" s="554">
        <v>3.5510000000000002</v>
      </c>
      <c r="G42" s="416">
        <v>3.5649999999999999</v>
      </c>
      <c r="H42" s="554">
        <v>3.516</v>
      </c>
      <c r="I42" s="296">
        <v>3.246</v>
      </c>
      <c r="J42" s="554">
        <v>2.4079999999999999</v>
      </c>
      <c r="K42" s="296">
        <v>3.8260000000000001</v>
      </c>
      <c r="L42" s="553">
        <f>L$4^3*0.392-L$4^2*0.2183+L$4*0.1667+3.4695</f>
        <v>3.63710625</v>
      </c>
      <c r="M42" s="543"/>
      <c r="N42" s="263"/>
      <c r="O42" s="553"/>
      <c r="P42" s="553"/>
    </row>
    <row r="43" spans="1:16" x14ac:dyDescent="0.2">
      <c r="A43" s="21" t="s">
        <v>264</v>
      </c>
      <c r="B43" s="16"/>
      <c r="C43" s="16"/>
      <c r="D43" s="16"/>
      <c r="E43" s="574">
        <f t="shared" si="0"/>
        <v>3.9540000000000002</v>
      </c>
      <c r="F43" s="554">
        <v>3.68</v>
      </c>
      <c r="G43" s="554">
        <v>3.75</v>
      </c>
      <c r="H43" s="554">
        <v>3.6709999999999998</v>
      </c>
      <c r="I43" s="296">
        <v>3.282</v>
      </c>
      <c r="J43" s="554">
        <v>2.5139999999999998</v>
      </c>
      <c r="K43" s="296">
        <v>3.9540000000000002</v>
      </c>
      <c r="L43" s="553">
        <f>-L4^3*0.195+L4^2*0.283+L4*0.2134+3.6538</f>
        <v>3.890771875</v>
      </c>
      <c r="M43" s="543"/>
      <c r="N43" s="263"/>
    </row>
    <row r="44" spans="1:16" x14ac:dyDescent="0.2">
      <c r="A44" s="22" t="s">
        <v>265</v>
      </c>
      <c r="E44" s="567">
        <f t="shared" si="0"/>
        <v>120</v>
      </c>
      <c r="F44" s="561">
        <v>27</v>
      </c>
      <c r="G44" s="561">
        <v>27</v>
      </c>
      <c r="H44" s="283">
        <v>27</v>
      </c>
      <c r="I44" s="561">
        <v>120</v>
      </c>
      <c r="J44" s="561">
        <v>200</v>
      </c>
      <c r="K44" s="561">
        <v>120</v>
      </c>
      <c r="L44" s="260">
        <f>H44-L$4*(H44-K44)</f>
        <v>96.75</v>
      </c>
      <c r="M44" s="99"/>
      <c r="N44" s="2"/>
    </row>
    <row r="45" spans="1:16" ht="14.25" x14ac:dyDescent="0.2">
      <c r="A45" s="22" t="s">
        <v>261</v>
      </c>
      <c r="E45" s="567">
        <f t="shared" si="0"/>
        <v>74000</v>
      </c>
      <c r="F45" s="575">
        <v>74000</v>
      </c>
      <c r="G45" s="575">
        <v>74000</v>
      </c>
      <c r="H45" s="575">
        <v>74000</v>
      </c>
      <c r="I45" s="405">
        <v>74000</v>
      </c>
      <c r="J45" s="575">
        <v>500000</v>
      </c>
      <c r="K45" s="405">
        <v>74000</v>
      </c>
      <c r="L45" s="405">
        <v>74000</v>
      </c>
    </row>
    <row r="46" spans="1:16" ht="14.25" x14ac:dyDescent="0.2">
      <c r="A46" s="22" t="s">
        <v>262</v>
      </c>
      <c r="E46" s="567">
        <f t="shared" si="0"/>
        <v>49200</v>
      </c>
      <c r="F46" s="575">
        <v>8900</v>
      </c>
      <c r="G46" s="575">
        <v>8900</v>
      </c>
      <c r="H46" s="575">
        <v>8900</v>
      </c>
      <c r="I46" s="405">
        <v>420000</v>
      </c>
      <c r="J46" s="575">
        <v>49200</v>
      </c>
      <c r="K46" s="405">
        <v>49200</v>
      </c>
      <c r="L46" s="405">
        <f>H46-L$4*(H46-K46)</f>
        <v>39125</v>
      </c>
      <c r="N46" s="321"/>
      <c r="P46" s="546"/>
    </row>
    <row r="47" spans="1:16" x14ac:dyDescent="0.2">
      <c r="A47" s="138" t="s">
        <v>897</v>
      </c>
      <c r="E47" s="567">
        <v>0.4</v>
      </c>
      <c r="F47" s="473"/>
      <c r="G47" s="473"/>
      <c r="H47" s="473"/>
      <c r="I47" s="260"/>
      <c r="J47" s="473"/>
      <c r="K47" s="260"/>
      <c r="L47" s="260"/>
      <c r="N47" s="537"/>
      <c r="O47" s="537"/>
    </row>
    <row r="48" spans="1:16" x14ac:dyDescent="0.2">
      <c r="A48" s="138" t="s">
        <v>898</v>
      </c>
      <c r="E48" s="567">
        <v>0.23599999999999999</v>
      </c>
      <c r="F48" s="473"/>
      <c r="G48" s="473"/>
      <c r="H48" s="473"/>
      <c r="I48" s="260"/>
      <c r="J48" s="473"/>
      <c r="K48" s="260"/>
      <c r="L48" s="260"/>
      <c r="N48" s="537"/>
      <c r="O48" s="537"/>
    </row>
    <row r="49" spans="1:17" ht="14.25" x14ac:dyDescent="0.2">
      <c r="A49" t="s">
        <v>14</v>
      </c>
      <c r="E49" s="567"/>
      <c r="F49" s="400"/>
      <c r="G49" s="400"/>
      <c r="H49" s="283"/>
      <c r="I49" s="400"/>
      <c r="J49" s="400"/>
      <c r="K49" s="400"/>
      <c r="L49" s="400"/>
      <c r="N49" s="233"/>
      <c r="O49" s="530"/>
    </row>
    <row r="50" spans="1:17" x14ac:dyDescent="0.2">
      <c r="A50" s="22" t="s">
        <v>324</v>
      </c>
      <c r="E50" s="576">
        <f>IF('Battery Design'!F$53="microHEV",E51,IF('Battery Design'!F$53="HEV-HP",E52,IF('Battery Design'!F$53="PHEV",E53,IF('Battery Design'!F$53="EV",E53,"ERROR"))))</f>
        <v>25</v>
      </c>
      <c r="F50" s="400"/>
      <c r="G50" s="400"/>
      <c r="H50" s="561"/>
      <c r="I50" s="400"/>
      <c r="J50" s="400"/>
      <c r="K50" s="400"/>
      <c r="L50" s="400"/>
      <c r="N50" s="312"/>
    </row>
    <row r="51" spans="1:17" x14ac:dyDescent="0.2">
      <c r="A51" t="s">
        <v>266</v>
      </c>
      <c r="E51" s="576">
        <f t="shared" si="0"/>
        <v>13</v>
      </c>
      <c r="F51" s="283">
        <v>18</v>
      </c>
      <c r="G51" s="283">
        <v>21</v>
      </c>
      <c r="H51" s="561">
        <v>23.5</v>
      </c>
      <c r="I51" s="561">
        <v>20</v>
      </c>
      <c r="J51" s="283">
        <v>6</v>
      </c>
      <c r="K51" s="561">
        <v>13</v>
      </c>
      <c r="L51" s="256">
        <f>L52-5</f>
        <v>18.637078124999995</v>
      </c>
      <c r="N51" s="322"/>
      <c r="O51" s="551"/>
      <c r="P51" s="551"/>
    </row>
    <row r="52" spans="1:17" x14ac:dyDescent="0.2">
      <c r="A52" t="s">
        <v>267</v>
      </c>
      <c r="E52" s="576">
        <f t="shared" si="0"/>
        <v>20</v>
      </c>
      <c r="F52" s="283">
        <v>23.6</v>
      </c>
      <c r="G52" s="283">
        <v>26.6</v>
      </c>
      <c r="H52" s="561">
        <v>31</v>
      </c>
      <c r="I52" s="561">
        <v>25</v>
      </c>
      <c r="J52" s="283">
        <v>8</v>
      </c>
      <c r="K52" s="561">
        <v>20</v>
      </c>
      <c r="L52" s="551">
        <f>L$4^3*12.011-L$4^2*26.053+L$4*3.069+30.923</f>
        <v>23.637078124999995</v>
      </c>
      <c r="N52" s="535"/>
    </row>
    <row r="53" spans="1:17" x14ac:dyDescent="0.2">
      <c r="A53" s="253" t="s">
        <v>749</v>
      </c>
      <c r="D53" s="263"/>
      <c r="E53" s="576">
        <f t="shared" si="0"/>
        <v>25</v>
      </c>
      <c r="F53" s="283">
        <v>30</v>
      </c>
      <c r="G53" s="283">
        <v>33</v>
      </c>
      <c r="H53" s="561">
        <v>36</v>
      </c>
      <c r="I53" s="561">
        <v>32</v>
      </c>
      <c r="J53" s="265">
        <v>9.3962809846946538</v>
      </c>
      <c r="K53" s="561">
        <v>25</v>
      </c>
      <c r="L53" s="551">
        <f>-L$4^3*19.95+L$4^2*15.175-L$4*6.216+36.083</f>
        <v>31.540531250000001</v>
      </c>
      <c r="M53" s="535"/>
      <c r="O53" s="312"/>
    </row>
    <row r="54" spans="1:17" x14ac:dyDescent="0.2">
      <c r="A54" s="400" t="s">
        <v>883</v>
      </c>
      <c r="B54" s="400"/>
      <c r="C54" s="400"/>
      <c r="D54" s="399"/>
      <c r="E54" s="576">
        <f t="shared" si="0"/>
        <v>31.2</v>
      </c>
      <c r="F54" s="283">
        <v>39.9</v>
      </c>
      <c r="G54" s="283">
        <v>42.8</v>
      </c>
      <c r="H54" s="561">
        <v>46</v>
      </c>
      <c r="I54" s="561">
        <v>41.1</v>
      </c>
      <c r="J54" s="265">
        <v>11.2</v>
      </c>
      <c r="K54" s="561">
        <v>31.2</v>
      </c>
      <c r="L54" s="256">
        <f>L53*1.3</f>
        <v>41.002690625</v>
      </c>
      <c r="M54" s="372"/>
      <c r="N54" s="536"/>
      <c r="O54" s="536"/>
    </row>
    <row r="55" spans="1:17" x14ac:dyDescent="0.2">
      <c r="A55" t="s">
        <v>753</v>
      </c>
      <c r="C55" s="263"/>
      <c r="D55" s="263"/>
      <c r="E55" s="567">
        <f t="shared" si="0"/>
        <v>2</v>
      </c>
      <c r="F55" s="283">
        <v>3</v>
      </c>
      <c r="G55" s="283">
        <v>3</v>
      </c>
      <c r="H55" s="561">
        <v>3</v>
      </c>
      <c r="I55" s="561">
        <v>1.5</v>
      </c>
      <c r="J55" s="283">
        <v>1.5</v>
      </c>
      <c r="K55" s="561">
        <v>2</v>
      </c>
      <c r="L55" s="561">
        <v>3</v>
      </c>
      <c r="N55" s="312"/>
      <c r="O55" s="313"/>
    </row>
    <row r="56" spans="1:17" x14ac:dyDescent="0.2">
      <c r="A56" s="138" t="s">
        <v>593</v>
      </c>
      <c r="B56" s="257"/>
      <c r="C56" s="257"/>
      <c r="D56" s="257"/>
      <c r="E56" s="576">
        <f>1.5*E50</f>
        <v>37.5</v>
      </c>
      <c r="F56" s="283"/>
      <c r="G56" s="283"/>
      <c r="H56" s="561"/>
      <c r="I56" s="561"/>
      <c r="J56" s="283"/>
      <c r="K56" s="561"/>
      <c r="L56" s="561"/>
      <c r="N56" s="312"/>
      <c r="O56" s="313"/>
    </row>
    <row r="57" spans="1:17" ht="14.25" x14ac:dyDescent="0.2">
      <c r="A57" s="22" t="s">
        <v>16</v>
      </c>
      <c r="E57" s="576">
        <f t="shared" si="0"/>
        <v>44</v>
      </c>
      <c r="F57" s="265">
        <f>2.2*F52</f>
        <v>51.920000000000009</v>
      </c>
      <c r="G57" s="265">
        <f>2.2*G52</f>
        <v>58.52000000000001</v>
      </c>
      <c r="H57" s="265">
        <f>2.2*H52</f>
        <v>68.2</v>
      </c>
      <c r="I57" s="265">
        <f>2.2*I52</f>
        <v>55.000000000000007</v>
      </c>
      <c r="J57" s="284">
        <v>11.759499999999999</v>
      </c>
      <c r="K57" s="265">
        <f>2.2*K52</f>
        <v>44</v>
      </c>
      <c r="L57" s="265">
        <f>2.2*L51</f>
        <v>41.001571874999989</v>
      </c>
      <c r="N57" s="312"/>
      <c r="O57" s="313"/>
    </row>
    <row r="58" spans="1:17" ht="15" x14ac:dyDescent="0.25">
      <c r="A58" s="259" t="s">
        <v>193</v>
      </c>
      <c r="B58" s="2"/>
      <c r="C58" s="2"/>
      <c r="D58" s="2"/>
      <c r="E58" s="567"/>
      <c r="F58" s="130"/>
      <c r="G58" s="130"/>
      <c r="H58" s="560"/>
      <c r="I58" s="130"/>
      <c r="J58" s="130"/>
      <c r="K58" s="130"/>
      <c r="L58" s="130"/>
      <c r="M58" s="175"/>
      <c r="N58" s="312"/>
      <c r="O58" s="313"/>
    </row>
    <row r="59" spans="1:17" x14ac:dyDescent="0.2">
      <c r="A59" s="6" t="s">
        <v>344</v>
      </c>
      <c r="B59" s="2"/>
      <c r="C59" s="8"/>
      <c r="D59" s="8"/>
      <c r="E59" s="567">
        <f>IF('Battery Design'!F$53="microHEV",E60,IF('Battery Design'!F$53="HEV-HP",E60,IF('Battery Design'!F$53="PHEV",E61,IF('Battery Design'!F$53="EV",E62,"ERROR"))))</f>
        <v>70</v>
      </c>
      <c r="F59" s="283"/>
      <c r="G59" s="283"/>
      <c r="H59" s="561"/>
      <c r="I59" s="561"/>
      <c r="J59" s="283"/>
      <c r="K59" s="561"/>
      <c r="L59" s="561"/>
      <c r="N59" s="312"/>
      <c r="O59" s="124"/>
    </row>
    <row r="60" spans="1:17" x14ac:dyDescent="0.2">
      <c r="A60" s="6" t="s">
        <v>372</v>
      </c>
      <c r="B60" s="8"/>
      <c r="C60" s="8"/>
      <c r="D60" s="8"/>
      <c r="E60" s="567">
        <f t="shared" si="0"/>
        <v>25</v>
      </c>
      <c r="F60" s="283">
        <v>25</v>
      </c>
      <c r="G60" s="283">
        <v>25</v>
      </c>
      <c r="H60" s="561">
        <v>25</v>
      </c>
      <c r="I60" s="283">
        <v>25</v>
      </c>
      <c r="J60" s="283">
        <v>25</v>
      </c>
      <c r="K60" s="283">
        <v>25</v>
      </c>
      <c r="L60" s="283">
        <v>25</v>
      </c>
      <c r="N60" s="312"/>
      <c r="O60" s="556"/>
    </row>
    <row r="61" spans="1:17" x14ac:dyDescent="0.2">
      <c r="A61" s="6" t="s">
        <v>342</v>
      </c>
      <c r="B61" s="8"/>
      <c r="C61" s="8"/>
      <c r="D61" s="8"/>
      <c r="E61" s="567">
        <f t="shared" si="0"/>
        <v>70</v>
      </c>
      <c r="F61" s="283">
        <v>70</v>
      </c>
      <c r="G61" s="283">
        <v>70</v>
      </c>
      <c r="H61" s="561">
        <v>70</v>
      </c>
      <c r="I61" s="561">
        <v>70</v>
      </c>
      <c r="J61" s="283">
        <v>75</v>
      </c>
      <c r="K61" s="561">
        <v>70</v>
      </c>
      <c r="L61" s="561">
        <v>70</v>
      </c>
      <c r="N61" s="312"/>
      <c r="O61" s="313"/>
    </row>
    <row r="62" spans="1:17" x14ac:dyDescent="0.2">
      <c r="A62" s="6" t="s">
        <v>343</v>
      </c>
      <c r="B62" s="8"/>
      <c r="C62" s="8"/>
      <c r="D62" s="8"/>
      <c r="E62" s="567">
        <f t="shared" si="0"/>
        <v>85</v>
      </c>
      <c r="F62" s="283">
        <v>85</v>
      </c>
      <c r="G62" s="283">
        <v>85</v>
      </c>
      <c r="H62" s="561">
        <v>85</v>
      </c>
      <c r="I62" s="283">
        <v>85</v>
      </c>
      <c r="J62" s="283">
        <v>90</v>
      </c>
      <c r="K62" s="283">
        <v>85</v>
      </c>
      <c r="L62" s="283">
        <v>85</v>
      </c>
      <c r="N62" s="312"/>
      <c r="O62" s="313"/>
    </row>
    <row r="63" spans="1:17" ht="15" x14ac:dyDescent="0.25">
      <c r="A63" s="259" t="s">
        <v>937</v>
      </c>
      <c r="B63" s="8"/>
      <c r="C63" s="8"/>
      <c r="D63" s="8"/>
      <c r="E63" s="567"/>
      <c r="F63" s="283"/>
      <c r="G63" s="283"/>
      <c r="H63" s="561"/>
      <c r="I63" s="283"/>
      <c r="J63" s="283"/>
      <c r="K63" s="283"/>
      <c r="L63" s="283"/>
      <c r="N63" s="312"/>
    </row>
    <row r="64" spans="1:17" x14ac:dyDescent="0.2">
      <c r="A64" s="400" t="s">
        <v>938</v>
      </c>
      <c r="B64" s="8"/>
      <c r="C64" s="8"/>
      <c r="D64" s="8"/>
      <c r="E64" s="577">
        <f t="shared" si="0"/>
        <v>4.0846412556053813E-2</v>
      </c>
      <c r="F64" s="578">
        <f>1*6.94/96.1</f>
        <v>7.2216441207075974E-2</v>
      </c>
      <c r="G64" s="578">
        <f>1.05*6.94/87.14</f>
        <v>8.3624053247647476E-2</v>
      </c>
      <c r="H64" s="578">
        <f>1.05*6.94/87.61</f>
        <v>8.3175436593996135E-2</v>
      </c>
      <c r="I64" s="578">
        <f>1.05*6.94/158.077</f>
        <v>4.6097787786964585E-2</v>
      </c>
      <c r="J64" s="578">
        <f t="shared" ref="J64:K64" si="1">1.05*6.94/178.4</f>
        <v>4.0846412556053813E-2</v>
      </c>
      <c r="K64" s="578">
        <f t="shared" si="1"/>
        <v>4.0846412556053813E-2</v>
      </c>
      <c r="L64" s="578">
        <f>H64-L$4*(H64-K64)</f>
        <v>5.142866856553939E-2</v>
      </c>
      <c r="N64" s="312"/>
      <c r="O64" s="555"/>
      <c r="P64" s="555"/>
      <c r="Q64" s="372"/>
    </row>
    <row r="65" spans="1:19" x14ac:dyDescent="0.2">
      <c r="A65" s="400" t="s">
        <v>939</v>
      </c>
      <c r="B65" s="8"/>
      <c r="C65" s="8"/>
      <c r="D65" s="8"/>
      <c r="E65" s="577">
        <f t="shared" si="0"/>
        <v>0</v>
      </c>
      <c r="F65" s="283">
        <v>0</v>
      </c>
      <c r="G65" s="283">
        <v>0</v>
      </c>
      <c r="H65" s="561">
        <v>0</v>
      </c>
      <c r="I65" s="283">
        <v>0</v>
      </c>
      <c r="J65" s="579">
        <f>4*6.94/459.3</f>
        <v>6.0439799695188333E-2</v>
      </c>
      <c r="K65" s="283">
        <v>0</v>
      </c>
      <c r="L65" s="283">
        <v>0</v>
      </c>
      <c r="N65" s="312"/>
      <c r="O65" s="313"/>
    </row>
    <row r="66" spans="1:19" x14ac:dyDescent="0.2">
      <c r="A66" s="400" t="s">
        <v>940</v>
      </c>
      <c r="B66" s="8"/>
      <c r="C66" s="8"/>
      <c r="D66" s="8"/>
      <c r="E66" s="577">
        <f t="shared" si="0"/>
        <v>8.3279999999999994</v>
      </c>
      <c r="F66" s="578">
        <f>1.2*6.94</f>
        <v>8.3279999999999994</v>
      </c>
      <c r="G66" s="578">
        <f t="shared" ref="G66:L66" si="2">1.2*6.94</f>
        <v>8.3279999999999994</v>
      </c>
      <c r="H66" s="578">
        <f t="shared" si="2"/>
        <v>8.3279999999999994</v>
      </c>
      <c r="I66" s="578">
        <f t="shared" si="2"/>
        <v>8.3279999999999994</v>
      </c>
      <c r="J66" s="578">
        <f t="shared" si="2"/>
        <v>8.3279999999999994</v>
      </c>
      <c r="K66" s="578">
        <f t="shared" si="2"/>
        <v>8.3279999999999994</v>
      </c>
      <c r="L66" s="578">
        <f t="shared" si="2"/>
        <v>8.3279999999999994</v>
      </c>
      <c r="N66" s="312"/>
      <c r="O66" s="313"/>
    </row>
    <row r="67" spans="1:19" ht="16.5" thickBot="1" x14ac:dyDescent="0.3">
      <c r="A67" s="17" t="s">
        <v>211</v>
      </c>
      <c r="E67" s="400"/>
      <c r="F67" s="330" t="str">
        <f>F4</f>
        <v>NCA-G</v>
      </c>
      <c r="G67" s="330" t="str">
        <f>G4</f>
        <v>NMC622-G</v>
      </c>
      <c r="H67" s="330" t="s">
        <v>546</v>
      </c>
      <c r="I67" s="330" t="str">
        <f>I4</f>
        <v>LFP-G</v>
      </c>
      <c r="J67" s="330" t="str">
        <f>J4</f>
        <v>LMO-LTO</v>
      </c>
      <c r="K67" s="330" t="str">
        <f>K4</f>
        <v>LMO-G</v>
      </c>
      <c r="L67" s="330"/>
      <c r="M67" s="330"/>
      <c r="N67" s="622" t="s">
        <v>215</v>
      </c>
      <c r="O67" s="622"/>
    </row>
    <row r="68" spans="1:19" ht="15" x14ac:dyDescent="0.25">
      <c r="A68" s="6" t="s">
        <v>41</v>
      </c>
      <c r="B68" s="6"/>
      <c r="C68" s="6"/>
      <c r="D68" s="7"/>
      <c r="E68" s="354" t="s">
        <v>42</v>
      </c>
      <c r="F68" s="400"/>
      <c r="G68" s="283"/>
      <c r="H68" s="561"/>
      <c r="I68" s="400"/>
      <c r="J68" s="400"/>
      <c r="K68" s="400"/>
      <c r="L68" s="400"/>
      <c r="N68" s="355" t="s">
        <v>768</v>
      </c>
      <c r="O68" s="356" t="s">
        <v>42</v>
      </c>
    </row>
    <row r="69" spans="1:19" x14ac:dyDescent="0.2">
      <c r="A69" s="11" t="s">
        <v>213</v>
      </c>
      <c r="B69" s="6"/>
      <c r="C69" s="6"/>
      <c r="D69" s="114">
        <f>IF(N69&gt;0,N69,IF($E$4=$F$4,F69,IF($E$4=$G$4,G69,IF($E$4=$H$4,H69,IF($E$4=$I$4,I69,IF($E$4=$J$4,J69,IF($E$4=$K$4,K69,IF($E$4=$L$3,L69,IF($E$4=$M$4,M69)))))))))</f>
        <v>10</v>
      </c>
      <c r="E69" s="580">
        <f>IF(O69=0,0.9,O69)</f>
        <v>0.9</v>
      </c>
      <c r="F69" s="388">
        <v>24</v>
      </c>
      <c r="G69" s="388">
        <v>18</v>
      </c>
      <c r="H69" s="387">
        <v>20</v>
      </c>
      <c r="I69" s="387">
        <v>15</v>
      </c>
      <c r="J69" s="388">
        <v>10</v>
      </c>
      <c r="K69" s="388">
        <v>10</v>
      </c>
      <c r="L69" s="388">
        <f>L4*K69+(1-L4)*H69</f>
        <v>12.5</v>
      </c>
      <c r="M69" s="146"/>
      <c r="N69" s="541"/>
      <c r="O69" s="531"/>
      <c r="Q69" s="372"/>
      <c r="R69" s="372"/>
      <c r="S69" s="372"/>
    </row>
    <row r="70" spans="1:19" x14ac:dyDescent="0.2">
      <c r="A70" s="11" t="s">
        <v>272</v>
      </c>
      <c r="B70" s="6"/>
      <c r="C70" s="6"/>
      <c r="D70" s="114">
        <f t="shared" ref="D70:D81" si="3">IF(N70&gt;0,N70,IF($E$4=$F$4,F70,IF($E$4=$G$4,G70,IF($E$4=$H$4,H70,IF($E$4=$I$4,I70,IF($E$4=$J$4,J70,IF($E$4=$K$4,K70,IF($E$4=$L$3,L70,IF($E$4=$M$4,M70)))))))))</f>
        <v>6.8</v>
      </c>
      <c r="E70" s="580">
        <f>IF(O70=0,1,O70)</f>
        <v>1</v>
      </c>
      <c r="F70" s="388">
        <v>6.8</v>
      </c>
      <c r="G70" s="388">
        <v>6.8</v>
      </c>
      <c r="H70" s="387">
        <v>6.8</v>
      </c>
      <c r="I70" s="388">
        <v>6.8</v>
      </c>
      <c r="J70" s="388">
        <v>6.8</v>
      </c>
      <c r="K70" s="388">
        <v>6.8</v>
      </c>
      <c r="L70" s="388">
        <v>6.8</v>
      </c>
      <c r="M70" s="146"/>
      <c r="N70" s="146"/>
      <c r="O70" s="532"/>
    </row>
    <row r="71" spans="1:19" x14ac:dyDescent="0.2">
      <c r="A71" s="6" t="s">
        <v>51</v>
      </c>
      <c r="B71" s="6"/>
      <c r="C71" s="6"/>
      <c r="D71" s="114">
        <f t="shared" si="3"/>
        <v>10</v>
      </c>
      <c r="E71" s="580">
        <f>IF(O71=0,1,O71)</f>
        <v>1</v>
      </c>
      <c r="F71" s="581">
        <v>10</v>
      </c>
      <c r="G71" s="581">
        <v>10</v>
      </c>
      <c r="H71" s="387">
        <v>10</v>
      </c>
      <c r="I71" s="581">
        <v>10</v>
      </c>
      <c r="J71" s="581">
        <v>10</v>
      </c>
      <c r="K71" s="581">
        <v>10</v>
      </c>
      <c r="L71" s="581">
        <v>10</v>
      </c>
      <c r="M71" s="147"/>
      <c r="O71" s="532"/>
    </row>
    <row r="72" spans="1:19" x14ac:dyDescent="0.2">
      <c r="A72" s="6" t="s">
        <v>53</v>
      </c>
      <c r="B72" s="6"/>
      <c r="C72" s="6"/>
      <c r="D72" s="114">
        <f t="shared" si="3"/>
        <v>3.2</v>
      </c>
      <c r="E72" s="580">
        <f>IF(O72=0,1,O72)</f>
        <v>1</v>
      </c>
      <c r="F72" s="581">
        <v>3.2</v>
      </c>
      <c r="G72" s="581">
        <v>3.2</v>
      </c>
      <c r="H72" s="387">
        <v>3.2</v>
      </c>
      <c r="I72" s="581">
        <v>3.2</v>
      </c>
      <c r="J72" s="581">
        <v>3.2</v>
      </c>
      <c r="K72" s="581">
        <v>3.2</v>
      </c>
      <c r="L72" s="581">
        <v>3.2</v>
      </c>
      <c r="M72" s="147"/>
      <c r="O72" s="532"/>
    </row>
    <row r="73" spans="1:19" x14ac:dyDescent="0.2">
      <c r="A73" s="6" t="s">
        <v>54</v>
      </c>
      <c r="B73" s="6"/>
      <c r="C73" s="6"/>
      <c r="D73" s="146"/>
      <c r="E73" s="573"/>
      <c r="F73" s="388"/>
      <c r="G73" s="388"/>
      <c r="H73" s="387"/>
      <c r="I73" s="573"/>
      <c r="J73" s="388"/>
      <c r="K73" s="388"/>
      <c r="L73" s="388"/>
      <c r="M73" s="146"/>
      <c r="O73" s="532"/>
    </row>
    <row r="74" spans="1:19" x14ac:dyDescent="0.2">
      <c r="A74" s="6" t="s">
        <v>45</v>
      </c>
      <c r="B74" s="6"/>
      <c r="C74" s="6"/>
      <c r="D74" s="114">
        <f t="shared" si="3"/>
        <v>15</v>
      </c>
      <c r="E74" s="580">
        <f>IF(O74=0,0.9,O74)</f>
        <v>0.9</v>
      </c>
      <c r="F74" s="388">
        <v>15</v>
      </c>
      <c r="G74" s="388">
        <v>15</v>
      </c>
      <c r="H74" s="388">
        <v>15</v>
      </c>
      <c r="I74" s="388">
        <v>15</v>
      </c>
      <c r="J74" s="388">
        <v>12</v>
      </c>
      <c r="K74" s="388">
        <v>15</v>
      </c>
      <c r="L74" s="388">
        <v>15</v>
      </c>
      <c r="M74" s="146"/>
      <c r="O74" s="532"/>
    </row>
    <row r="75" spans="1:19" x14ac:dyDescent="0.2">
      <c r="A75" s="6" t="s">
        <v>49</v>
      </c>
      <c r="B75" s="6"/>
      <c r="C75" s="6"/>
      <c r="D75" s="114">
        <f t="shared" si="3"/>
        <v>6.8</v>
      </c>
      <c r="E75" s="580">
        <f t="shared" ref="E75:E81" si="4">IF(O75=0,1,O75)</f>
        <v>1</v>
      </c>
      <c r="F75" s="388">
        <v>6.8</v>
      </c>
      <c r="G75" s="388">
        <v>6.8</v>
      </c>
      <c r="H75" s="387">
        <v>6.8</v>
      </c>
      <c r="I75" s="388">
        <v>6.8</v>
      </c>
      <c r="J75" s="388">
        <v>6.8</v>
      </c>
      <c r="K75" s="388">
        <v>6.8</v>
      </c>
      <c r="L75" s="388">
        <v>6.8</v>
      </c>
      <c r="M75" s="146"/>
      <c r="O75" s="2"/>
    </row>
    <row r="76" spans="1:19" x14ac:dyDescent="0.2">
      <c r="A76" s="253" t="s">
        <v>308</v>
      </c>
      <c r="B76" s="6"/>
      <c r="C76" s="6"/>
      <c r="D76" s="114">
        <f t="shared" si="3"/>
        <v>10</v>
      </c>
      <c r="E76" s="580">
        <f t="shared" si="4"/>
        <v>1</v>
      </c>
      <c r="F76" s="388">
        <v>10</v>
      </c>
      <c r="G76" s="388">
        <v>10</v>
      </c>
      <c r="H76" s="387">
        <v>10</v>
      </c>
      <c r="I76" s="388">
        <v>10</v>
      </c>
      <c r="J76" s="388">
        <v>10</v>
      </c>
      <c r="K76" s="388">
        <v>10</v>
      </c>
      <c r="L76" s="388">
        <v>10</v>
      </c>
      <c r="M76" s="146"/>
      <c r="O76" s="2"/>
    </row>
    <row r="77" spans="1:19" x14ac:dyDescent="0.2">
      <c r="A77" s="6" t="s">
        <v>284</v>
      </c>
      <c r="B77" s="6"/>
      <c r="C77" s="6"/>
      <c r="D77" s="114">
        <f t="shared" si="3"/>
        <v>0</v>
      </c>
      <c r="E77" s="580">
        <f t="shared" si="4"/>
        <v>1</v>
      </c>
      <c r="F77" s="388">
        <v>0</v>
      </c>
      <c r="G77" s="388">
        <v>0</v>
      </c>
      <c r="H77" s="387">
        <v>0</v>
      </c>
      <c r="I77" s="388">
        <v>0</v>
      </c>
      <c r="J77" s="388">
        <v>0</v>
      </c>
      <c r="K77" s="388">
        <v>0</v>
      </c>
      <c r="L77" s="388">
        <v>0</v>
      </c>
      <c r="M77" s="146"/>
      <c r="O77" s="2"/>
    </row>
    <row r="78" spans="1:19" ht="14.25" x14ac:dyDescent="0.2">
      <c r="A78" s="6" t="s">
        <v>166</v>
      </c>
      <c r="B78" s="6"/>
      <c r="C78" s="6"/>
      <c r="D78" s="114">
        <f t="shared" si="3"/>
        <v>0.3</v>
      </c>
      <c r="E78" s="580">
        <f t="shared" si="4"/>
        <v>1</v>
      </c>
      <c r="F78" s="388">
        <v>0.3</v>
      </c>
      <c r="G78" s="388">
        <v>0.3</v>
      </c>
      <c r="H78" s="388">
        <v>0.3</v>
      </c>
      <c r="I78" s="388">
        <v>0.3</v>
      </c>
      <c r="J78" s="388">
        <v>0.3</v>
      </c>
      <c r="K78" s="388">
        <v>0.3</v>
      </c>
      <c r="L78" s="388">
        <v>0.3</v>
      </c>
      <c r="M78" s="148"/>
      <c r="O78" s="2"/>
    </row>
    <row r="79" spans="1:19" ht="14.25" x14ac:dyDescent="0.2">
      <c r="A79" s="6" t="s">
        <v>167</v>
      </c>
      <c r="B79" s="6"/>
      <c r="C79" s="6"/>
      <c r="D79" s="114">
        <f t="shared" si="3"/>
        <v>1.2</v>
      </c>
      <c r="E79" s="580">
        <f t="shared" si="4"/>
        <v>1</v>
      </c>
      <c r="F79" s="388">
        <v>1.2</v>
      </c>
      <c r="G79" s="388">
        <v>1.2</v>
      </c>
      <c r="H79" s="388">
        <v>1.2</v>
      </c>
      <c r="I79" s="388">
        <v>1.2</v>
      </c>
      <c r="J79" s="388">
        <v>0.3</v>
      </c>
      <c r="K79" s="388">
        <v>1.2</v>
      </c>
      <c r="L79" s="388">
        <v>1.2</v>
      </c>
      <c r="M79" s="146"/>
      <c r="O79" s="2"/>
    </row>
    <row r="80" spans="1:19" ht="14.25" x14ac:dyDescent="0.2">
      <c r="A80" s="6" t="s">
        <v>58</v>
      </c>
      <c r="B80" s="6"/>
      <c r="C80" s="6"/>
      <c r="D80" s="114">
        <f t="shared" si="3"/>
        <v>1.2</v>
      </c>
      <c r="E80" s="580">
        <f t="shared" si="4"/>
        <v>1</v>
      </c>
      <c r="F80" s="388">
        <v>1.2</v>
      </c>
      <c r="G80" s="388">
        <v>1.2</v>
      </c>
      <c r="H80" s="388">
        <v>1.2</v>
      </c>
      <c r="I80" s="388">
        <v>1.2</v>
      </c>
      <c r="J80" s="388">
        <v>1.2</v>
      </c>
      <c r="K80" s="388">
        <v>1.2</v>
      </c>
      <c r="L80" s="388">
        <v>1.2</v>
      </c>
      <c r="M80" s="146"/>
      <c r="O80" s="2"/>
    </row>
    <row r="81" spans="1:15" x14ac:dyDescent="0.2">
      <c r="A81" s="6" t="s">
        <v>59</v>
      </c>
      <c r="B81" s="6"/>
      <c r="C81" s="6"/>
      <c r="D81" s="114">
        <f t="shared" si="3"/>
        <v>17</v>
      </c>
      <c r="E81" s="580">
        <f t="shared" si="4"/>
        <v>1</v>
      </c>
      <c r="F81" s="388">
        <v>17</v>
      </c>
      <c r="G81" s="388">
        <v>17</v>
      </c>
      <c r="H81" s="388">
        <v>17</v>
      </c>
      <c r="I81" s="388">
        <v>17</v>
      </c>
      <c r="J81" s="388">
        <v>17</v>
      </c>
      <c r="K81" s="388">
        <v>17</v>
      </c>
      <c r="L81" s="388">
        <v>17</v>
      </c>
      <c r="M81" s="146"/>
      <c r="O81" s="2"/>
    </row>
    <row r="82" spans="1:15" x14ac:dyDescent="0.2">
      <c r="K82" s="175"/>
      <c r="L82" s="175"/>
    </row>
    <row r="83" spans="1:15" x14ac:dyDescent="0.2">
      <c r="K83" s="175"/>
      <c r="L83" s="175"/>
    </row>
    <row r="84" spans="1:15" x14ac:dyDescent="0.2">
      <c r="K84" s="175"/>
      <c r="L84" s="175"/>
    </row>
    <row r="85" spans="1:15" x14ac:dyDescent="0.2">
      <c r="K85" s="175"/>
      <c r="L85" s="175"/>
    </row>
    <row r="86" spans="1:15" x14ac:dyDescent="0.2">
      <c r="K86" s="175"/>
      <c r="L86" s="175"/>
      <c r="M86" s="621"/>
      <c r="N86" s="621"/>
      <c r="O86" s="621"/>
    </row>
    <row r="87" spans="1:15" x14ac:dyDescent="0.2">
      <c r="K87" s="175"/>
      <c r="L87" s="175"/>
      <c r="M87" s="307"/>
      <c r="N87" s="307"/>
      <c r="O87" s="307"/>
    </row>
    <row r="89" spans="1:15" x14ac:dyDescent="0.2">
      <c r="K89" s="303"/>
      <c r="L89" s="303"/>
      <c r="N89" s="306"/>
    </row>
    <row r="90" spans="1:15" x14ac:dyDescent="0.2">
      <c r="K90" s="303"/>
      <c r="L90" s="303"/>
      <c r="N90" s="307"/>
      <c r="O90" s="307"/>
    </row>
    <row r="91" spans="1:15" x14ac:dyDescent="0.2">
      <c r="K91" s="303"/>
      <c r="L91" s="303"/>
      <c r="N91" s="307"/>
      <c r="O91" s="307"/>
    </row>
    <row r="92" spans="1:15" x14ac:dyDescent="0.2">
      <c r="K92" s="303"/>
      <c r="L92" s="303"/>
      <c r="N92" s="307"/>
      <c r="O92" s="307"/>
    </row>
    <row r="93" spans="1:15" x14ac:dyDescent="0.2">
      <c r="K93" s="303"/>
      <c r="L93" s="303"/>
      <c r="N93" s="307"/>
      <c r="O93" s="307"/>
    </row>
    <row r="94" spans="1:15" x14ac:dyDescent="0.2">
      <c r="K94" s="304"/>
      <c r="L94" s="304"/>
      <c r="N94" s="307"/>
      <c r="O94" s="307"/>
    </row>
    <row r="95" spans="1:15" x14ac:dyDescent="0.2">
      <c r="K95" s="303"/>
      <c r="L95" s="303"/>
      <c r="N95" s="307"/>
      <c r="O95" s="307"/>
    </row>
    <row r="96" spans="1:15" x14ac:dyDescent="0.2">
      <c r="K96" s="303"/>
      <c r="L96" s="303"/>
      <c r="N96" s="305"/>
      <c r="O96" s="305"/>
    </row>
    <row r="97" spans="11:15" x14ac:dyDescent="0.2">
      <c r="K97" s="304"/>
      <c r="L97" s="304"/>
      <c r="N97" s="307"/>
      <c r="O97" s="307"/>
    </row>
    <row r="98" spans="11:15" x14ac:dyDescent="0.2">
      <c r="K98" s="303"/>
      <c r="L98" s="303"/>
      <c r="N98" s="307"/>
      <c r="O98" s="307"/>
    </row>
    <row r="99" spans="11:15" x14ac:dyDescent="0.2">
      <c r="K99" s="303"/>
      <c r="L99" s="303"/>
      <c r="N99" s="305"/>
      <c r="O99" s="305"/>
    </row>
    <row r="100" spans="11:15" x14ac:dyDescent="0.2">
      <c r="N100" s="307"/>
      <c r="O100" s="233"/>
    </row>
    <row r="101" spans="11:15" x14ac:dyDescent="0.2">
      <c r="N101" s="307"/>
      <c r="O101" s="257"/>
    </row>
    <row r="102" spans="11:15" x14ac:dyDescent="0.2">
      <c r="N102" s="306"/>
      <c r="O102" s="257"/>
    </row>
    <row r="103" spans="11:15" x14ac:dyDescent="0.2">
      <c r="N103" s="307"/>
      <c r="O103" s="257"/>
    </row>
    <row r="104" spans="11:15" x14ac:dyDescent="0.2">
      <c r="N104" s="307"/>
      <c r="O104" s="257"/>
    </row>
    <row r="105" spans="11:15" x14ac:dyDescent="0.2">
      <c r="N105" s="307"/>
      <c r="O105" s="257"/>
    </row>
    <row r="106" spans="11:15" x14ac:dyDescent="0.2">
      <c r="N106" s="307"/>
      <c r="O106" s="257"/>
    </row>
    <row r="107" spans="11:15" x14ac:dyDescent="0.2">
      <c r="N107" s="307"/>
      <c r="O107" s="257"/>
    </row>
    <row r="108" spans="11:15" x14ac:dyDescent="0.2">
      <c r="N108" s="305"/>
      <c r="O108" s="257"/>
    </row>
    <row r="109" spans="11:15" x14ac:dyDescent="0.2">
      <c r="N109" s="307"/>
      <c r="O109" s="257"/>
    </row>
    <row r="110" spans="11:15" x14ac:dyDescent="0.2">
      <c r="N110" s="307"/>
      <c r="O110" s="257"/>
    </row>
    <row r="111" spans="11:15" x14ac:dyDescent="0.2">
      <c r="N111" s="305"/>
      <c r="O111" s="257"/>
    </row>
    <row r="112" spans="11:15" x14ac:dyDescent="0.2">
      <c r="N112" s="307"/>
      <c r="O112" s="303"/>
    </row>
    <row r="113" spans="14:15" x14ac:dyDescent="0.2">
      <c r="N113" s="307"/>
      <c r="O113" s="303"/>
    </row>
    <row r="138" spans="11:15" x14ac:dyDescent="0.2">
      <c r="M138" s="257"/>
    </row>
    <row r="139" spans="11:15" x14ac:dyDescent="0.2">
      <c r="M139" s="257"/>
    </row>
    <row r="140" spans="11:15" x14ac:dyDescent="0.2">
      <c r="M140" s="257"/>
    </row>
    <row r="142" spans="11:15" x14ac:dyDescent="0.2">
      <c r="M142" s="19"/>
    </row>
    <row r="143" spans="11:15" x14ac:dyDescent="0.2">
      <c r="K143" s="80"/>
      <c r="L143" s="80"/>
      <c r="M143" s="19"/>
      <c r="N143" s="19"/>
      <c r="O143" s="19"/>
    </row>
    <row r="144" spans="11:15" x14ac:dyDescent="0.2">
      <c r="K144" s="80"/>
      <c r="L144" s="80"/>
      <c r="M144" s="19"/>
      <c r="N144" s="19"/>
      <c r="O144" s="19"/>
    </row>
    <row r="145" spans="11:15" x14ac:dyDescent="0.2">
      <c r="K145" s="80"/>
      <c r="L145" s="80"/>
      <c r="M145" s="19"/>
      <c r="N145" s="19"/>
      <c r="O145" s="19"/>
    </row>
    <row r="146" spans="11:15" x14ac:dyDescent="0.2">
      <c r="K146" s="80"/>
      <c r="L146" s="80"/>
      <c r="M146" s="19"/>
      <c r="N146" s="19"/>
      <c r="O146" s="19"/>
    </row>
    <row r="147" spans="11:15" x14ac:dyDescent="0.2">
      <c r="K147" s="80"/>
      <c r="L147" s="80"/>
      <c r="M147" s="19"/>
      <c r="N147" s="19"/>
      <c r="O147" s="19"/>
    </row>
    <row r="148" spans="11:15" x14ac:dyDescent="0.2">
      <c r="K148" s="80"/>
      <c r="L148" s="80"/>
      <c r="M148" s="19"/>
      <c r="N148" s="19"/>
      <c r="O148" s="19"/>
    </row>
    <row r="149" spans="11:15" x14ac:dyDescent="0.2">
      <c r="K149" s="80"/>
      <c r="L149" s="80"/>
      <c r="M149" s="19"/>
      <c r="N149" s="19"/>
      <c r="O149" s="19"/>
    </row>
    <row r="150" spans="11:15" x14ac:dyDescent="0.2">
      <c r="K150" s="80"/>
      <c r="L150" s="80"/>
      <c r="M150" s="19"/>
      <c r="N150" s="19"/>
      <c r="O150" s="19"/>
    </row>
    <row r="151" spans="11:15" x14ac:dyDescent="0.2">
      <c r="K151" s="80"/>
      <c r="L151" s="80"/>
      <c r="M151" s="19"/>
      <c r="N151" s="19"/>
      <c r="O151" s="19"/>
    </row>
    <row r="152" spans="11:15" x14ac:dyDescent="0.2">
      <c r="K152" s="80"/>
      <c r="L152" s="80"/>
      <c r="M152" s="19"/>
      <c r="N152" s="19"/>
      <c r="O152" s="19"/>
    </row>
    <row r="153" spans="11:15" x14ac:dyDescent="0.2">
      <c r="K153" s="80"/>
      <c r="L153" s="80"/>
      <c r="M153" s="19"/>
      <c r="N153" s="19"/>
      <c r="O153" s="19"/>
    </row>
    <row r="154" spans="11:15" x14ac:dyDescent="0.2">
      <c r="K154" s="80"/>
      <c r="L154" s="80"/>
      <c r="M154" s="19"/>
      <c r="N154" s="19"/>
      <c r="O154" s="19"/>
    </row>
    <row r="155" spans="11:15" x14ac:dyDescent="0.2">
      <c r="K155" s="80"/>
      <c r="L155" s="80"/>
      <c r="M155" s="19"/>
      <c r="N155" s="19"/>
      <c r="O155" s="19"/>
    </row>
    <row r="156" spans="11:15" x14ac:dyDescent="0.2">
      <c r="K156" s="80"/>
      <c r="L156" s="80"/>
      <c r="M156" s="19"/>
      <c r="N156" s="19"/>
      <c r="O156" s="19"/>
    </row>
    <row r="157" spans="11:15" x14ac:dyDescent="0.2">
      <c r="K157" s="80"/>
      <c r="L157" s="80"/>
      <c r="M157" s="19"/>
      <c r="N157" s="19"/>
      <c r="O157" s="19"/>
    </row>
    <row r="158" spans="11:15" x14ac:dyDescent="0.2">
      <c r="K158" s="80"/>
      <c r="L158" s="80"/>
      <c r="M158" s="19"/>
      <c r="N158" s="19"/>
      <c r="O158" s="19"/>
    </row>
    <row r="170" spans="1:15" x14ac:dyDescent="0.2">
      <c r="K170" s="311"/>
      <c r="L170" s="311"/>
      <c r="M170" s="311"/>
      <c r="N170" s="311"/>
      <c r="O170" s="311"/>
    </row>
    <row r="173" spans="1:15" x14ac:dyDescent="0.2">
      <c r="A173" s="310"/>
      <c r="B173" s="309"/>
    </row>
  </sheetData>
  <mergeCells count="4">
    <mergeCell ref="A1:L1"/>
    <mergeCell ref="M86:O86"/>
    <mergeCell ref="N67:O67"/>
    <mergeCell ref="F2:L2"/>
  </mergeCells>
  <phoneticPr fontId="5" type="noConversion"/>
  <pageMargins left="0.5" right="0.5" top="0.5" bottom="0.5" header="0.5" footer="0.5"/>
  <pageSetup scale="87" orientation="landscape" verticalDpi="300" r:id="rId1"/>
  <headerFooter alignWithMargins="0">
    <oddFooter>&amp;C &amp;P&amp;R&amp;F, &amp;D</oddFooter>
  </headerFooter>
  <rowBreaks count="1" manualBreakCount="1">
    <brk id="40" max="1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5"/>
  </sheetPr>
  <dimension ref="A1:AQ242"/>
  <sheetViews>
    <sheetView tabSelected="1" topLeftCell="C34" zoomScaleNormal="100" workbookViewId="0">
      <selection activeCell="Q50" sqref="Q50"/>
    </sheetView>
  </sheetViews>
  <sheetFormatPr defaultRowHeight="12.75" x14ac:dyDescent="0.2"/>
  <cols>
    <col min="1" max="2" width="10.7109375" customWidth="1"/>
    <col min="3" max="3" width="13.140625" customWidth="1"/>
    <col min="4" max="4" width="11" customWidth="1"/>
    <col min="5" max="5" width="13" customWidth="1"/>
    <col min="6" max="12" width="10.7109375" customWidth="1"/>
    <col min="13" max="14" width="10.7109375" style="99" customWidth="1"/>
    <col min="15" max="15" width="10.7109375" customWidth="1"/>
    <col min="21" max="21" width="10.5703125" customWidth="1"/>
  </cols>
  <sheetData>
    <row r="1" spans="1:17" ht="15.75" x14ac:dyDescent="0.25">
      <c r="A1" s="626" t="s">
        <v>334</v>
      </c>
      <c r="B1" s="626"/>
      <c r="C1" s="626"/>
      <c r="D1" s="626"/>
      <c r="E1" s="626"/>
      <c r="F1" s="626"/>
      <c r="G1" s="626"/>
      <c r="H1" s="626"/>
      <c r="I1" s="626"/>
      <c r="J1" s="626"/>
      <c r="K1" s="626"/>
      <c r="L1" s="626"/>
      <c r="M1" s="219"/>
      <c r="N1" s="219"/>
    </row>
    <row r="2" spans="1:17" ht="15.75" x14ac:dyDescent="0.25">
      <c r="A2" s="627" t="str">
        <f>IF(Chem!E4="NCA-G","LiNi0.80Co0.15Al0.05O2-Graphite",IF(Chem!E4="NMC622-G","Li1.05(Ni0.6Mn0.2Co0.2)0.95O2-Graphite",IF(Chem!E4="NMC333-G","Li1.05(Ni1/3Mn1/3Co1/3)0.95O2-Graphite",IF(Chem!E4="LFP-G","LiFePO4-Graphite",IF(Chem!E4="LMO-LTO","Manganese-Spinel/Li4Ti5O12",IF(Chem!E4="LMO-G","Manganese-Spinel/Graphite",IF(Chem!E4="NMC/x%LMO-G","NMC333/x%LMO-G")))))))</f>
        <v>Manganese-Spinel/Graphite</v>
      </c>
      <c r="B2" s="627"/>
      <c r="C2" s="627"/>
      <c r="D2" s="627"/>
      <c r="E2" s="627"/>
      <c r="F2" s="627"/>
      <c r="G2" s="627"/>
      <c r="H2" s="627"/>
      <c r="I2" s="627"/>
      <c r="J2" s="627"/>
      <c r="K2" s="627"/>
      <c r="L2" s="627"/>
      <c r="M2" s="562"/>
      <c r="N2" s="562"/>
    </row>
    <row r="3" spans="1:17" x14ac:dyDescent="0.2">
      <c r="B3" s="34"/>
      <c r="C3" s="34"/>
      <c r="D3" s="34"/>
      <c r="E3" s="34"/>
    </row>
    <row r="4" spans="1:17" ht="15.75" x14ac:dyDescent="0.25">
      <c r="A4" s="15" t="s">
        <v>759</v>
      </c>
      <c r="B4" s="34"/>
      <c r="C4" s="34"/>
      <c r="D4" s="34"/>
      <c r="E4" s="34"/>
      <c r="F4" s="326"/>
      <c r="G4" s="326"/>
      <c r="H4" s="326"/>
      <c r="I4" s="326"/>
      <c r="J4" s="326"/>
      <c r="K4" s="326"/>
      <c r="L4" s="326"/>
      <c r="M4" s="242"/>
      <c r="N4" s="242"/>
      <c r="Q4" s="547"/>
    </row>
    <row r="5" spans="1:17" ht="15" x14ac:dyDescent="0.25">
      <c r="A5" s="327" t="s">
        <v>18</v>
      </c>
      <c r="B5" s="21"/>
      <c r="C5" s="9"/>
      <c r="D5" s="23" t="s">
        <v>8</v>
      </c>
      <c r="E5" s="8" t="s">
        <v>7</v>
      </c>
    </row>
    <row r="6" spans="1:17" x14ac:dyDescent="0.2">
      <c r="A6" s="11" t="s">
        <v>6</v>
      </c>
      <c r="B6" s="10"/>
      <c r="C6" s="10"/>
      <c r="D6" s="97">
        <f>Chem!E8</f>
        <v>89</v>
      </c>
      <c r="E6" s="98">
        <f>Chem!E14</f>
        <v>4.2300000000000004</v>
      </c>
      <c r="F6" s="37">
        <f t="shared" ref="F6:L6" ca="1" si="0">F79/F37*1000</f>
        <v>106.03037711833156</v>
      </c>
      <c r="G6" s="37">
        <f t="shared" ca="1" si="0"/>
        <v>159.27717249004789</v>
      </c>
      <c r="H6" s="37">
        <f t="shared" ca="1" si="0"/>
        <v>212.38638051735273</v>
      </c>
      <c r="I6" s="37">
        <f t="shared" ca="1" si="0"/>
        <v>265.50369704422843</v>
      </c>
      <c r="J6" s="37">
        <f t="shared" ca="1" si="0"/>
        <v>318.62905039781464</v>
      </c>
      <c r="K6" s="37">
        <f t="shared" ca="1" si="0"/>
        <v>371.76238834191054</v>
      </c>
      <c r="L6" s="37">
        <f t="shared" ca="1" si="0"/>
        <v>424.90367151295578</v>
      </c>
      <c r="M6" s="583"/>
      <c r="N6" s="583"/>
      <c r="O6" s="407"/>
    </row>
    <row r="7" spans="1:17" x14ac:dyDescent="0.2">
      <c r="A7" s="11" t="s">
        <v>495</v>
      </c>
      <c r="B7" s="35"/>
      <c r="C7" s="99"/>
      <c r="D7" s="97">
        <f>Chem!E9</f>
        <v>6</v>
      </c>
      <c r="E7" s="98">
        <f>Chem!E15</f>
        <v>1.825</v>
      </c>
      <c r="F7" s="38">
        <f t="shared" ref="F7:L9" ca="1" si="1">F$10*$D7/100</f>
        <v>7.148115311348195</v>
      </c>
      <c r="G7" s="38">
        <f t="shared" ca="1" si="1"/>
        <v>10.737786909441432</v>
      </c>
      <c r="H7" s="38">
        <f t="shared" ca="1" si="1"/>
        <v>14.318182956226028</v>
      </c>
      <c r="I7" s="38">
        <f t="shared" ca="1" si="1"/>
        <v>17.89912564343113</v>
      </c>
      <c r="J7" s="38">
        <f t="shared" ca="1" si="1"/>
        <v>21.480610139178516</v>
      </c>
      <c r="K7" s="38">
        <f t="shared" ca="1" si="1"/>
        <v>25.06263292192655</v>
      </c>
      <c r="L7" s="38">
        <f t="shared" ca="1" si="1"/>
        <v>28.645191337952078</v>
      </c>
      <c r="M7" s="584"/>
      <c r="N7" s="584"/>
      <c r="O7" s="408"/>
    </row>
    <row r="8" spans="1:17" x14ac:dyDescent="0.2">
      <c r="A8" s="9" t="s">
        <v>11</v>
      </c>
      <c r="B8" s="9"/>
      <c r="C8" s="9"/>
      <c r="D8" s="97">
        <f>Chem!E10</f>
        <v>5</v>
      </c>
      <c r="E8" s="98">
        <f>Chem!E16</f>
        <v>1.77</v>
      </c>
      <c r="F8" s="38">
        <f t="shared" ca="1" si="1"/>
        <v>5.9567627594568293</v>
      </c>
      <c r="G8" s="38">
        <f t="shared" ca="1" si="1"/>
        <v>8.948155757867859</v>
      </c>
      <c r="H8" s="38">
        <f t="shared" ca="1" si="1"/>
        <v>11.931819130188357</v>
      </c>
      <c r="I8" s="38">
        <f t="shared" ca="1" si="1"/>
        <v>14.915938036192609</v>
      </c>
      <c r="J8" s="38">
        <f t="shared" ca="1" si="1"/>
        <v>17.900508449315431</v>
      </c>
      <c r="K8" s="38">
        <f t="shared" ca="1" si="1"/>
        <v>20.885527434938794</v>
      </c>
      <c r="L8" s="38">
        <f t="shared" ca="1" si="1"/>
        <v>23.870992781626732</v>
      </c>
      <c r="M8" s="584"/>
      <c r="N8" s="584"/>
      <c r="O8" s="408"/>
    </row>
    <row r="9" spans="1:17" x14ac:dyDescent="0.2">
      <c r="A9" s="9" t="s">
        <v>12</v>
      </c>
      <c r="B9" s="14" t="s">
        <v>9</v>
      </c>
      <c r="C9" s="100">
        <f>Chem!E12</f>
        <v>32</v>
      </c>
      <c r="D9" s="12"/>
      <c r="E9" s="12"/>
      <c r="F9" s="39">
        <f t="shared" ca="1" si="1"/>
        <v>0</v>
      </c>
      <c r="G9" s="39">
        <f t="shared" ca="1" si="1"/>
        <v>0</v>
      </c>
      <c r="H9" s="39">
        <f t="shared" ca="1" si="1"/>
        <v>0</v>
      </c>
      <c r="I9" s="39">
        <f t="shared" ca="1" si="1"/>
        <v>0</v>
      </c>
      <c r="J9" s="39">
        <f t="shared" ca="1" si="1"/>
        <v>0</v>
      </c>
      <c r="K9" s="39">
        <f t="shared" ca="1" si="1"/>
        <v>0</v>
      </c>
      <c r="L9" s="39">
        <f t="shared" ca="1" si="1"/>
        <v>0</v>
      </c>
      <c r="M9" s="585"/>
      <c r="N9" s="585"/>
      <c r="O9" s="408"/>
    </row>
    <row r="10" spans="1:17" x14ac:dyDescent="0.2">
      <c r="A10" s="9" t="s">
        <v>13</v>
      </c>
      <c r="B10" s="9"/>
      <c r="C10" s="9"/>
      <c r="D10" s="8">
        <f>SUM(D6:D9)</f>
        <v>100</v>
      </c>
      <c r="E10" s="13">
        <f>(100-C9)/(D6/E6+D7/E7+D8/E8)</f>
        <v>2.5043532366468511</v>
      </c>
      <c r="F10" s="36">
        <f t="shared" ref="F10:L10" ca="1" si="2">F6/$D6*100</f>
        <v>119.13525518913659</v>
      </c>
      <c r="G10" s="36">
        <f t="shared" ca="1" si="2"/>
        <v>178.96311515735718</v>
      </c>
      <c r="H10" s="36">
        <f t="shared" ca="1" si="2"/>
        <v>238.63638260376715</v>
      </c>
      <c r="I10" s="36">
        <f t="shared" ca="1" si="2"/>
        <v>298.31876072385217</v>
      </c>
      <c r="J10" s="36">
        <f t="shared" ca="1" si="2"/>
        <v>358.0101689863086</v>
      </c>
      <c r="K10" s="36">
        <f t="shared" ca="1" si="2"/>
        <v>417.71054869877588</v>
      </c>
      <c r="L10" s="36">
        <f t="shared" ca="1" si="2"/>
        <v>477.41985563253462</v>
      </c>
      <c r="M10" s="586"/>
      <c r="N10" s="586"/>
      <c r="O10" s="409"/>
    </row>
    <row r="11" spans="1:17" ht="15" x14ac:dyDescent="0.25">
      <c r="A11" s="328" t="s">
        <v>168</v>
      </c>
      <c r="B11" s="25"/>
      <c r="C11" s="25"/>
      <c r="D11" s="26" t="s">
        <v>8</v>
      </c>
      <c r="E11" s="26" t="s">
        <v>7</v>
      </c>
      <c r="F11" s="27"/>
      <c r="G11" s="27"/>
      <c r="H11" s="27"/>
      <c r="I11" s="27"/>
      <c r="J11" s="27"/>
      <c r="K11" s="27"/>
      <c r="L11" s="27"/>
      <c r="M11" s="138"/>
      <c r="N11" s="138"/>
      <c r="O11" s="138"/>
    </row>
    <row r="12" spans="1:17" x14ac:dyDescent="0.2">
      <c r="A12" s="50" t="s">
        <v>6</v>
      </c>
      <c r="B12" s="25"/>
      <c r="C12" s="25"/>
      <c r="D12" s="101">
        <f>Chem!E21</f>
        <v>95</v>
      </c>
      <c r="E12" s="103">
        <f>Chem!E27</f>
        <v>2.2400000000000002</v>
      </c>
      <c r="F12" s="40">
        <f t="shared" ref="F12:L12" ca="1" si="3">F79/F39*1000*F41*(1+F46/100)</f>
        <v>36.824207749941344</v>
      </c>
      <c r="G12" s="40">
        <f t="shared" ca="1" si="3"/>
        <v>54.945382580832508</v>
      </c>
      <c r="H12" s="40">
        <f t="shared" ca="1" si="3"/>
        <v>72.93334215170367</v>
      </c>
      <c r="I12" s="40">
        <f t="shared" ca="1" si="3"/>
        <v>90.890136979308366</v>
      </c>
      <c r="J12" s="40">
        <f t="shared" ca="1" si="3"/>
        <v>108.82555549358236</v>
      </c>
      <c r="K12" s="40">
        <f t="shared" ca="1" si="3"/>
        <v>126.7454106480011</v>
      </c>
      <c r="L12" s="40">
        <f t="shared" ca="1" si="3"/>
        <v>144.65348406084703</v>
      </c>
      <c r="M12" s="410"/>
      <c r="N12" s="410"/>
      <c r="O12" s="410"/>
    </row>
    <row r="13" spans="1:17" x14ac:dyDescent="0.2">
      <c r="A13" s="27" t="s">
        <v>10</v>
      </c>
      <c r="B13" s="25"/>
      <c r="C13" s="25"/>
      <c r="D13" s="101">
        <f>Chem!E22</f>
        <v>0</v>
      </c>
      <c r="E13" s="103">
        <f>Chem!E28</f>
        <v>1.95</v>
      </c>
      <c r="F13" s="41">
        <f t="shared" ref="F13:L15" ca="1" si="4">F$16*$D13/100</f>
        <v>0</v>
      </c>
      <c r="G13" s="41">
        <f t="shared" ca="1" si="4"/>
        <v>0</v>
      </c>
      <c r="H13" s="41">
        <f t="shared" ca="1" si="4"/>
        <v>0</v>
      </c>
      <c r="I13" s="41">
        <f t="shared" ca="1" si="4"/>
        <v>0</v>
      </c>
      <c r="J13" s="41">
        <f t="shared" ca="1" si="4"/>
        <v>0</v>
      </c>
      <c r="K13" s="41">
        <f t="shared" ca="1" si="4"/>
        <v>0</v>
      </c>
      <c r="L13" s="41">
        <f t="shared" ca="1" si="4"/>
        <v>0</v>
      </c>
      <c r="M13" s="411"/>
      <c r="N13" s="411"/>
      <c r="O13" s="411"/>
      <c r="Q13" s="99"/>
    </row>
    <row r="14" spans="1:17" x14ac:dyDescent="0.2">
      <c r="A14" s="27" t="s">
        <v>11</v>
      </c>
      <c r="B14" s="25"/>
      <c r="C14" s="25"/>
      <c r="D14" s="101">
        <f>Chem!E23</f>
        <v>5</v>
      </c>
      <c r="E14" s="103">
        <f>Chem!E29</f>
        <v>1.1000000000000001</v>
      </c>
      <c r="F14" s="41">
        <f t="shared" ca="1" si="4"/>
        <v>1.9381161973653338</v>
      </c>
      <c r="G14" s="41">
        <f t="shared" ca="1" si="4"/>
        <v>2.8918622410964478</v>
      </c>
      <c r="H14" s="41">
        <f t="shared" ca="1" si="4"/>
        <v>3.8385969553528247</v>
      </c>
      <c r="I14" s="41">
        <f t="shared" ca="1" si="4"/>
        <v>4.7836914199635991</v>
      </c>
      <c r="J14" s="41">
        <f t="shared" ca="1" si="4"/>
        <v>5.7276608154517028</v>
      </c>
      <c r="K14" s="41">
        <f t="shared" ca="1" si="4"/>
        <v>6.6708110867368999</v>
      </c>
      <c r="L14" s="41">
        <f t="shared" ca="1" si="4"/>
        <v>7.6133412663603712</v>
      </c>
      <c r="M14" s="411"/>
      <c r="N14" s="411"/>
      <c r="O14" s="411"/>
    </row>
    <row r="15" spans="1:17" x14ac:dyDescent="0.2">
      <c r="A15" s="27" t="s">
        <v>12</v>
      </c>
      <c r="B15" s="30" t="s">
        <v>9</v>
      </c>
      <c r="C15" s="102">
        <f>Chem!E25</f>
        <v>34</v>
      </c>
      <c r="D15" s="31"/>
      <c r="E15" s="32"/>
      <c r="F15" s="42">
        <f t="shared" ca="1" si="4"/>
        <v>0</v>
      </c>
      <c r="G15" s="42">
        <f t="shared" ca="1" si="4"/>
        <v>0</v>
      </c>
      <c r="H15" s="42">
        <f t="shared" ca="1" si="4"/>
        <v>0</v>
      </c>
      <c r="I15" s="42">
        <f t="shared" ca="1" si="4"/>
        <v>0</v>
      </c>
      <c r="J15" s="42">
        <f t="shared" ca="1" si="4"/>
        <v>0</v>
      </c>
      <c r="K15" s="42">
        <f t="shared" ca="1" si="4"/>
        <v>0</v>
      </c>
      <c r="L15" s="42">
        <f t="shared" ca="1" si="4"/>
        <v>0</v>
      </c>
      <c r="M15" s="411"/>
      <c r="N15" s="411"/>
      <c r="O15" s="411"/>
    </row>
    <row r="16" spans="1:17" x14ac:dyDescent="0.2">
      <c r="A16" s="27" t="s">
        <v>13</v>
      </c>
      <c r="B16" s="25"/>
      <c r="C16" s="25"/>
      <c r="D16" s="29">
        <f>SUM(D12:D15)</f>
        <v>100</v>
      </c>
      <c r="E16" s="28">
        <f>(100-C15)/(D12/E12+D14/E14+D13/E13)</f>
        <v>1.4055661192739843</v>
      </c>
      <c r="F16" s="41">
        <f t="shared" ref="F16:L16" ca="1" si="5">F12/$D12*100</f>
        <v>38.762323947306676</v>
      </c>
      <c r="G16" s="41">
        <f t="shared" ca="1" si="5"/>
        <v>57.837244821928955</v>
      </c>
      <c r="H16" s="41">
        <f t="shared" ca="1" si="5"/>
        <v>76.771939107056497</v>
      </c>
      <c r="I16" s="41">
        <f t="shared" ca="1" si="5"/>
        <v>95.673828399271969</v>
      </c>
      <c r="J16" s="41">
        <f t="shared" ca="1" si="5"/>
        <v>114.55321630903406</v>
      </c>
      <c r="K16" s="41">
        <f t="shared" ca="1" si="5"/>
        <v>133.416221734738</v>
      </c>
      <c r="L16" s="41">
        <f t="shared" ca="1" si="5"/>
        <v>152.26682532720741</v>
      </c>
      <c r="M16" s="411"/>
      <c r="N16" s="411"/>
      <c r="O16" s="411"/>
    </row>
    <row r="17" spans="1:17" ht="15" x14ac:dyDescent="0.25">
      <c r="A17" s="328" t="s">
        <v>34</v>
      </c>
      <c r="B17" s="327"/>
      <c r="C17" s="43"/>
      <c r="D17" s="29" t="s">
        <v>19</v>
      </c>
      <c r="E17" s="28" t="s">
        <v>7</v>
      </c>
      <c r="F17" s="41"/>
      <c r="G17" s="41"/>
      <c r="H17" s="41"/>
      <c r="I17" s="41"/>
      <c r="J17" s="41"/>
      <c r="K17" s="41"/>
      <c r="L17" s="41"/>
      <c r="M17" s="411"/>
      <c r="N17" s="411"/>
      <c r="O17" s="411"/>
    </row>
    <row r="18" spans="1:17" ht="14.25" x14ac:dyDescent="0.2">
      <c r="A18" s="27" t="s">
        <v>20</v>
      </c>
      <c r="B18" s="25"/>
      <c r="C18" s="102" t="str">
        <f>IF(Chem!E31="aluminum","Al","Cu")</f>
        <v>Al</v>
      </c>
      <c r="D18" s="97">
        <f>Chem!E32</f>
        <v>15</v>
      </c>
      <c r="E18" s="103">
        <f>IF(C18="Al",2.7,8.92)</f>
        <v>2.7</v>
      </c>
      <c r="F18" s="45">
        <f t="shared" ref="F18:L18" ca="1" si="6">F111*F112*(F113+F114)/1000000</f>
        <v>0.36104371663976059</v>
      </c>
      <c r="G18" s="45">
        <f t="shared" ca="1" si="6"/>
        <v>0.43650375465862867</v>
      </c>
      <c r="H18" s="45">
        <f t="shared" ca="1" si="6"/>
        <v>0.57696975658780347</v>
      </c>
      <c r="I18" s="45">
        <f t="shared" ca="1" si="6"/>
        <v>0.71693343466346471</v>
      </c>
      <c r="J18" s="45">
        <f t="shared" ca="1" si="6"/>
        <v>0.8565461511504544</v>
      </c>
      <c r="K18" s="45">
        <f t="shared" ca="1" si="6"/>
        <v>0.99589784250009317</v>
      </c>
      <c r="L18" s="45">
        <f t="shared" ca="1" si="6"/>
        <v>1.1350469731285175</v>
      </c>
      <c r="M18" s="412"/>
      <c r="N18" s="412"/>
      <c r="O18" s="412"/>
    </row>
    <row r="19" spans="1:17" ht="14.25" x14ac:dyDescent="0.2">
      <c r="A19" s="27" t="s">
        <v>21</v>
      </c>
      <c r="B19" s="25"/>
      <c r="C19" s="102" t="str">
        <f>IF(Chem!E34="aluminum","Al","Cu")</f>
        <v>Cu</v>
      </c>
      <c r="D19" s="97">
        <f>Chem!E35</f>
        <v>10</v>
      </c>
      <c r="E19" s="103">
        <f>IF(C19="Al",2.7,8.92)</f>
        <v>8.92</v>
      </c>
      <c r="F19" s="45">
        <f t="shared" ref="F19:L19" ca="1" si="7">(F111+1)*(F112+2)*(F113+F114+2)/1000000</f>
        <v>0.38979374679862411</v>
      </c>
      <c r="G19" s="45">
        <f t="shared" ca="1" si="7"/>
        <v>0.47111520796117018</v>
      </c>
      <c r="H19" s="45">
        <f t="shared" ca="1" si="7"/>
        <v>0.61997333122197951</v>
      </c>
      <c r="I19" s="45">
        <f t="shared" ca="1" si="7"/>
        <v>0.7680356490908945</v>
      </c>
      <c r="J19" s="45">
        <f t="shared" ca="1" si="7"/>
        <v>0.91553881894354017</v>
      </c>
      <c r="K19" s="45">
        <f t="shared" ca="1" si="7"/>
        <v>1.0626234152712071</v>
      </c>
      <c r="L19" s="45">
        <f t="shared" ca="1" si="7"/>
        <v>1.209380977159501</v>
      </c>
      <c r="M19" s="412"/>
      <c r="N19" s="412"/>
      <c r="O19" s="412"/>
    </row>
    <row r="20" spans="1:17" ht="14.25" x14ac:dyDescent="0.2">
      <c r="A20" s="27" t="s">
        <v>22</v>
      </c>
      <c r="B20" s="25"/>
      <c r="C20" s="25"/>
      <c r="D20" s="101">
        <f>Chem!E37</f>
        <v>15</v>
      </c>
      <c r="E20" s="104">
        <f>Chem!E39</f>
        <v>0.46</v>
      </c>
      <c r="F20" s="45">
        <f t="shared" ref="F20:L20" ca="1" si="8">(F112+4)*(F113+6)*2*F111/1000000</f>
        <v>0.73022645494523053</v>
      </c>
      <c r="G20" s="45">
        <f t="shared" ca="1" si="8"/>
        <v>0.88091484913943729</v>
      </c>
      <c r="H20" s="45">
        <f t="shared" ca="1" si="8"/>
        <v>1.1628996702421233</v>
      </c>
      <c r="I20" s="45">
        <f t="shared" ca="1" si="8"/>
        <v>1.4437546631247933</v>
      </c>
      <c r="J20" s="45">
        <f t="shared" ca="1" si="8"/>
        <v>1.7238188383081698</v>
      </c>
      <c r="K20" s="45">
        <f t="shared" ca="1" si="8"/>
        <v>2.0032935833264616</v>
      </c>
      <c r="L20" s="45">
        <f t="shared" ca="1" si="8"/>
        <v>2.2823099434423737</v>
      </c>
      <c r="M20" s="412"/>
      <c r="N20" s="412"/>
      <c r="O20" s="412"/>
    </row>
    <row r="21" spans="1:17" x14ac:dyDescent="0.2">
      <c r="A21" s="6" t="s">
        <v>23</v>
      </c>
      <c r="B21" s="25"/>
      <c r="C21" s="25"/>
      <c r="D21" s="101"/>
      <c r="E21" s="103">
        <f>Chem!E40</f>
        <v>1.2</v>
      </c>
      <c r="F21" s="46">
        <f ca="1">(F10/$E10*$C9/100+F16/$E16*$C15/100+F20*$D20*Chem!$E38/100+F32*F112*F113/1000*0.02)/1000</f>
        <v>3.205702262084368E-2</v>
      </c>
      <c r="G21" s="46">
        <f ca="1">(G10/$E10*$C9/100+G16/$E16*$C15/100+G20*$D20*Chem!$E38/100+G32*G112*G113/1000*0.02)/1000</f>
        <v>4.6330877227395331E-2</v>
      </c>
      <c r="H21" s="46">
        <f ca="1">(H10/$E10*$C9/100+H16/$E16*$C15/100+H20*$D20*Chem!$E38/100+H32*H112*H113/1000*0.02)/1000</f>
        <v>6.1606513484235452E-2</v>
      </c>
      <c r="I21" s="46">
        <f ca="1">(I10/$E10*$C9/100+I16/$E16*$C15/100+I20*$D20*Chem!$E38/100+I32*I112*I113/1000*0.02)/1000</f>
        <v>7.6867050588273825E-2</v>
      </c>
      <c r="J21" s="46">
        <f ca="1">(J10/$E10*$C9/100+J16/$E16*$C15/100+J20*$D20*Chem!$E38/100+J32*J112*J113/1000*0.02)/1000</f>
        <v>9.2117512039910657E-2</v>
      </c>
      <c r="K21" s="46">
        <f ca="1">(K10/$E10*$C9/100+K16/$E16*$C15/100+K20*$D20*Chem!$E38/100+K32*K112*K113/1000*0.02)/1000</f>
        <v>0.10736087974461432</v>
      </c>
      <c r="L21" s="46">
        <f ca="1">(L10/$E10*$C9/100+L16/$E16*$C15/100+L20*$D20*Chem!$E38/100+L32*L112*L113/1000*0.02)/1000</f>
        <v>0.12259909366836055</v>
      </c>
      <c r="M21" s="413"/>
      <c r="N21" s="413"/>
      <c r="O21" s="413"/>
      <c r="P21" s="38"/>
    </row>
    <row r="22" spans="1:17" x14ac:dyDescent="0.2">
      <c r="A22" s="44" t="s">
        <v>31</v>
      </c>
      <c r="B22" s="25"/>
      <c r="C22" s="25"/>
      <c r="D22" s="202"/>
      <c r="E22" s="113"/>
      <c r="F22" s="48">
        <f t="shared" ref="F22:L22" ca="1" si="9">$E18*(F116*F34*F115)/1000</f>
        <v>3.9488553427708353</v>
      </c>
      <c r="G22" s="48">
        <f t="shared" ca="1" si="9"/>
        <v>4.8655524292155423</v>
      </c>
      <c r="H22" s="48">
        <f t="shared" ca="1" si="9"/>
        <v>5.705897154267964</v>
      </c>
      <c r="I22" s="48">
        <f t="shared" ca="1" si="9"/>
        <v>6.4463400424329311</v>
      </c>
      <c r="J22" s="48">
        <f t="shared" ca="1" si="9"/>
        <v>7.1158270118090909</v>
      </c>
      <c r="K22" s="48">
        <f t="shared" ca="1" si="9"/>
        <v>7.7315530829274257</v>
      </c>
      <c r="L22" s="48">
        <f t="shared" ca="1" si="9"/>
        <v>8.3047201412378158</v>
      </c>
      <c r="M22" s="414"/>
      <c r="N22" s="414"/>
      <c r="O22" s="414"/>
    </row>
    <row r="23" spans="1:17" x14ac:dyDescent="0.2">
      <c r="A23" s="44" t="s">
        <v>32</v>
      </c>
      <c r="B23" s="25"/>
      <c r="C23" s="25"/>
      <c r="D23" s="144"/>
      <c r="E23" s="113"/>
      <c r="F23" s="48">
        <f t="shared" ref="F23:L23" ca="1" si="10">$E19*(F116*F34*F115)/1000</f>
        <v>13.045848021302167</v>
      </c>
      <c r="G23" s="48">
        <f t="shared" ca="1" si="10"/>
        <v>16.074343580963937</v>
      </c>
      <c r="H23" s="48">
        <f t="shared" ca="1" si="10"/>
        <v>18.850593561507491</v>
      </c>
      <c r="I23" s="48">
        <f t="shared" ca="1" si="10"/>
        <v>21.296797473519163</v>
      </c>
      <c r="J23" s="48">
        <f t="shared" ca="1" si="10"/>
        <v>23.508584053828553</v>
      </c>
      <c r="K23" s="48">
        <f t="shared" ca="1" si="10"/>
        <v>25.542760555449124</v>
      </c>
      <c r="L23" s="48">
        <f t="shared" ca="1" si="10"/>
        <v>27.436334688830115</v>
      </c>
      <c r="M23" s="414"/>
      <c r="N23" s="414"/>
      <c r="O23" s="414"/>
    </row>
    <row r="24" spans="1:17" x14ac:dyDescent="0.2">
      <c r="A24" s="47" t="s">
        <v>414</v>
      </c>
      <c r="B24" s="25"/>
      <c r="C24" s="25"/>
      <c r="D24" s="144"/>
      <c r="E24" s="113"/>
      <c r="F24" s="483">
        <v>100</v>
      </c>
      <c r="G24" s="483">
        <v>100</v>
      </c>
      <c r="H24" s="483">
        <v>100</v>
      </c>
      <c r="I24" s="483">
        <v>100</v>
      </c>
      <c r="J24" s="483">
        <v>100</v>
      </c>
      <c r="K24" s="483">
        <v>100</v>
      </c>
      <c r="L24" s="483">
        <v>100</v>
      </c>
      <c r="M24" s="202"/>
      <c r="N24" s="202"/>
      <c r="O24" s="202"/>
    </row>
    <row r="25" spans="1:17" x14ac:dyDescent="0.2">
      <c r="A25" s="47" t="s">
        <v>415</v>
      </c>
      <c r="B25" s="25"/>
      <c r="C25" s="25"/>
      <c r="D25" s="144"/>
      <c r="E25" s="113"/>
      <c r="F25" s="49">
        <f t="shared" ref="F25:K25" si="11">30+F24+20</f>
        <v>150</v>
      </c>
      <c r="G25" s="49">
        <f t="shared" si="11"/>
        <v>150</v>
      </c>
      <c r="H25" s="49">
        <f t="shared" si="11"/>
        <v>150</v>
      </c>
      <c r="I25" s="49">
        <f t="shared" si="11"/>
        <v>150</v>
      </c>
      <c r="J25" s="49">
        <f t="shared" si="11"/>
        <v>150</v>
      </c>
      <c r="K25" s="49">
        <f t="shared" si="11"/>
        <v>150</v>
      </c>
      <c r="L25" s="49">
        <f t="shared" ref="L25" si="12">30+L24+20</f>
        <v>150</v>
      </c>
      <c r="M25" s="202"/>
      <c r="N25" s="202"/>
      <c r="O25" s="202"/>
    </row>
    <row r="26" spans="1:17" x14ac:dyDescent="0.2">
      <c r="A26" s="47" t="s">
        <v>413</v>
      </c>
      <c r="B26" s="25"/>
      <c r="C26" s="25"/>
      <c r="D26" s="144"/>
      <c r="E26" s="113"/>
      <c r="F26" s="48">
        <f t="shared" ref="F26:K26" si="13">(30*1.4+F24*2.7+20*0.9)/F25</f>
        <v>2.2000000000000002</v>
      </c>
      <c r="G26" s="48">
        <f t="shared" si="13"/>
        <v>2.2000000000000002</v>
      </c>
      <c r="H26" s="48">
        <f t="shared" si="13"/>
        <v>2.2000000000000002</v>
      </c>
      <c r="I26" s="48">
        <f t="shared" si="13"/>
        <v>2.2000000000000002</v>
      </c>
      <c r="J26" s="48">
        <f t="shared" si="13"/>
        <v>2.2000000000000002</v>
      </c>
      <c r="K26" s="48">
        <f t="shared" si="13"/>
        <v>2.2000000000000002</v>
      </c>
      <c r="L26" s="48">
        <f t="shared" ref="L26" si="14">(30*1.4+L24*2.7+20*0.9)/L25</f>
        <v>2.2000000000000002</v>
      </c>
      <c r="M26" s="414"/>
      <c r="N26" s="414"/>
      <c r="O26" s="414"/>
    </row>
    <row r="27" spans="1:17" x14ac:dyDescent="0.2">
      <c r="A27" s="44" t="s">
        <v>412</v>
      </c>
      <c r="B27" s="25"/>
      <c r="C27" s="25"/>
      <c r="D27" s="144"/>
      <c r="E27" s="113"/>
      <c r="F27" s="48">
        <f t="shared" ref="F27:L27" ca="1" si="15">(F117+2*F32+6)*(F118-6)*F25*2/1000*F26/1000</f>
        <v>12.598514087824991</v>
      </c>
      <c r="G27" s="48">
        <f t="shared" ca="1" si="15"/>
        <v>16.988338049902747</v>
      </c>
      <c r="H27" s="48">
        <f t="shared" ca="1" si="15"/>
        <v>21.650484092823014</v>
      </c>
      <c r="I27" s="48">
        <f t="shared" ca="1" si="15"/>
        <v>26.223146552212345</v>
      </c>
      <c r="J27" s="48">
        <f t="shared" ca="1" si="15"/>
        <v>30.732428121384363</v>
      </c>
      <c r="K27" s="48">
        <f t="shared" ca="1" si="15"/>
        <v>35.193806505848855</v>
      </c>
      <c r="L27" s="48">
        <f t="shared" ca="1" si="15"/>
        <v>39.617441017328879</v>
      </c>
      <c r="M27" s="414"/>
      <c r="N27" s="414"/>
      <c r="O27" s="414"/>
    </row>
    <row r="28" spans="1:17" x14ac:dyDescent="0.2">
      <c r="A28" s="47" t="s">
        <v>30</v>
      </c>
      <c r="B28" s="25"/>
      <c r="C28" s="25"/>
      <c r="D28" s="29"/>
      <c r="E28" s="33"/>
      <c r="F28" s="49">
        <f t="shared" ref="F28:L28" ca="1" si="16">F10+F16+F18*$D18*$E18+F19*$D19*$E19+F20*$D20*$E20+F21*$E21*1000+F22+F23+F27</f>
        <v>280.38965901082332</v>
      </c>
      <c r="G28" s="49">
        <f t="shared" ca="1" si="16"/>
        <v>396.10583778511568</v>
      </c>
      <c r="H28" s="49">
        <f t="shared" ca="1" si="16"/>
        <v>522.23601671198196</v>
      </c>
      <c r="I28" s="49">
        <f t="shared" ca="1" si="16"/>
        <v>647.70582507555639</v>
      </c>
      <c r="J28" s="49">
        <f t="shared" ca="1" si="16"/>
        <v>772.71177068594091</v>
      </c>
      <c r="K28" s="49">
        <f t="shared" ca="1" si="16"/>
        <v>897.37054325967449</v>
      </c>
      <c r="L28" s="49">
        <f t="shared" ca="1" si="16"/>
        <v>1021.7582133932564</v>
      </c>
      <c r="M28" s="202"/>
      <c r="N28" s="202"/>
      <c r="O28" s="202"/>
    </row>
    <row r="29" spans="1:17" x14ac:dyDescent="0.2">
      <c r="A29" s="47" t="s">
        <v>314</v>
      </c>
      <c r="B29" s="25"/>
      <c r="C29" s="25"/>
      <c r="D29" s="163"/>
      <c r="E29" s="28"/>
      <c r="F29" s="495">
        <v>3</v>
      </c>
      <c r="G29" s="495">
        <v>3</v>
      </c>
      <c r="H29" s="495">
        <v>3</v>
      </c>
      <c r="I29" s="495">
        <v>3</v>
      </c>
      <c r="J29" s="495">
        <v>3</v>
      </c>
      <c r="K29" s="495">
        <v>3</v>
      </c>
      <c r="L29" s="495">
        <v>3</v>
      </c>
      <c r="M29" s="410"/>
      <c r="N29" s="410"/>
      <c r="O29" s="410"/>
    </row>
    <row r="30" spans="1:17" x14ac:dyDescent="0.2">
      <c r="A30" s="142" t="s">
        <v>850</v>
      </c>
      <c r="B30" s="25"/>
      <c r="C30" s="25"/>
      <c r="D30" s="163"/>
      <c r="E30" s="28"/>
      <c r="F30" s="384">
        <f t="shared" ref="F30:L30" si="17">IF(F209=0,8,IF(F53="microHEV",6,IF(F53="HEV-HP",6,IF(F53="PHEV",8,18))))</f>
        <v>8</v>
      </c>
      <c r="G30" s="384">
        <f t="shared" si="17"/>
        <v>8</v>
      </c>
      <c r="H30" s="384">
        <f t="shared" si="17"/>
        <v>8</v>
      </c>
      <c r="I30" s="384">
        <f t="shared" si="17"/>
        <v>8</v>
      </c>
      <c r="J30" s="384">
        <f t="shared" si="17"/>
        <v>8</v>
      </c>
      <c r="K30" s="384">
        <f t="shared" si="17"/>
        <v>8</v>
      </c>
      <c r="L30" s="384">
        <f t="shared" si="17"/>
        <v>8</v>
      </c>
      <c r="M30" s="439"/>
      <c r="N30" s="439"/>
      <c r="O30" s="439"/>
      <c r="P30" s="263"/>
    </row>
    <row r="31" spans="1:17" x14ac:dyDescent="0.2">
      <c r="A31" s="142" t="s">
        <v>851</v>
      </c>
      <c r="B31" s="25"/>
      <c r="C31" s="25"/>
      <c r="D31" s="163"/>
      <c r="E31" s="28"/>
      <c r="F31" s="464"/>
      <c r="G31" s="464"/>
      <c r="H31" s="464"/>
      <c r="I31" s="464"/>
      <c r="J31" s="464"/>
      <c r="K31" s="464"/>
      <c r="L31" s="464"/>
      <c r="M31" s="472"/>
      <c r="N31" s="472"/>
      <c r="O31" s="409"/>
      <c r="P31" s="263"/>
      <c r="Q31" s="99"/>
    </row>
    <row r="32" spans="1:17" x14ac:dyDescent="0.2">
      <c r="A32" s="47" t="s">
        <v>250</v>
      </c>
      <c r="B32" s="25"/>
      <c r="C32" s="25"/>
      <c r="D32" s="163"/>
      <c r="F32" s="398">
        <f t="shared" ref="F32:L32" ca="1" si="18">IF(F31=0,F30,F31)+F206</f>
        <v>8.0244642968100681</v>
      </c>
      <c r="G32" s="398">
        <f t="shared" ca="1" si="18"/>
        <v>8.0768048424957168</v>
      </c>
      <c r="H32" s="398">
        <f t="shared" ca="1" si="18"/>
        <v>8.0767974205907738</v>
      </c>
      <c r="I32" s="398">
        <f t="shared" ca="1" si="18"/>
        <v>8.0767974205907738</v>
      </c>
      <c r="J32" s="398">
        <f t="shared" ca="1" si="18"/>
        <v>8.0767974205907738</v>
      </c>
      <c r="K32" s="398">
        <f t="shared" ca="1" si="18"/>
        <v>8.0768033199945748</v>
      </c>
      <c r="L32" s="398">
        <f t="shared" ca="1" si="18"/>
        <v>8.0767974205907738</v>
      </c>
      <c r="M32" s="398"/>
      <c r="N32" s="398"/>
      <c r="O32" s="398"/>
    </row>
    <row r="33" spans="1:31" x14ac:dyDescent="0.2">
      <c r="A33" s="47" t="s">
        <v>374</v>
      </c>
      <c r="B33" s="25"/>
      <c r="C33" s="25"/>
      <c r="D33" s="163"/>
      <c r="F33" s="394">
        <v>1</v>
      </c>
      <c r="G33" s="394">
        <v>1</v>
      </c>
      <c r="H33" s="394">
        <v>1</v>
      </c>
      <c r="I33" s="394">
        <v>1</v>
      </c>
      <c r="J33" s="394">
        <v>1</v>
      </c>
      <c r="K33" s="394">
        <v>1</v>
      </c>
      <c r="L33" s="394">
        <v>1</v>
      </c>
      <c r="M33" s="440"/>
      <c r="N33" s="440"/>
      <c r="O33" s="440"/>
      <c r="P33" s="472"/>
      <c r="Q33" s="472"/>
      <c r="R33" s="472"/>
      <c r="S33" s="472"/>
      <c r="T33" s="472"/>
      <c r="U33" s="472"/>
      <c r="V33" s="472"/>
      <c r="W33" s="472"/>
      <c r="X33" s="472"/>
      <c r="Y33" s="472"/>
      <c r="Z33" s="472"/>
      <c r="AA33" s="472"/>
    </row>
    <row r="34" spans="1:31" x14ac:dyDescent="0.2">
      <c r="A34" s="47" t="s">
        <v>313</v>
      </c>
      <c r="C34" s="3"/>
      <c r="F34" s="494">
        <v>1</v>
      </c>
      <c r="G34" s="494">
        <v>1</v>
      </c>
      <c r="H34" s="494">
        <v>1</v>
      </c>
      <c r="I34" s="494">
        <v>1</v>
      </c>
      <c r="J34" s="494">
        <v>1</v>
      </c>
      <c r="K34" s="494">
        <v>1</v>
      </c>
      <c r="L34" s="494">
        <v>1</v>
      </c>
      <c r="M34" s="583"/>
      <c r="N34" s="583"/>
      <c r="O34" s="407"/>
    </row>
    <row r="35" spans="1:31" x14ac:dyDescent="0.2">
      <c r="A35" s="47" t="s">
        <v>322</v>
      </c>
      <c r="C35" s="3"/>
      <c r="F35" s="395">
        <v>15</v>
      </c>
      <c r="G35" s="395">
        <v>15</v>
      </c>
      <c r="H35" s="395">
        <v>15</v>
      </c>
      <c r="I35" s="395">
        <v>15</v>
      </c>
      <c r="J35" s="395">
        <v>15</v>
      </c>
      <c r="K35" s="395">
        <v>15</v>
      </c>
      <c r="L35" s="395">
        <v>15</v>
      </c>
      <c r="M35" s="587"/>
      <c r="N35" s="587"/>
      <c r="O35" s="441"/>
      <c r="P35" s="399"/>
      <c r="V35" s="7"/>
      <c r="W35" s="491"/>
      <c r="X35" s="7"/>
      <c r="Y35" s="7"/>
      <c r="Z35" s="527"/>
      <c r="AA35" s="527"/>
      <c r="AB35" s="7"/>
      <c r="AC35" s="7"/>
      <c r="AD35" s="315"/>
      <c r="AE35" s="317"/>
    </row>
    <row r="36" spans="1:31" ht="15" x14ac:dyDescent="0.25">
      <c r="A36" s="329" t="s">
        <v>28</v>
      </c>
      <c r="B36" s="327"/>
      <c r="C36" s="327"/>
      <c r="D36" s="29"/>
      <c r="E36" s="33"/>
      <c r="F36" s="41"/>
      <c r="G36" s="41"/>
      <c r="H36" s="41"/>
      <c r="I36" s="41"/>
      <c r="J36" s="41"/>
      <c r="K36" s="41"/>
      <c r="L36" s="41"/>
      <c r="M36" s="411"/>
      <c r="N36" s="411"/>
      <c r="O36" s="411"/>
      <c r="P36" s="400"/>
      <c r="V36" s="233"/>
      <c r="W36" s="233"/>
      <c r="X36" s="233"/>
      <c r="Y36" s="233"/>
      <c r="Z36" s="528"/>
      <c r="AA36" s="528"/>
      <c r="AB36" s="233"/>
      <c r="AC36" s="233"/>
      <c r="AD36" s="233"/>
      <c r="AE36" s="233"/>
    </row>
    <row r="37" spans="1:31" x14ac:dyDescent="0.2">
      <c r="A37" t="s">
        <v>24</v>
      </c>
      <c r="E37" s="33"/>
      <c r="F37" s="97">
        <f>Chem!$E6</f>
        <v>100</v>
      </c>
      <c r="G37" s="97">
        <f>Chem!$E6</f>
        <v>100</v>
      </c>
      <c r="H37" s="97">
        <f>Chem!$E6</f>
        <v>100</v>
      </c>
      <c r="I37" s="97">
        <f>Chem!$E6</f>
        <v>100</v>
      </c>
      <c r="J37" s="97">
        <f>Chem!$E6</f>
        <v>100</v>
      </c>
      <c r="K37" s="97">
        <f>Chem!$E6</f>
        <v>100</v>
      </c>
      <c r="L37" s="97">
        <f>Chem!$E6</f>
        <v>100</v>
      </c>
      <c r="M37" s="124"/>
      <c r="N37" s="124"/>
      <c r="O37" s="406"/>
      <c r="P37" s="400"/>
      <c r="V37" s="127"/>
      <c r="W37" s="127"/>
      <c r="X37" s="127"/>
      <c r="Y37" s="127"/>
      <c r="Z37" s="127"/>
      <c r="AA37" s="127"/>
      <c r="AB37" s="127"/>
      <c r="AC37" s="127"/>
      <c r="AD37" s="127"/>
      <c r="AE37" s="127"/>
    </row>
    <row r="38" spans="1:31" ht="14.25" x14ac:dyDescent="0.2">
      <c r="A38" s="21" t="s">
        <v>25</v>
      </c>
      <c r="B38" s="16"/>
      <c r="C38" s="16"/>
      <c r="E38" s="33"/>
      <c r="F38" s="20">
        <f t="shared" ref="F38:L38" si="19">F37/1000*$D6/100*$E10</f>
        <v>0.22288743806156977</v>
      </c>
      <c r="G38" s="20">
        <f t="shared" si="19"/>
        <v>0.22288743806156977</v>
      </c>
      <c r="H38" s="20">
        <f t="shared" si="19"/>
        <v>0.22288743806156977</v>
      </c>
      <c r="I38" s="20">
        <f t="shared" si="19"/>
        <v>0.22288743806156977</v>
      </c>
      <c r="J38" s="20">
        <f t="shared" si="19"/>
        <v>0.22288743806156977</v>
      </c>
      <c r="K38" s="20">
        <f t="shared" si="19"/>
        <v>0.22288743806156977</v>
      </c>
      <c r="L38" s="20">
        <f t="shared" si="19"/>
        <v>0.22288743806156977</v>
      </c>
      <c r="M38" s="588"/>
      <c r="N38" s="588"/>
      <c r="O38" s="415"/>
      <c r="P38" s="400"/>
      <c r="V38" s="166"/>
      <c r="W38" s="166"/>
      <c r="X38" s="166"/>
      <c r="Y38" s="166"/>
      <c r="Z38" s="166"/>
      <c r="AA38" s="166"/>
      <c r="AB38" s="166"/>
      <c r="AC38" s="166"/>
      <c r="AD38" s="166"/>
      <c r="AE38" s="166"/>
    </row>
    <row r="39" spans="1:31" x14ac:dyDescent="0.2">
      <c r="A39" t="s">
        <v>26</v>
      </c>
      <c r="B39" s="25"/>
      <c r="C39" s="25"/>
      <c r="E39" s="25"/>
      <c r="F39" s="102">
        <f>Chem!$E19</f>
        <v>360</v>
      </c>
      <c r="G39" s="102">
        <f>Chem!$E19</f>
        <v>360</v>
      </c>
      <c r="H39" s="102">
        <f>Chem!$E19</f>
        <v>360</v>
      </c>
      <c r="I39" s="102">
        <f>Chem!$E19</f>
        <v>360</v>
      </c>
      <c r="J39" s="102">
        <f>Chem!$E19</f>
        <v>360</v>
      </c>
      <c r="K39" s="102">
        <f>Chem!$E19</f>
        <v>360</v>
      </c>
      <c r="L39" s="102">
        <f>Chem!$E19</f>
        <v>360</v>
      </c>
      <c r="M39" s="125"/>
      <c r="N39" s="125"/>
      <c r="O39" s="125"/>
      <c r="P39" s="400"/>
    </row>
    <row r="40" spans="1:31" ht="14.25" x14ac:dyDescent="0.2">
      <c r="A40" s="21" t="s">
        <v>27</v>
      </c>
      <c r="B40" s="25"/>
      <c r="C40" s="25"/>
      <c r="E40" s="25"/>
      <c r="F40" s="28">
        <f t="shared" ref="F40:L40" si="20">F39/1000*$D12/100*$E16</f>
        <v>0.48070361279170259</v>
      </c>
      <c r="G40" s="28">
        <f t="shared" si="20"/>
        <v>0.48070361279170259</v>
      </c>
      <c r="H40" s="28">
        <f t="shared" si="20"/>
        <v>0.48070361279170259</v>
      </c>
      <c r="I40" s="28">
        <f t="shared" si="20"/>
        <v>0.48070361279170259</v>
      </c>
      <c r="J40" s="28">
        <f t="shared" si="20"/>
        <v>0.48070361279170259</v>
      </c>
      <c r="K40" s="28">
        <f t="shared" si="20"/>
        <v>0.48070361279170259</v>
      </c>
      <c r="L40" s="28">
        <f t="shared" si="20"/>
        <v>0.48070361279170259</v>
      </c>
      <c r="M40" s="416"/>
      <c r="N40" s="416"/>
      <c r="O40" s="416"/>
      <c r="P40" s="400"/>
      <c r="V40" s="166"/>
      <c r="W40" s="166"/>
      <c r="X40" s="166"/>
      <c r="Y40" s="166"/>
      <c r="Z40" s="166"/>
      <c r="AA40" s="166"/>
      <c r="AB40" s="166"/>
      <c r="AC40" s="166"/>
      <c r="AD40" s="166"/>
      <c r="AE40" s="166"/>
    </row>
    <row r="41" spans="1:31" x14ac:dyDescent="0.2">
      <c r="A41" s="27" t="s">
        <v>175</v>
      </c>
      <c r="B41" s="25"/>
      <c r="C41" s="25"/>
      <c r="E41" s="25"/>
      <c r="F41" s="103">
        <f>Chem!$E18</f>
        <v>1.2</v>
      </c>
      <c r="G41" s="103">
        <f>Chem!$E18</f>
        <v>1.2</v>
      </c>
      <c r="H41" s="103">
        <f>Chem!$E18</f>
        <v>1.2</v>
      </c>
      <c r="I41" s="103">
        <f>Chem!$E18</f>
        <v>1.2</v>
      </c>
      <c r="J41" s="103">
        <f>Chem!$E18</f>
        <v>1.2</v>
      </c>
      <c r="K41" s="103">
        <f>Chem!$E18</f>
        <v>1.2</v>
      </c>
      <c r="L41" s="103">
        <f>Chem!$E18</f>
        <v>1.2</v>
      </c>
      <c r="M41" s="113"/>
      <c r="N41" s="113"/>
      <c r="O41" s="113"/>
      <c r="P41" s="400"/>
      <c r="V41" s="166"/>
      <c r="W41" s="166"/>
      <c r="X41" s="166"/>
      <c r="Y41" s="166"/>
      <c r="Z41" s="166"/>
      <c r="AA41" s="166"/>
      <c r="AB41" s="166"/>
      <c r="AC41" s="166"/>
      <c r="AD41" s="166"/>
      <c r="AE41" s="166"/>
    </row>
    <row r="42" spans="1:31" ht="15" x14ac:dyDescent="0.25">
      <c r="A42" s="328" t="s">
        <v>29</v>
      </c>
      <c r="B42" s="327"/>
      <c r="C42" s="327"/>
      <c r="D42" s="331"/>
      <c r="E42" s="16"/>
      <c r="F42" s="21"/>
      <c r="G42" s="21"/>
      <c r="H42" s="21"/>
      <c r="I42" s="21"/>
      <c r="J42" s="21"/>
      <c r="K42" s="21"/>
      <c r="L42" s="21"/>
      <c r="M42" s="22"/>
      <c r="N42" s="22"/>
      <c r="O42" s="138"/>
      <c r="P42" s="400"/>
      <c r="V42" s="166"/>
      <c r="W42" s="166"/>
      <c r="X42" s="166"/>
      <c r="Y42" s="166"/>
      <c r="Z42" s="166"/>
      <c r="AA42" s="166"/>
      <c r="AB42" s="166"/>
      <c r="AC42" s="166"/>
      <c r="AD42" s="166"/>
      <c r="AE42" s="166"/>
    </row>
    <row r="43" spans="1:31" x14ac:dyDescent="0.2">
      <c r="A43" t="s">
        <v>346</v>
      </c>
      <c r="E43" s="2"/>
      <c r="F43" s="97">
        <f>IF(OR(F53="microHEV",F53="HEV-HP"),F44,Chem!$E42)</f>
        <v>3.8260000000000001</v>
      </c>
      <c r="G43" s="97">
        <f>IF(OR(G53="microHEV",G53="HEV-HP"),G44,Chem!$E42)</f>
        <v>3.8260000000000001</v>
      </c>
      <c r="H43" s="97">
        <f>IF(OR(H53="microHEV",H53="HEV-HP"),H44,Chem!$E42)</f>
        <v>3.8260000000000001</v>
      </c>
      <c r="I43" s="97">
        <f>IF(OR(I53="microHEV",I53="HEV-HP"),I44,Chem!$E42)</f>
        <v>3.8260000000000001</v>
      </c>
      <c r="J43" s="97">
        <f>IF(OR(J53="microHEV",J53="HEV-HP"),J44,Chem!$E42)</f>
        <v>3.8260000000000001</v>
      </c>
      <c r="K43" s="97">
        <f>IF(OR(K53="microHEV",K53="HEV-HP"),K44,Chem!$E42)</f>
        <v>3.8260000000000001</v>
      </c>
      <c r="L43" s="97">
        <f>IF(OR(L53="microHEV",L53="HEV-HP"),L44,Chem!$E42)</f>
        <v>3.8260000000000001</v>
      </c>
      <c r="M43" s="124"/>
      <c r="N43" s="124"/>
      <c r="O43" s="406"/>
      <c r="P43" s="400"/>
      <c r="V43" s="127"/>
      <c r="W43" s="127"/>
      <c r="X43" s="127"/>
      <c r="Y43" s="127"/>
      <c r="Z43" s="127"/>
      <c r="AA43" s="127"/>
      <c r="AB43" s="127"/>
      <c r="AC43" s="127"/>
      <c r="AD43" s="127"/>
      <c r="AE43" s="127"/>
    </row>
    <row r="44" spans="1:31" x14ac:dyDescent="0.2">
      <c r="A44" s="27" t="s">
        <v>264</v>
      </c>
      <c r="B44" s="16"/>
      <c r="C44" s="16"/>
      <c r="D44" s="16"/>
      <c r="E44" s="16"/>
      <c r="F44" s="161">
        <f>Chem!$E43</f>
        <v>3.9540000000000002</v>
      </c>
      <c r="G44" s="161">
        <f>Chem!$E43</f>
        <v>3.9540000000000002</v>
      </c>
      <c r="H44" s="161">
        <f>Chem!$E43</f>
        <v>3.9540000000000002</v>
      </c>
      <c r="I44" s="161">
        <f>Chem!$E43</f>
        <v>3.9540000000000002</v>
      </c>
      <c r="J44" s="161">
        <f>Chem!$E43</f>
        <v>3.9540000000000002</v>
      </c>
      <c r="K44" s="161">
        <f>Chem!$E43</f>
        <v>3.9540000000000002</v>
      </c>
      <c r="L44" s="161">
        <f>Chem!$E43</f>
        <v>3.9540000000000002</v>
      </c>
      <c r="M44" s="160"/>
      <c r="N44" s="160"/>
      <c r="O44" s="415"/>
      <c r="P44" s="400"/>
      <c r="V44" s="80"/>
      <c r="W44" s="80"/>
      <c r="X44" s="80"/>
      <c r="Y44" s="80"/>
      <c r="Z44" s="80"/>
      <c r="AA44" s="80"/>
      <c r="AB44" s="80"/>
      <c r="AC44" s="80"/>
      <c r="AD44" s="80"/>
      <c r="AE44" s="80"/>
    </row>
    <row r="45" spans="1:31" ht="14.25" x14ac:dyDescent="0.2">
      <c r="A45" s="22" t="s">
        <v>16</v>
      </c>
      <c r="E45" s="5"/>
      <c r="F45" s="105">
        <f>Chem!$E$57</f>
        <v>44</v>
      </c>
      <c r="G45" s="105">
        <f>Chem!$E$57</f>
        <v>44</v>
      </c>
      <c r="H45" s="105">
        <f>Chem!$E$57</f>
        <v>44</v>
      </c>
      <c r="I45" s="105">
        <f>Chem!$E$57</f>
        <v>44</v>
      </c>
      <c r="J45" s="105">
        <f>Chem!$E$57</f>
        <v>44</v>
      </c>
      <c r="K45" s="105">
        <f>Chem!$E$57</f>
        <v>44</v>
      </c>
      <c r="L45" s="105">
        <f>Chem!$E$57</f>
        <v>44</v>
      </c>
      <c r="M45" s="126"/>
      <c r="N45" s="126"/>
      <c r="O45" s="418"/>
      <c r="P45" s="400"/>
      <c r="V45" s="127"/>
      <c r="W45" s="127"/>
      <c r="X45" s="127"/>
      <c r="Y45" s="127"/>
      <c r="Z45" s="127"/>
      <c r="AA45" s="127"/>
      <c r="AB45" s="127"/>
      <c r="AC45" s="127"/>
      <c r="AD45" s="127"/>
      <c r="AE45" s="127"/>
    </row>
    <row r="46" spans="1:31" x14ac:dyDescent="0.2">
      <c r="A46" s="22" t="s">
        <v>15</v>
      </c>
      <c r="B46" s="2"/>
      <c r="C46" s="6"/>
      <c r="D46" s="2"/>
      <c r="E46" s="2"/>
      <c r="F46" s="95">
        <f t="shared" ref="F46:L46" ca="1" si="21">(F112+2)*(F113+2)/F112/F113*100-100</f>
        <v>4.18959759667257</v>
      </c>
      <c r="G46" s="95">
        <f t="shared" ca="1" si="21"/>
        <v>3.4901267805949914</v>
      </c>
      <c r="H46" s="95">
        <f t="shared" ca="1" si="21"/>
        <v>3.0198009505766379</v>
      </c>
      <c r="I46" s="95">
        <f t="shared" ca="1" si="21"/>
        <v>2.699289679760227</v>
      </c>
      <c r="J46" s="95">
        <f t="shared" ca="1" si="21"/>
        <v>2.462931761286228</v>
      </c>
      <c r="K46" s="95">
        <f t="shared" ca="1" si="21"/>
        <v>2.2793708744681851</v>
      </c>
      <c r="L46" s="95">
        <f t="shared" ca="1" si="21"/>
        <v>2.1314903298756747</v>
      </c>
      <c r="M46" s="95"/>
      <c r="N46" s="95"/>
      <c r="O46" s="417"/>
    </row>
    <row r="47" spans="1:31" x14ac:dyDescent="0.2">
      <c r="A47" s="47" t="s">
        <v>328</v>
      </c>
      <c r="B47" s="6"/>
      <c r="C47" s="177"/>
      <c r="D47" s="6"/>
      <c r="E47" s="6"/>
      <c r="F47" s="287">
        <v>0.01</v>
      </c>
      <c r="G47" s="287">
        <v>0.01</v>
      </c>
      <c r="H47" s="287">
        <v>0.01</v>
      </c>
      <c r="I47" s="287">
        <v>0.01</v>
      </c>
      <c r="J47" s="287">
        <v>0.01</v>
      </c>
      <c r="K47" s="287">
        <v>0.01</v>
      </c>
      <c r="L47" s="287">
        <v>0.01</v>
      </c>
      <c r="M47" s="124"/>
      <c r="N47" s="124"/>
      <c r="O47" s="406"/>
    </row>
    <row r="48" spans="1:31" ht="14.25" x14ac:dyDescent="0.2">
      <c r="A48" s="22" t="s">
        <v>329</v>
      </c>
      <c r="B48" s="6"/>
      <c r="C48" s="177"/>
      <c r="D48" s="6"/>
      <c r="E48" s="6"/>
      <c r="F48" s="287">
        <v>0.05</v>
      </c>
      <c r="G48" s="287">
        <v>0.05</v>
      </c>
      <c r="H48" s="287">
        <v>0.05</v>
      </c>
      <c r="I48" s="287">
        <v>0.05</v>
      </c>
      <c r="J48" s="287">
        <v>0.05</v>
      </c>
      <c r="K48" s="287">
        <v>0.05</v>
      </c>
      <c r="L48" s="287">
        <v>0.05</v>
      </c>
      <c r="M48" s="124"/>
      <c r="N48" s="124"/>
      <c r="O48" s="406"/>
    </row>
    <row r="49" spans="1:32" x14ac:dyDescent="0.2">
      <c r="A49" s="22" t="s">
        <v>184</v>
      </c>
      <c r="B49" s="2"/>
      <c r="C49" s="6"/>
      <c r="D49" s="2"/>
      <c r="E49" s="2"/>
      <c r="F49" s="287">
        <v>80</v>
      </c>
      <c r="G49" s="287">
        <v>80</v>
      </c>
      <c r="H49" s="287">
        <v>80</v>
      </c>
      <c r="I49" s="287">
        <v>80</v>
      </c>
      <c r="J49" s="287">
        <v>80</v>
      </c>
      <c r="K49" s="287">
        <v>80</v>
      </c>
      <c r="L49" s="287">
        <v>80</v>
      </c>
      <c r="M49" s="124"/>
      <c r="N49" s="124"/>
      <c r="O49" s="406"/>
    </row>
    <row r="50" spans="1:32" x14ac:dyDescent="0.2">
      <c r="A50" t="s">
        <v>186</v>
      </c>
      <c r="E50" s="127"/>
      <c r="F50" s="5">
        <f t="shared" ref="F50:L50" ca="1" si="22">IF(F209=0,F49,100/2*(1+1/F43*(F43^2-4*F56*1000/F67*F90/F109)^0.5))</f>
        <v>80</v>
      </c>
      <c r="G50" s="5">
        <f t="shared" ca="1" si="22"/>
        <v>84.355573865313175</v>
      </c>
      <c r="H50" s="5">
        <f t="shared" ca="1" si="22"/>
        <v>88.633961004108571</v>
      </c>
      <c r="I50" s="5">
        <f t="shared" ca="1" si="22"/>
        <v>90.984728254501832</v>
      </c>
      <c r="J50" s="5">
        <f t="shared" ca="1" si="22"/>
        <v>92.479632988509437</v>
      </c>
      <c r="K50" s="5">
        <f t="shared" ca="1" si="22"/>
        <v>93.516300305100557</v>
      </c>
      <c r="L50" s="5">
        <f t="shared" ca="1" si="22"/>
        <v>94.278208625061993</v>
      </c>
      <c r="M50" s="126"/>
      <c r="N50" s="126"/>
      <c r="O50" s="418"/>
      <c r="P50" s="399"/>
      <c r="Q50" s="399" t="s">
        <v>946</v>
      </c>
      <c r="R50" s="263"/>
      <c r="S50" s="263"/>
      <c r="T50" s="263"/>
      <c r="U50" s="263"/>
      <c r="V50" s="263"/>
      <c r="W50" s="263"/>
      <c r="X50" s="263"/>
      <c r="Y50" s="263"/>
      <c r="Z50" s="263"/>
    </row>
    <row r="51" spans="1:32" ht="15" x14ac:dyDescent="0.25">
      <c r="A51" s="259" t="s">
        <v>854</v>
      </c>
      <c r="E51" s="127"/>
      <c r="F51" s="5">
        <f t="shared" ref="F51:L51" si="23">F147</f>
        <v>379.584</v>
      </c>
      <c r="G51" s="5">
        <f t="shared" si="23"/>
        <v>379.584</v>
      </c>
      <c r="H51" s="5">
        <f t="shared" si="23"/>
        <v>379.584</v>
      </c>
      <c r="I51" s="5">
        <f t="shared" si="23"/>
        <v>379.584</v>
      </c>
      <c r="J51" s="5">
        <f t="shared" si="23"/>
        <v>379.584</v>
      </c>
      <c r="K51" s="5">
        <f t="shared" si="23"/>
        <v>379.584</v>
      </c>
      <c r="L51" s="5">
        <f t="shared" si="23"/>
        <v>379.584</v>
      </c>
      <c r="M51" s="126"/>
      <c r="N51" s="126"/>
      <c r="O51" s="418"/>
      <c r="P51" s="34"/>
      <c r="Q51" s="34" t="s">
        <v>925</v>
      </c>
      <c r="R51" s="564"/>
      <c r="S51" s="564"/>
      <c r="T51" s="564"/>
      <c r="U51" s="564"/>
      <c r="V51" s="564"/>
      <c r="W51" s="564"/>
      <c r="Y51" s="34" t="s">
        <v>926</v>
      </c>
      <c r="Z51" s="564"/>
      <c r="AA51" s="564"/>
      <c r="AB51" s="564"/>
      <c r="AC51" s="564"/>
      <c r="AD51" s="564"/>
      <c r="AE51" s="564"/>
      <c r="AF51" s="529"/>
    </row>
    <row r="52" spans="1:32" ht="15.75" x14ac:dyDescent="0.25">
      <c r="A52" s="17" t="s">
        <v>33</v>
      </c>
      <c r="B52" s="18"/>
      <c r="C52" s="18"/>
      <c r="G52" s="86"/>
      <c r="O52" s="419"/>
      <c r="P52" s="401"/>
      <c r="Q52" s="401" t="s">
        <v>927</v>
      </c>
      <c r="R52" s="561"/>
      <c r="S52" s="561"/>
      <c r="T52" s="561"/>
      <c r="U52" s="561"/>
      <c r="V52" s="561"/>
      <c r="W52" s="561"/>
      <c r="Y52" s="401" t="s">
        <v>928</v>
      </c>
      <c r="Z52" s="401"/>
      <c r="AA52" s="401"/>
      <c r="AB52" s="401"/>
      <c r="AC52" s="401"/>
      <c r="AD52" s="401"/>
      <c r="AE52" s="401"/>
      <c r="AF52" s="310"/>
    </row>
    <row r="53" spans="1:32" s="6" customFormat="1" ht="15" x14ac:dyDescent="0.2">
      <c r="A53" s="18" t="s">
        <v>371</v>
      </c>
      <c r="B53" s="18"/>
      <c r="C53" s="18"/>
      <c r="D53"/>
      <c r="E53"/>
      <c r="F53" s="282" t="s">
        <v>439</v>
      </c>
      <c r="G53" s="257" t="str">
        <f>F53</f>
        <v>PHEV</v>
      </c>
      <c r="H53" s="257" t="str">
        <f t="shared" ref="H53:H54" si="24">G53</f>
        <v>PHEV</v>
      </c>
      <c r="I53" s="257" t="str">
        <f t="shared" ref="I53:I54" si="25">H53</f>
        <v>PHEV</v>
      </c>
      <c r="J53" s="257" t="str">
        <f t="shared" ref="J53:J54" si="26">I53</f>
        <v>PHEV</v>
      </c>
      <c r="K53" s="257" t="str">
        <f t="shared" ref="K53:K54" si="27">J53</f>
        <v>PHEV</v>
      </c>
      <c r="L53" s="257" t="str">
        <f t="shared" ref="L53:L54" si="28">K53</f>
        <v>PHEV</v>
      </c>
      <c r="M53" s="124"/>
      <c r="N53" s="124"/>
      <c r="O53" s="406"/>
      <c r="P53" s="125"/>
      <c r="Q53" s="282" t="s">
        <v>439</v>
      </c>
      <c r="R53" s="257" t="str">
        <f>Q53</f>
        <v>PHEV</v>
      </c>
      <c r="S53" s="257" t="str">
        <f t="shared" ref="S53:S54" si="29">R53</f>
        <v>PHEV</v>
      </c>
      <c r="T53" s="257" t="str">
        <f t="shared" ref="T53:T54" si="30">S53</f>
        <v>PHEV</v>
      </c>
      <c r="U53" s="257" t="str">
        <f t="shared" ref="U53:U54" si="31">T53</f>
        <v>PHEV</v>
      </c>
      <c r="V53" s="257" t="str">
        <f t="shared" ref="V53:V54" si="32">U53</f>
        <v>PHEV</v>
      </c>
      <c r="W53" s="257" t="str">
        <f t="shared" ref="W53:W54" si="33">V53</f>
        <v>PHEV</v>
      </c>
      <c r="Y53" s="282" t="s">
        <v>880</v>
      </c>
      <c r="Z53" s="257" t="str">
        <f>Y53</f>
        <v>EV</v>
      </c>
      <c r="AA53" s="257" t="str">
        <f>AD53</f>
        <v>EV</v>
      </c>
      <c r="AB53" s="257" t="str">
        <f>AE53</f>
        <v>EV</v>
      </c>
      <c r="AC53" s="257" t="str">
        <f t="shared" ref="AC53:AC54" si="34">Z53</f>
        <v>EV</v>
      </c>
      <c r="AD53" s="257" t="str">
        <f t="shared" ref="AD53:AD54" si="35">AC53</f>
        <v>EV</v>
      </c>
      <c r="AE53" s="257" t="str">
        <f>AA53</f>
        <v>EV</v>
      </c>
    </row>
    <row r="54" spans="1:32" s="6" customFormat="1" x14ac:dyDescent="0.2">
      <c r="A54" s="253" t="s">
        <v>667</v>
      </c>
      <c r="D54" s="253"/>
      <c r="E54" s="246"/>
      <c r="F54" s="271" t="s">
        <v>680</v>
      </c>
      <c r="G54" s="283" t="str">
        <f t="shared" ref="G54" si="36">F54</f>
        <v>EG-W</v>
      </c>
      <c r="H54" s="283" t="str">
        <f t="shared" si="24"/>
        <v>EG-W</v>
      </c>
      <c r="I54" s="283" t="str">
        <f t="shared" si="25"/>
        <v>EG-W</v>
      </c>
      <c r="J54" s="283" t="str">
        <f t="shared" si="26"/>
        <v>EG-W</v>
      </c>
      <c r="K54" s="283" t="str">
        <f t="shared" si="27"/>
        <v>EG-W</v>
      </c>
      <c r="L54" s="283" t="str">
        <f t="shared" si="28"/>
        <v>EG-W</v>
      </c>
      <c r="M54" s="283"/>
      <c r="N54" s="283"/>
      <c r="O54" s="125"/>
      <c r="P54" s="283"/>
      <c r="Q54" s="271" t="s">
        <v>680</v>
      </c>
      <c r="R54" s="283" t="str">
        <f t="shared" ref="R54" si="37">Q54</f>
        <v>EG-W</v>
      </c>
      <c r="S54" s="283" t="str">
        <f t="shared" si="29"/>
        <v>EG-W</v>
      </c>
      <c r="T54" s="283" t="str">
        <f t="shared" si="30"/>
        <v>EG-W</v>
      </c>
      <c r="U54" s="283" t="str">
        <f t="shared" si="31"/>
        <v>EG-W</v>
      </c>
      <c r="V54" s="283" t="str">
        <f t="shared" si="32"/>
        <v>EG-W</v>
      </c>
      <c r="W54" s="283" t="str">
        <f t="shared" si="33"/>
        <v>EG-W</v>
      </c>
      <c r="Y54" s="271" t="s">
        <v>680</v>
      </c>
      <c r="Z54" s="283" t="str">
        <f>Y54</f>
        <v>EG-W</v>
      </c>
      <c r="AA54" s="283" t="str">
        <f>AD54</f>
        <v>EG-W</v>
      </c>
      <c r="AB54" s="283" t="str">
        <f>AE54</f>
        <v>EG-W</v>
      </c>
      <c r="AC54" s="283" t="str">
        <f t="shared" si="34"/>
        <v>EG-W</v>
      </c>
      <c r="AD54" s="283" t="str">
        <f t="shared" si="35"/>
        <v>EG-W</v>
      </c>
      <c r="AE54" s="283" t="str">
        <f>AA54</f>
        <v>EG-W</v>
      </c>
    </row>
    <row r="55" spans="1:32" x14ac:dyDescent="0.2">
      <c r="A55" s="138" t="s">
        <v>884</v>
      </c>
      <c r="B55" s="6"/>
      <c r="C55" s="6"/>
      <c r="D55" s="253"/>
      <c r="E55" s="6"/>
      <c r="F55" s="283">
        <f t="shared" ref="F55:L55" si="38">IF(F53="microHEV",2,10)</f>
        <v>10</v>
      </c>
      <c r="G55" s="283">
        <f t="shared" si="38"/>
        <v>10</v>
      </c>
      <c r="H55" s="283">
        <f t="shared" si="38"/>
        <v>10</v>
      </c>
      <c r="I55" s="283">
        <f t="shared" si="38"/>
        <v>10</v>
      </c>
      <c r="J55" s="283">
        <f t="shared" si="38"/>
        <v>10</v>
      </c>
      <c r="K55" s="283">
        <f t="shared" si="38"/>
        <v>10</v>
      </c>
      <c r="L55" s="283">
        <f t="shared" si="38"/>
        <v>10</v>
      </c>
      <c r="M55" s="283"/>
      <c r="N55" s="283"/>
      <c r="O55" s="125"/>
      <c r="P55" s="283"/>
      <c r="Q55" s="283">
        <f t="shared" ref="Q55:W55" si="39">IF(Q53="microHEV",2,10)</f>
        <v>10</v>
      </c>
      <c r="R55" s="283">
        <f t="shared" si="39"/>
        <v>10</v>
      </c>
      <c r="S55" s="283">
        <f t="shared" si="39"/>
        <v>10</v>
      </c>
      <c r="T55" s="283">
        <f t="shared" si="39"/>
        <v>10</v>
      </c>
      <c r="U55" s="283">
        <f t="shared" si="39"/>
        <v>10</v>
      </c>
      <c r="V55" s="283">
        <f t="shared" si="39"/>
        <v>10</v>
      </c>
      <c r="W55" s="283">
        <f t="shared" si="39"/>
        <v>10</v>
      </c>
      <c r="X55" s="99"/>
      <c r="Y55" s="140">
        <f t="shared" ref="Y55:Z55" si="40">IF(Y53="microHEV",2,10)</f>
        <v>10</v>
      </c>
      <c r="Z55" s="140">
        <f t="shared" si="40"/>
        <v>10</v>
      </c>
      <c r="AA55" s="140">
        <f>IF(AA53="microHEV",2,10)</f>
        <v>10</v>
      </c>
      <c r="AB55" s="140">
        <f>IF(AB53="microHEV",2,10)</f>
        <v>10</v>
      </c>
      <c r="AC55" s="140">
        <f t="shared" ref="AC55:AD55" si="41">IF(AC53="microHEV",2,10)</f>
        <v>10</v>
      </c>
      <c r="AD55" s="140">
        <f t="shared" si="41"/>
        <v>10</v>
      </c>
      <c r="AE55" s="140">
        <f>IF(AE53="microHEV",2,10)</f>
        <v>10</v>
      </c>
    </row>
    <row r="56" spans="1:32" x14ac:dyDescent="0.2">
      <c r="A56" s="400" t="s">
        <v>894</v>
      </c>
      <c r="E56" s="127"/>
      <c r="F56" s="255">
        <v>60</v>
      </c>
      <c r="G56" s="255">
        <v>60</v>
      </c>
      <c r="H56" s="255">
        <v>60</v>
      </c>
      <c r="I56" s="255">
        <v>60</v>
      </c>
      <c r="J56" s="255">
        <v>60</v>
      </c>
      <c r="K56" s="255">
        <v>60</v>
      </c>
      <c r="L56" s="255">
        <v>60</v>
      </c>
      <c r="M56" s="128"/>
      <c r="N56" s="128"/>
      <c r="O56" s="420"/>
      <c r="P56" s="128"/>
      <c r="Q56" s="255">
        <v>60</v>
      </c>
      <c r="R56" s="255">
        <v>60</v>
      </c>
      <c r="S56" s="255">
        <v>60</v>
      </c>
      <c r="T56" s="255">
        <v>60</v>
      </c>
      <c r="U56" s="255">
        <v>60</v>
      </c>
      <c r="V56" s="255">
        <v>60</v>
      </c>
      <c r="W56" s="255">
        <v>60</v>
      </c>
      <c r="X56" s="128"/>
      <c r="Y56" s="255">
        <v>120</v>
      </c>
      <c r="Z56" s="255">
        <v>120</v>
      </c>
      <c r="AA56" s="255">
        <v>300</v>
      </c>
      <c r="AB56" s="255">
        <v>360</v>
      </c>
      <c r="AC56" s="255">
        <v>180</v>
      </c>
      <c r="AD56" s="255">
        <v>240</v>
      </c>
      <c r="AE56" s="255">
        <v>360</v>
      </c>
    </row>
    <row r="57" spans="1:32" x14ac:dyDescent="0.2">
      <c r="A57" s="138" t="s">
        <v>915</v>
      </c>
      <c r="B57" s="372"/>
      <c r="C57" s="372"/>
      <c r="D57" s="372"/>
      <c r="E57" s="372"/>
      <c r="F57" s="473" t="str">
        <f>IF(F53="EV",F56*Chem!$E50/Chem!$E54,"NA")</f>
        <v>NA</v>
      </c>
      <c r="G57" s="473" t="str">
        <f>IF(G53="EV",G56*Chem!$E50/Chem!$E54,"NA")</f>
        <v>NA</v>
      </c>
      <c r="H57" s="473" t="str">
        <f>IF(H53="EV",H56*Chem!$E50/Chem!$E54,"NA")</f>
        <v>NA</v>
      </c>
      <c r="I57" s="473" t="str">
        <f>IF(I53="EV",I56*Chem!$E50/Chem!$E54,"NA")</f>
        <v>NA</v>
      </c>
      <c r="J57" s="473" t="str">
        <f>IF(J53="EV",J56*Chem!$E50/Chem!$E54,"NA")</f>
        <v>NA</v>
      </c>
      <c r="K57" s="473" t="str">
        <f>IF(K53="EV",K56*Chem!$E50/Chem!$E54,"NA")</f>
        <v>NA</v>
      </c>
      <c r="L57" s="473" t="str">
        <f>IF(L53="EV",L56*Chem!$E50/Chem!$E54,"NA")</f>
        <v>NA</v>
      </c>
      <c r="M57" s="473"/>
      <c r="N57" s="473"/>
      <c r="O57" s="456"/>
      <c r="P57" s="473"/>
      <c r="Q57" s="473" t="str">
        <f>IF(Q53="EV",Q56*Chem!$E50/Chem!$E54,"NA")</f>
        <v>NA</v>
      </c>
      <c r="R57" s="473" t="str">
        <f>IF(R53="EV",R56*Chem!$E50/Chem!$E54,"NA")</f>
        <v>NA</v>
      </c>
      <c r="S57" s="473" t="str">
        <f>IF(S53="EV",S56*Chem!$E50/Chem!$E54,"NA")</f>
        <v>NA</v>
      </c>
      <c r="T57" s="473" t="str">
        <f>IF(T53="EV",T56*Chem!$E50/Chem!$E54,"NA")</f>
        <v>NA</v>
      </c>
      <c r="U57" s="473" t="str">
        <f>IF(U53="EV",U56*Chem!$E50/Chem!$E54,"NA")</f>
        <v>NA</v>
      </c>
      <c r="V57" s="473" t="str">
        <f>IF(V53="EV",V56*Chem!$E50/Chem!$E54,"NA")</f>
        <v>NA</v>
      </c>
      <c r="W57" s="473" t="str">
        <f>IF(W53="EV",W56*Chem!$E50/Chem!$E54,"NA")</f>
        <v>NA</v>
      </c>
      <c r="X57" s="455"/>
      <c r="Y57" s="473">
        <f>IF(Y53="EV",Y56*Chem!$E50/Chem!$E54,"NA")</f>
        <v>96.15384615384616</v>
      </c>
      <c r="Z57" s="473">
        <f>IF(Z53="EV",Z56*Chem!$E50/Chem!$E54,"NA")</f>
        <v>96.15384615384616</v>
      </c>
      <c r="AA57" s="473">
        <f>IF(AA53="EV",AA56*Chem!$E50/Chem!$E54,"NA")</f>
        <v>240.38461538461539</v>
      </c>
      <c r="AB57" s="473">
        <f>IF(AB53="EV",AB56*Chem!$E50/Chem!$E54,"NA")</f>
        <v>288.46153846153845</v>
      </c>
      <c r="AC57" s="473">
        <f>IF(AC53="EV",AC56*Chem!$E50/Chem!$E54,"NA")</f>
        <v>144.23076923076923</v>
      </c>
      <c r="AD57" s="473">
        <f>IF(AD53="EV",AD56*Chem!$E50/Chem!$E54,"NA")</f>
        <v>192.30769230769232</v>
      </c>
      <c r="AE57" s="473">
        <f>IF(AE53="EV",AE56*Chem!$E50/Chem!$E54,"NA")</f>
        <v>288.46153846153845</v>
      </c>
    </row>
    <row r="58" spans="1:32" x14ac:dyDescent="0.2">
      <c r="A58" s="400" t="s">
        <v>916</v>
      </c>
      <c r="F58" s="473">
        <f ca="1">'Summary of Results'!F16</f>
        <v>60.000000000000007</v>
      </c>
      <c r="G58" s="473">
        <f ca="1">'Summary of Results'!G16</f>
        <v>72.744106133087698</v>
      </c>
      <c r="H58" s="473">
        <f ca="1">'Summary of Results'!H16</f>
        <v>95.293204855200543</v>
      </c>
      <c r="I58" s="473">
        <f ca="1">'Summary of Results'!I16</f>
        <v>117.03719608035212</v>
      </c>
      <c r="J58" s="473">
        <f ca="1">'Summary of Results'!J16</f>
        <v>138.03400841597346</v>
      </c>
      <c r="K58" s="473">
        <f ca="1">'Summary of Results'!K16</f>
        <v>158.32920265404357</v>
      </c>
      <c r="L58" s="473">
        <f ca="1">'Summary of Results'!L16</f>
        <v>177.96225181488037</v>
      </c>
      <c r="M58" s="473"/>
      <c r="N58" s="473"/>
      <c r="O58" s="456"/>
      <c r="P58" s="473"/>
      <c r="Q58" s="473">
        <f>'Summary of Results'!Q16</f>
        <v>0</v>
      </c>
      <c r="R58" s="473">
        <f>'Summary of Results'!R16</f>
        <v>0</v>
      </c>
      <c r="S58" s="473">
        <f>'Summary of Results'!S16</f>
        <v>0</v>
      </c>
      <c r="T58" s="473">
        <f>'Summary of Results'!T16</f>
        <v>0</v>
      </c>
      <c r="U58" s="473">
        <f>'Summary of Results'!U16</f>
        <v>0</v>
      </c>
      <c r="V58" s="473">
        <f>'Summary of Results'!V16</f>
        <v>0</v>
      </c>
      <c r="W58" s="473">
        <f>'Summary of Results'!W16</f>
        <v>0</v>
      </c>
      <c r="X58" s="455"/>
      <c r="Y58" s="473">
        <f>'Summary of Results'!Y16</f>
        <v>0</v>
      </c>
      <c r="Z58" s="473">
        <f>'Summary of Results'!Z16</f>
        <v>0</v>
      </c>
      <c r="AA58" s="473">
        <f>'Summary of Results'!AA16</f>
        <v>0</v>
      </c>
      <c r="AB58" s="473">
        <f>'Summary of Results'!AB16</f>
        <v>0</v>
      </c>
      <c r="AC58" s="473">
        <f>'Summary of Results'!AC16</f>
        <v>0</v>
      </c>
      <c r="AD58" s="473">
        <f>'Summary of Results'!AD16</f>
        <v>0</v>
      </c>
      <c r="AE58" s="473">
        <f>'Summary of Results'!AE16</f>
        <v>0</v>
      </c>
    </row>
    <row r="59" spans="1:32" x14ac:dyDescent="0.2">
      <c r="A59" t="s">
        <v>274</v>
      </c>
      <c r="F59" s="131">
        <v>24</v>
      </c>
      <c r="G59" s="131">
        <v>24</v>
      </c>
      <c r="H59" s="131">
        <v>24</v>
      </c>
      <c r="I59" s="131">
        <v>24</v>
      </c>
      <c r="J59" s="131">
        <v>24</v>
      </c>
      <c r="K59" s="131">
        <v>24</v>
      </c>
      <c r="L59" s="131">
        <v>24</v>
      </c>
      <c r="M59" s="124"/>
      <c r="N59" s="124"/>
      <c r="O59" s="406"/>
      <c r="P59" s="124"/>
      <c r="Q59" s="131">
        <v>24</v>
      </c>
      <c r="R59" s="131">
        <v>24</v>
      </c>
      <c r="S59" s="131">
        <v>24</v>
      </c>
      <c r="T59" s="131">
        <v>24</v>
      </c>
      <c r="U59" s="131">
        <v>24</v>
      </c>
      <c r="V59" s="131">
        <v>24</v>
      </c>
      <c r="W59" s="131">
        <v>24</v>
      </c>
      <c r="X59" s="124"/>
      <c r="Y59" s="131">
        <v>28</v>
      </c>
      <c r="Z59" s="131">
        <v>28</v>
      </c>
      <c r="AA59" s="131">
        <v>18</v>
      </c>
      <c r="AB59" s="131">
        <v>32</v>
      </c>
      <c r="AC59" s="131">
        <v>30</v>
      </c>
      <c r="AD59" s="131">
        <v>36</v>
      </c>
      <c r="AE59" s="131">
        <v>24</v>
      </c>
    </row>
    <row r="60" spans="1:32" x14ac:dyDescent="0.2">
      <c r="A60" t="s">
        <v>345</v>
      </c>
      <c r="F60" s="131">
        <v>1</v>
      </c>
      <c r="G60" s="131">
        <v>1</v>
      </c>
      <c r="H60" s="131">
        <v>1</v>
      </c>
      <c r="I60" s="131">
        <v>1</v>
      </c>
      <c r="J60" s="131">
        <v>1</v>
      </c>
      <c r="K60" s="131">
        <v>1</v>
      </c>
      <c r="L60" s="131">
        <v>1</v>
      </c>
      <c r="M60" s="124"/>
      <c r="N60" s="124"/>
      <c r="O60" s="445"/>
      <c r="P60" s="124"/>
      <c r="Q60" s="131">
        <v>1</v>
      </c>
      <c r="R60" s="131">
        <v>1</v>
      </c>
      <c r="S60" s="131">
        <v>1</v>
      </c>
      <c r="T60" s="131">
        <v>1</v>
      </c>
      <c r="U60" s="131">
        <v>1</v>
      </c>
      <c r="V60" s="131">
        <v>1</v>
      </c>
      <c r="W60" s="131">
        <v>1</v>
      </c>
      <c r="X60" s="124"/>
      <c r="Y60" s="131">
        <v>2</v>
      </c>
      <c r="Z60" s="131">
        <v>2</v>
      </c>
      <c r="AA60" s="131">
        <v>3</v>
      </c>
      <c r="AB60" s="131">
        <v>4</v>
      </c>
      <c r="AC60" s="131">
        <v>2</v>
      </c>
      <c r="AD60" s="131">
        <v>3</v>
      </c>
      <c r="AE60" s="131">
        <v>3</v>
      </c>
    </row>
    <row r="61" spans="1:32" x14ac:dyDescent="0.2">
      <c r="A61" t="s">
        <v>275</v>
      </c>
      <c r="F61" s="164">
        <v>4</v>
      </c>
      <c r="G61" s="164">
        <v>4</v>
      </c>
      <c r="H61" s="164">
        <v>4</v>
      </c>
      <c r="I61" s="164">
        <v>4</v>
      </c>
      <c r="J61" s="164">
        <v>4</v>
      </c>
      <c r="K61" s="164">
        <v>4</v>
      </c>
      <c r="L61" s="164">
        <v>4</v>
      </c>
      <c r="M61" s="128"/>
      <c r="N61" s="128"/>
      <c r="O61" s="420"/>
      <c r="P61" s="128"/>
      <c r="Q61" s="164">
        <v>4</v>
      </c>
      <c r="R61" s="164">
        <v>4</v>
      </c>
      <c r="S61" s="164">
        <v>4</v>
      </c>
      <c r="T61" s="164">
        <v>4</v>
      </c>
      <c r="U61" s="164">
        <v>4</v>
      </c>
      <c r="V61" s="164">
        <v>4</v>
      </c>
      <c r="W61" s="164">
        <v>4</v>
      </c>
      <c r="X61" s="128"/>
      <c r="Y61" s="164">
        <v>3</v>
      </c>
      <c r="Z61" s="164">
        <v>3</v>
      </c>
      <c r="AA61" s="164">
        <v>3</v>
      </c>
      <c r="AB61" s="164">
        <v>3</v>
      </c>
      <c r="AC61" s="164">
        <v>3</v>
      </c>
      <c r="AD61" s="164">
        <v>3</v>
      </c>
      <c r="AE61" s="164">
        <v>3</v>
      </c>
    </row>
    <row r="62" spans="1:32" x14ac:dyDescent="0.2">
      <c r="A62" s="142" t="s">
        <v>681</v>
      </c>
      <c r="F62" s="164">
        <v>1</v>
      </c>
      <c r="G62" s="164">
        <v>1</v>
      </c>
      <c r="H62" s="164">
        <v>1</v>
      </c>
      <c r="I62" s="164">
        <v>1</v>
      </c>
      <c r="J62" s="164">
        <v>1</v>
      </c>
      <c r="K62" s="164">
        <v>1</v>
      </c>
      <c r="L62" s="164">
        <v>1</v>
      </c>
      <c r="M62" s="128"/>
      <c r="N62" s="128"/>
      <c r="O62" s="420"/>
      <c r="P62" s="128"/>
      <c r="Q62" s="164">
        <v>1</v>
      </c>
      <c r="R62" s="164">
        <v>1</v>
      </c>
      <c r="S62" s="164">
        <v>1</v>
      </c>
      <c r="T62" s="164">
        <v>1</v>
      </c>
      <c r="U62" s="164">
        <v>1</v>
      </c>
      <c r="V62" s="164">
        <v>1</v>
      </c>
      <c r="W62" s="164">
        <v>1</v>
      </c>
      <c r="X62" s="128"/>
      <c r="Y62" s="164">
        <v>2</v>
      </c>
      <c r="Z62" s="164">
        <v>2</v>
      </c>
      <c r="AA62" s="164">
        <v>4</v>
      </c>
      <c r="AB62" s="164">
        <v>4</v>
      </c>
      <c r="AC62" s="164">
        <v>2</v>
      </c>
      <c r="AD62" s="164">
        <v>2</v>
      </c>
      <c r="AE62" s="164">
        <v>4</v>
      </c>
    </row>
    <row r="63" spans="1:32" x14ac:dyDescent="0.2">
      <c r="A63" t="s">
        <v>682</v>
      </c>
      <c r="F63" s="169">
        <f t="shared" ref="F63:L63" si="42">F61*F62</f>
        <v>4</v>
      </c>
      <c r="G63" s="169">
        <f t="shared" si="42"/>
        <v>4</v>
      </c>
      <c r="H63" s="169">
        <f t="shared" si="42"/>
        <v>4</v>
      </c>
      <c r="I63" s="169">
        <f t="shared" si="42"/>
        <v>4</v>
      </c>
      <c r="J63" s="169">
        <f t="shared" si="42"/>
        <v>4</v>
      </c>
      <c r="K63" s="169">
        <f t="shared" si="42"/>
        <v>4</v>
      </c>
      <c r="L63" s="169">
        <f t="shared" si="42"/>
        <v>4</v>
      </c>
      <c r="M63" s="169"/>
      <c r="N63" s="169"/>
      <c r="O63" s="420"/>
      <c r="P63" s="169"/>
      <c r="Q63" s="169">
        <f t="shared" ref="Q63:W63" si="43">Q61*Q62</f>
        <v>4</v>
      </c>
      <c r="R63" s="169">
        <f t="shared" si="43"/>
        <v>4</v>
      </c>
      <c r="S63" s="169">
        <f t="shared" si="43"/>
        <v>4</v>
      </c>
      <c r="T63" s="169">
        <f t="shared" si="43"/>
        <v>4</v>
      </c>
      <c r="U63" s="169">
        <f t="shared" si="43"/>
        <v>4</v>
      </c>
      <c r="V63" s="169">
        <f t="shared" si="43"/>
        <v>4</v>
      </c>
      <c r="W63" s="169">
        <f t="shared" si="43"/>
        <v>4</v>
      </c>
      <c r="X63" s="169"/>
      <c r="Y63" s="169">
        <f t="shared" ref="Y63:Z63" si="44">Y61*Y62</f>
        <v>6</v>
      </c>
      <c r="Z63" s="169">
        <f t="shared" si="44"/>
        <v>6</v>
      </c>
      <c r="AA63" s="169">
        <f>AA61*AA62</f>
        <v>12</v>
      </c>
      <c r="AB63" s="169">
        <f>AB61*AB62</f>
        <v>12</v>
      </c>
      <c r="AC63" s="169">
        <f t="shared" ref="AC63:AD63" si="45">AC61*AC62</f>
        <v>6</v>
      </c>
      <c r="AD63" s="169">
        <f t="shared" si="45"/>
        <v>6</v>
      </c>
      <c r="AE63" s="169">
        <f>AE61*AE62</f>
        <v>12</v>
      </c>
    </row>
    <row r="64" spans="1:32" x14ac:dyDescent="0.2">
      <c r="A64" s="253" t="s">
        <v>636</v>
      </c>
      <c r="F64" s="255">
        <v>1</v>
      </c>
      <c r="G64" s="255">
        <v>1</v>
      </c>
      <c r="H64" s="255">
        <v>1</v>
      </c>
      <c r="I64" s="255">
        <v>1</v>
      </c>
      <c r="J64" s="255">
        <v>1</v>
      </c>
      <c r="K64" s="255">
        <v>1</v>
      </c>
      <c r="L64" s="255">
        <v>1</v>
      </c>
      <c r="M64" s="128"/>
      <c r="N64" s="128"/>
      <c r="O64" s="420"/>
      <c r="P64" s="128"/>
      <c r="Q64" s="255">
        <v>1</v>
      </c>
      <c r="R64" s="255">
        <v>1</v>
      </c>
      <c r="S64" s="255">
        <v>1</v>
      </c>
      <c r="T64" s="255">
        <v>1</v>
      </c>
      <c r="U64" s="255">
        <v>1</v>
      </c>
      <c r="V64" s="255">
        <v>1</v>
      </c>
      <c r="W64" s="255">
        <v>1</v>
      </c>
      <c r="X64" s="128"/>
      <c r="Y64" s="255">
        <v>1</v>
      </c>
      <c r="Z64" s="255">
        <v>1</v>
      </c>
      <c r="AA64" s="255">
        <v>1</v>
      </c>
      <c r="AB64" s="255">
        <v>1</v>
      </c>
      <c r="AC64" s="255">
        <v>1</v>
      </c>
      <c r="AD64" s="255">
        <v>1</v>
      </c>
      <c r="AE64" s="255">
        <v>1</v>
      </c>
    </row>
    <row r="65" spans="1:31" x14ac:dyDescent="0.2">
      <c r="A65" s="253" t="s">
        <v>648</v>
      </c>
      <c r="F65" s="255">
        <v>1</v>
      </c>
      <c r="G65" s="255">
        <v>1</v>
      </c>
      <c r="H65" s="255">
        <v>1</v>
      </c>
      <c r="I65" s="255">
        <v>1</v>
      </c>
      <c r="J65" s="255">
        <v>1</v>
      </c>
      <c r="K65" s="255">
        <v>1</v>
      </c>
      <c r="L65" s="255">
        <v>1</v>
      </c>
      <c r="M65" s="128"/>
      <c r="N65" s="128"/>
      <c r="O65" s="420"/>
      <c r="P65" s="128"/>
      <c r="Q65" s="255">
        <v>1</v>
      </c>
      <c r="R65" s="255">
        <v>1</v>
      </c>
      <c r="S65" s="255">
        <v>1</v>
      </c>
      <c r="T65" s="255">
        <v>1</v>
      </c>
      <c r="U65" s="255">
        <v>1</v>
      </c>
      <c r="V65" s="255">
        <v>1</v>
      </c>
      <c r="W65" s="255">
        <v>1</v>
      </c>
      <c r="X65" s="128"/>
      <c r="Y65" s="255">
        <v>1</v>
      </c>
      <c r="Z65" s="255">
        <v>1</v>
      </c>
      <c r="AA65" s="255">
        <v>1</v>
      </c>
      <c r="AB65" s="255">
        <v>1</v>
      </c>
      <c r="AC65" s="255">
        <v>1</v>
      </c>
      <c r="AD65" s="255">
        <v>1</v>
      </c>
      <c r="AE65" s="255">
        <v>1</v>
      </c>
    </row>
    <row r="66" spans="1:31" x14ac:dyDescent="0.2">
      <c r="A66" s="253" t="s">
        <v>650</v>
      </c>
      <c r="F66" s="255"/>
      <c r="G66" s="255"/>
      <c r="H66" s="255"/>
      <c r="I66" s="255"/>
      <c r="J66" s="255"/>
      <c r="K66" s="255"/>
      <c r="L66" s="397"/>
      <c r="M66" s="473"/>
      <c r="N66" s="473"/>
      <c r="O66" s="144"/>
      <c r="P66" s="128"/>
      <c r="Q66" s="128"/>
      <c r="R66" s="128"/>
      <c r="S66" s="128"/>
      <c r="T66" s="128"/>
      <c r="U66" s="128"/>
      <c r="V66" s="473"/>
      <c r="W66" s="128"/>
      <c r="X66" s="128"/>
      <c r="Y66" s="473"/>
    </row>
    <row r="67" spans="1:31" x14ac:dyDescent="0.2">
      <c r="A67" t="s">
        <v>683</v>
      </c>
      <c r="F67" s="124">
        <f t="shared" ref="F67:K67" si="46">F63*F59</f>
        <v>96</v>
      </c>
      <c r="G67" s="124">
        <f t="shared" si="46"/>
        <v>96</v>
      </c>
      <c r="H67" s="124">
        <f t="shared" si="46"/>
        <v>96</v>
      </c>
      <c r="I67" s="124">
        <f t="shared" si="46"/>
        <v>96</v>
      </c>
      <c r="J67" s="124">
        <f t="shared" si="46"/>
        <v>96</v>
      </c>
      <c r="K67" s="124">
        <f t="shared" si="46"/>
        <v>96</v>
      </c>
      <c r="L67" s="124">
        <f t="shared" ref="L67" si="47">L63*L59</f>
        <v>96</v>
      </c>
      <c r="M67" s="124"/>
      <c r="N67" s="124"/>
      <c r="O67" s="406"/>
    </row>
    <row r="68" spans="1:31" x14ac:dyDescent="0.2">
      <c r="A68" t="s">
        <v>684</v>
      </c>
      <c r="F68" s="124">
        <f t="shared" ref="F68:K68" si="48">F67*F65</f>
        <v>96</v>
      </c>
      <c r="G68" s="124">
        <f t="shared" si="48"/>
        <v>96</v>
      </c>
      <c r="H68" s="124">
        <f t="shared" si="48"/>
        <v>96</v>
      </c>
      <c r="I68" s="124">
        <f t="shared" si="48"/>
        <v>96</v>
      </c>
      <c r="J68" s="124">
        <f t="shared" si="48"/>
        <v>96</v>
      </c>
      <c r="K68" s="124">
        <f t="shared" si="48"/>
        <v>96</v>
      </c>
      <c r="L68" s="124">
        <f t="shared" ref="L68" si="49">L67*L65</f>
        <v>96</v>
      </c>
      <c r="M68" s="124"/>
      <c r="N68" s="124"/>
      <c r="O68" s="406"/>
    </row>
    <row r="69" spans="1:31" x14ac:dyDescent="0.2">
      <c r="A69" t="s">
        <v>520</v>
      </c>
      <c r="F69" s="287">
        <v>0.03</v>
      </c>
      <c r="G69" s="287">
        <v>0.03</v>
      </c>
      <c r="H69" s="287">
        <v>0.03</v>
      </c>
      <c r="I69" s="287">
        <v>0.03</v>
      </c>
      <c r="J69" s="287">
        <v>0.03</v>
      </c>
      <c r="K69" s="287">
        <v>0.03</v>
      </c>
      <c r="L69" s="287">
        <v>0.03</v>
      </c>
      <c r="M69" s="124"/>
      <c r="N69" s="124"/>
      <c r="O69" s="406"/>
    </row>
    <row r="70" spans="1:31" x14ac:dyDescent="0.2">
      <c r="A70" t="s">
        <v>276</v>
      </c>
      <c r="F70" s="386">
        <v>10</v>
      </c>
      <c r="G70" s="386">
        <v>10</v>
      </c>
      <c r="H70" s="386">
        <v>10</v>
      </c>
      <c r="I70" s="386">
        <v>10</v>
      </c>
      <c r="J70" s="386">
        <v>10</v>
      </c>
      <c r="K70" s="386">
        <v>10</v>
      </c>
      <c r="L70" s="386">
        <v>10</v>
      </c>
      <c r="M70" s="128"/>
      <c r="N70" s="128"/>
      <c r="O70" s="420"/>
    </row>
    <row r="71" spans="1:31" x14ac:dyDescent="0.2">
      <c r="A71" t="s">
        <v>277</v>
      </c>
      <c r="F71" s="128">
        <f t="shared" ref="F71:L71" ca="1" si="50">F70+2*IF(F140*F63&lt;20,1,IF(F140*F63&lt;40,1.5,2))</f>
        <v>12</v>
      </c>
      <c r="G71" s="128">
        <f t="shared" ca="1" si="50"/>
        <v>12</v>
      </c>
      <c r="H71" s="128">
        <f t="shared" ca="1" si="50"/>
        <v>13</v>
      </c>
      <c r="I71" s="128">
        <f t="shared" ca="1" si="50"/>
        <v>13</v>
      </c>
      <c r="J71" s="128">
        <f t="shared" ca="1" si="50"/>
        <v>13</v>
      </c>
      <c r="K71" s="128">
        <f t="shared" ca="1" si="50"/>
        <v>14</v>
      </c>
      <c r="L71" s="128">
        <f t="shared" ca="1" si="50"/>
        <v>14</v>
      </c>
      <c r="M71" s="128"/>
      <c r="N71" s="128"/>
      <c r="O71" s="420"/>
    </row>
    <row r="72" spans="1:31" ht="13.5" thickBot="1" x14ac:dyDescent="0.25">
      <c r="A72" s="57" t="s">
        <v>37</v>
      </c>
      <c r="B72" s="57"/>
      <c r="C72" s="57"/>
      <c r="D72" s="57"/>
      <c r="F72" s="228">
        <v>100000</v>
      </c>
      <c r="G72" s="228">
        <v>100000</v>
      </c>
      <c r="H72" s="228">
        <v>100000</v>
      </c>
      <c r="I72" s="228">
        <v>100000</v>
      </c>
      <c r="J72" s="228">
        <v>100000</v>
      </c>
      <c r="K72" s="228">
        <v>100000</v>
      </c>
      <c r="L72" s="228">
        <v>100000</v>
      </c>
      <c r="M72" s="442"/>
      <c r="N72" s="442"/>
      <c r="O72" s="442"/>
    </row>
    <row r="73" spans="1:31" x14ac:dyDescent="0.2">
      <c r="A73" s="133" t="s">
        <v>191</v>
      </c>
      <c r="B73" s="134"/>
      <c r="C73" s="134"/>
      <c r="D73" s="107"/>
      <c r="E73" s="254"/>
      <c r="O73" s="419"/>
      <c r="P73" s="263"/>
    </row>
    <row r="74" spans="1:31" x14ac:dyDescent="0.2">
      <c r="A74" s="484" t="s">
        <v>929</v>
      </c>
      <c r="B74" s="16"/>
      <c r="C74" s="16"/>
      <c r="D74" s="145"/>
      <c r="E74" s="485"/>
      <c r="O74" s="419"/>
    </row>
    <row r="75" spans="1:31" ht="13.5" thickBot="1" x14ac:dyDescent="0.25">
      <c r="A75" s="558" t="s">
        <v>919</v>
      </c>
      <c r="B75" s="109"/>
      <c r="C75" s="109"/>
      <c r="D75" s="135"/>
      <c r="E75" s="132"/>
      <c r="O75" s="419"/>
    </row>
    <row r="76" spans="1:31" ht="15.75" x14ac:dyDescent="0.25">
      <c r="A76" s="17" t="s">
        <v>187</v>
      </c>
      <c r="F76" s="320"/>
      <c r="G76" s="320"/>
      <c r="H76" s="320"/>
      <c r="I76" s="320"/>
      <c r="J76" s="320"/>
      <c r="K76" s="320"/>
      <c r="L76" s="320"/>
      <c r="M76" s="589"/>
      <c r="N76" s="589"/>
      <c r="O76" s="421"/>
    </row>
    <row r="77" spans="1:31" ht="15" x14ac:dyDescent="0.25">
      <c r="A77" s="259" t="s">
        <v>192</v>
      </c>
      <c r="D77" s="263"/>
      <c r="E77" s="323" t="str">
        <f ca="1">IF(OR(F77="x",G77="x",H77="x",I77="x",J77="x",K77="x",L77="x"),"Inadequate capacity if X"," ")</f>
        <v xml:space="preserve"> </v>
      </c>
      <c r="F77" s="264" t="str">
        <f ca="1">IF(OR(F83&gt;Chem!$E56,MIN(F104,F105)&lt;15),"X"," ")</f>
        <v xml:space="preserve"> </v>
      </c>
      <c r="G77" s="264" t="str">
        <f ca="1">IF(OR(G83&gt;Chem!$E56,MIN(G104,G105)&lt;15),"X"," ")</f>
        <v xml:space="preserve"> </v>
      </c>
      <c r="H77" s="264" t="str">
        <f ca="1">IF(OR(H83&gt;Chem!$E56,MIN(H104,H105)&lt;15),"X"," ")</f>
        <v xml:space="preserve"> </v>
      </c>
      <c r="I77" s="264" t="str">
        <f ca="1">IF(OR(I83&gt;Chem!$E56,MIN(I104,I105)&lt;15),"X"," ")</f>
        <v xml:space="preserve"> </v>
      </c>
      <c r="J77" s="264" t="str">
        <f ca="1">IF(OR(J83&gt;Chem!$E56,MIN(J104,J105)&lt;15),"X"," ")</f>
        <v xml:space="preserve"> </v>
      </c>
      <c r="K77" s="264" t="str">
        <f ca="1">IF(OR(K83&gt;Chem!$E56,MIN(K104,K105)&lt;15),"X"," ")</f>
        <v xml:space="preserve"> </v>
      </c>
      <c r="L77" s="264" t="str">
        <f ca="1">IF(OR(L83&gt;Chem!$E56,MIN(L104,L105)&lt;15),"X"," ")</f>
        <v xml:space="preserve"> </v>
      </c>
      <c r="M77" s="590"/>
      <c r="N77" s="590"/>
      <c r="O77" s="422"/>
    </row>
    <row r="78" spans="1:31" x14ac:dyDescent="0.2">
      <c r="A78" s="253" t="s">
        <v>669</v>
      </c>
      <c r="F78" s="96">
        <f t="shared" ref="F78:L78" ca="1" si="51">F200/F64</f>
        <v>10.603037711833156</v>
      </c>
      <c r="G78" s="96">
        <f t="shared" ca="1" si="51"/>
        <v>15.927717249004788</v>
      </c>
      <c r="H78" s="96">
        <f t="shared" ca="1" si="51"/>
        <v>21.238638051735272</v>
      </c>
      <c r="I78" s="96">
        <f t="shared" ca="1" si="51"/>
        <v>26.550369704422842</v>
      </c>
      <c r="J78" s="96">
        <f t="shared" ca="1" si="51"/>
        <v>31.862905039781463</v>
      </c>
      <c r="K78" s="96">
        <f t="shared" ca="1" si="51"/>
        <v>37.176238834191054</v>
      </c>
      <c r="L78" s="96">
        <f t="shared" ca="1" si="51"/>
        <v>42.49036715129558</v>
      </c>
      <c r="M78" s="319"/>
      <c r="N78" s="319"/>
      <c r="O78" s="368"/>
    </row>
    <row r="79" spans="1:31" x14ac:dyDescent="0.2">
      <c r="A79" s="6" t="s">
        <v>347</v>
      </c>
      <c r="F79" s="96">
        <f t="shared" ref="F79:L79" ca="1" si="52">F78/F60</f>
        <v>10.603037711833156</v>
      </c>
      <c r="G79" s="96">
        <f t="shared" ca="1" si="52"/>
        <v>15.927717249004788</v>
      </c>
      <c r="H79" s="96">
        <f t="shared" ca="1" si="52"/>
        <v>21.238638051735272</v>
      </c>
      <c r="I79" s="96">
        <f t="shared" ca="1" si="52"/>
        <v>26.550369704422842</v>
      </c>
      <c r="J79" s="96">
        <f t="shared" ca="1" si="52"/>
        <v>31.862905039781463</v>
      </c>
      <c r="K79" s="96">
        <f t="shared" ca="1" si="52"/>
        <v>37.176238834191054</v>
      </c>
      <c r="L79" s="96">
        <f t="shared" ca="1" si="52"/>
        <v>42.49036715129558</v>
      </c>
      <c r="M79" s="319"/>
      <c r="N79" s="319"/>
      <c r="O79" s="368"/>
    </row>
    <row r="80" spans="1:31" ht="15" x14ac:dyDescent="0.25">
      <c r="A80" s="259" t="s">
        <v>877</v>
      </c>
    </row>
    <row r="81" spans="1:29" ht="14.25" x14ac:dyDescent="0.2">
      <c r="A81" s="400" t="s">
        <v>878</v>
      </c>
      <c r="F81" s="124">
        <f t="shared" ref="F81:L81" si="53">IF(F55=10,85,150)</f>
        <v>85</v>
      </c>
      <c r="G81" s="124">
        <f t="shared" si="53"/>
        <v>85</v>
      </c>
      <c r="H81" s="124">
        <f t="shared" si="53"/>
        <v>85</v>
      </c>
      <c r="I81" s="124">
        <f t="shared" si="53"/>
        <v>85</v>
      </c>
      <c r="J81" s="124">
        <f t="shared" si="53"/>
        <v>85</v>
      </c>
      <c r="K81" s="124">
        <f t="shared" si="53"/>
        <v>85</v>
      </c>
      <c r="L81" s="124">
        <f t="shared" si="53"/>
        <v>85</v>
      </c>
      <c r="M81" s="124"/>
      <c r="N81" s="124"/>
      <c r="O81" s="447"/>
    </row>
    <row r="82" spans="1:29" x14ac:dyDescent="0.2">
      <c r="A82" s="400" t="s">
        <v>879</v>
      </c>
      <c r="F82" s="257">
        <f>Chem!$E$44*IF(F55=10,1,2)</f>
        <v>120</v>
      </c>
      <c r="G82" s="257">
        <f>Chem!$E$44*IF(G55=10,1,2)</f>
        <v>120</v>
      </c>
      <c r="H82" s="257">
        <f>Chem!$E$44*IF(H55=10,1,2)</f>
        <v>120</v>
      </c>
      <c r="I82" s="257">
        <f>Chem!$E$44*IF(I55=10,1,2)</f>
        <v>120</v>
      </c>
      <c r="J82" s="257">
        <f>Chem!$E$44*IF(J55=10,1,2)</f>
        <v>120</v>
      </c>
      <c r="K82" s="257">
        <f>Chem!$E$44*IF(K55=10,1,2)</f>
        <v>120</v>
      </c>
      <c r="L82" s="257">
        <f>Chem!$E$44*IF(L55=10,1,2)</f>
        <v>120</v>
      </c>
      <c r="M82" s="124"/>
      <c r="N82" s="124"/>
      <c r="O82" s="447"/>
    </row>
    <row r="83" spans="1:29" ht="14.25" x14ac:dyDescent="0.2">
      <c r="A83" s="253" t="s">
        <v>754</v>
      </c>
      <c r="C83" s="2"/>
      <c r="D83" s="6"/>
      <c r="E83" s="2"/>
      <c r="F83" s="95">
        <f ca="1">Chem!$E50-Chem!$E55+1/(38*0.00015*Chem!$E$45*F203*10^-4*F41*F40/F38)+1/(38*0.00015*Chem!$E$46*F203*10^-4*((1-(F151/F82)^2)*(1-F150/F81))^0.5)</f>
        <v>23.761320030760995</v>
      </c>
      <c r="G83" s="95">
        <f ca="1">Chem!$E50-Chem!$E55+1/(38*0.00015*Chem!$E$45*G203*10^-4*G41*G40/G38)+1/(38*0.00015*Chem!$E$46*G203*10^-4*((1-(G151/G82)^2)*(1-G150/G81))^0.5)</f>
        <v>23.586759801427412</v>
      </c>
      <c r="H83" s="95">
        <f ca="1">Chem!$E50-Chem!$E55+1/(38*0.00015*Chem!$E$45*H203*10^-4*H41*H40/H38)+1/(38*0.00015*Chem!$E$46*H203*10^-4*((1-(H151/H82)^2)*(1-H150/H81))^0.5)</f>
        <v>23.560911318879228</v>
      </c>
      <c r="I83" s="95">
        <f ca="1">Chem!$E50-Chem!$E55+1/(38*0.00015*Chem!$E$45*I203*10^-4*I41*I40/I38)+1/(38*0.00015*Chem!$E$46*I203*10^-4*((1-(I151/I82)^2)*(1-I150/I81))^0.5)</f>
        <v>23.548416939645996</v>
      </c>
      <c r="J83" s="95">
        <f ca="1">Chem!$E50-Chem!$E55+1/(38*0.00015*Chem!$E$45*J203*10^-4*J41*J40/J38)+1/(38*0.00015*Chem!$E$46*J203*10^-4*((1-(J151/J82)^2)*(1-J150/J81))^0.5)</f>
        <v>23.541017224472061</v>
      </c>
      <c r="K83" s="95">
        <f ca="1">Chem!$E50-Chem!$E55+1/(38*0.00015*Chem!$E$45*K203*10^-4*K41*K40/K38)+1/(38*0.00015*Chem!$E$46*K203*10^-4*((1-(K151/K82)^2)*(1-K150/K81))^0.5)</f>
        <v>23.536115957745512</v>
      </c>
      <c r="L83" s="95">
        <f ca="1">Chem!$E50-Chem!$E55+1/(38*0.00015*Chem!$E$45*L203*10^-4*L41*L40/L38)+1/(38*0.00015*Chem!$E$46*L203*10^-4*((1-(L151/L82)^2)*(1-L150/L81))^0.5)</f>
        <v>23.532628121520482</v>
      </c>
      <c r="M83" s="95"/>
      <c r="N83" s="95"/>
      <c r="O83" s="417"/>
    </row>
    <row r="84" spans="1:29" x14ac:dyDescent="0.2">
      <c r="A84" s="6" t="s">
        <v>316</v>
      </c>
      <c r="B84" s="6"/>
      <c r="C84" s="6"/>
      <c r="D84" s="6"/>
      <c r="E84" s="6"/>
      <c r="F84" s="173">
        <f t="shared" ref="F84:L84" si="54">IF($C19="Cu",1/(3.8*100000*$D18*0.0001/2)+1/(6*100000*$D19*0.0001/2),2/(3.8*100000*$D18*0.0001/2))</f>
        <v>6.842105263157895E-3</v>
      </c>
      <c r="G84" s="173">
        <f t="shared" si="54"/>
        <v>6.842105263157895E-3</v>
      </c>
      <c r="H84" s="173">
        <f t="shared" si="54"/>
        <v>6.842105263157895E-3</v>
      </c>
      <c r="I84" s="173">
        <f t="shared" si="54"/>
        <v>6.842105263157895E-3</v>
      </c>
      <c r="J84" s="173">
        <f t="shared" si="54"/>
        <v>6.842105263157895E-3</v>
      </c>
      <c r="K84" s="173">
        <f t="shared" si="54"/>
        <v>6.842105263157895E-3</v>
      </c>
      <c r="L84" s="173">
        <f t="shared" si="54"/>
        <v>6.842105263157895E-3</v>
      </c>
      <c r="M84" s="591"/>
      <c r="N84" s="591"/>
      <c r="O84" s="423"/>
    </row>
    <row r="85" spans="1:29" ht="14.25" x14ac:dyDescent="0.2">
      <c r="A85" s="6" t="s">
        <v>318</v>
      </c>
      <c r="B85" s="6"/>
      <c r="C85" s="6"/>
      <c r="D85" s="6"/>
      <c r="E85" s="6"/>
      <c r="F85" s="174">
        <f t="shared" ref="F85:L85" ca="1" si="55">F84*(F113^2/3+F113*F114)/100</f>
        <v>1.0555846177342807</v>
      </c>
      <c r="G85" s="174">
        <f t="shared" ca="1" si="55"/>
        <v>1.4677113900918208</v>
      </c>
      <c r="H85" s="174">
        <f t="shared" ca="1" si="55"/>
        <v>1.9117568959180762</v>
      </c>
      <c r="I85" s="174">
        <f t="shared" ca="1" si="55"/>
        <v>2.3511944053445446</v>
      </c>
      <c r="J85" s="174">
        <f t="shared" ca="1" si="55"/>
        <v>2.7873772478634855</v>
      </c>
      <c r="K85" s="174">
        <f t="shared" ca="1" si="55"/>
        <v>3.2211064120624902</v>
      </c>
      <c r="L85" s="174">
        <f t="shared" ca="1" si="55"/>
        <v>3.6529116043214414</v>
      </c>
      <c r="M85" s="592"/>
      <c r="N85" s="592"/>
      <c r="O85" s="424"/>
    </row>
    <row r="86" spans="1:29" ht="14.25" x14ac:dyDescent="0.2">
      <c r="A86" s="253" t="s">
        <v>707</v>
      </c>
      <c r="B86" s="6"/>
      <c r="C86" s="6"/>
      <c r="D86" s="6"/>
      <c r="E86" s="6"/>
      <c r="F86" s="13">
        <f t="shared" ref="F86:L86" ca="1" si="56">(10/3.8+10/IF($C19="Cu",6,3.8))/F34*F116/F115/100000*F109+F47/100*F43/F149*F109</f>
        <v>0.14541762439597777</v>
      </c>
      <c r="G86" s="13">
        <f t="shared" ca="1" si="56"/>
        <v>0.14927669697622831</v>
      </c>
      <c r="H86" s="13">
        <f t="shared" ca="1" si="56"/>
        <v>0.17399268753099467</v>
      </c>
      <c r="I86" s="13">
        <f t="shared" ca="1" si="56"/>
        <v>0.19651726736774131</v>
      </c>
      <c r="J86" s="13">
        <f t="shared" ca="1" si="56"/>
        <v>0.21749517805220026</v>
      </c>
      <c r="K86" s="13">
        <f t="shared" ca="1" si="56"/>
        <v>0.23730312461519038</v>
      </c>
      <c r="L86" s="13">
        <f t="shared" ca="1" si="56"/>
        <v>0.25618466324653305</v>
      </c>
      <c r="M86" s="593"/>
      <c r="N86" s="593"/>
      <c r="O86" s="416"/>
    </row>
    <row r="87" spans="1:29" x14ac:dyDescent="0.2">
      <c r="A87" s="253" t="s">
        <v>709</v>
      </c>
      <c r="B87" s="6"/>
      <c r="C87" s="6"/>
      <c r="D87" s="6"/>
      <c r="E87" s="6"/>
      <c r="F87" s="295">
        <f t="shared" ref="F87:L87" ca="1" si="57">F127+F165+F166/(F63*F64^2)</f>
        <v>6.1604938298033971E-5</v>
      </c>
      <c r="G87" s="295">
        <f t="shared" ca="1" si="57"/>
        <v>6.4958999038348315E-5</v>
      </c>
      <c r="H87" s="295">
        <f t="shared" ca="1" si="57"/>
        <v>6.8253621234605721E-5</v>
      </c>
      <c r="I87" s="295">
        <f t="shared" ca="1" si="57"/>
        <v>7.0063857127274684E-5</v>
      </c>
      <c r="J87" s="295">
        <f t="shared" ca="1" si="57"/>
        <v>7.121502605102439E-5</v>
      </c>
      <c r="K87" s="295">
        <f t="shared" ca="1" si="57"/>
        <v>7.201332387695171E-5</v>
      </c>
      <c r="L87" s="295">
        <f t="shared" ca="1" si="57"/>
        <v>7.2600040314951494E-5</v>
      </c>
      <c r="M87" s="594"/>
      <c r="N87" s="594"/>
      <c r="O87" s="425"/>
    </row>
    <row r="88" spans="1:29" x14ac:dyDescent="0.2">
      <c r="A88" s="253" t="s">
        <v>708</v>
      </c>
      <c r="B88" s="6"/>
      <c r="C88" s="6"/>
      <c r="D88" s="6"/>
      <c r="E88" s="6"/>
      <c r="F88" s="295">
        <f t="shared" ref="F88:L88" ca="1" si="58">F87/(F59*F60^2)</f>
        <v>2.5668724290847488E-6</v>
      </c>
      <c r="G88" s="295">
        <f t="shared" ca="1" si="58"/>
        <v>2.7066249599311798E-6</v>
      </c>
      <c r="H88" s="295">
        <f t="shared" ca="1" si="58"/>
        <v>2.8439008847752382E-6</v>
      </c>
      <c r="I88" s="295">
        <f t="shared" ca="1" si="58"/>
        <v>2.919327380303112E-6</v>
      </c>
      <c r="J88" s="295">
        <f t="shared" ca="1" si="58"/>
        <v>2.9672927521260164E-6</v>
      </c>
      <c r="K88" s="295">
        <f t="shared" ca="1" si="58"/>
        <v>3.0005551615396544E-6</v>
      </c>
      <c r="L88" s="295">
        <f t="shared" ca="1" si="58"/>
        <v>3.0250016797896457E-6</v>
      </c>
      <c r="M88" s="594"/>
      <c r="N88" s="594"/>
      <c r="O88" s="425"/>
    </row>
    <row r="89" spans="1:29" ht="14.25" x14ac:dyDescent="0.2">
      <c r="A89" s="261" t="s">
        <v>706</v>
      </c>
      <c r="C89" s="5"/>
      <c r="D89" s="6"/>
      <c r="E89" s="38"/>
      <c r="F89" s="64">
        <f t="shared" ref="F89:L89" ca="1" si="59">F85+F86+F88*F109</f>
        <v>1.2181125158384978</v>
      </c>
      <c r="G89" s="64">
        <f t="shared" ca="1" si="59"/>
        <v>1.6390778137759774</v>
      </c>
      <c r="H89" s="64">
        <f t="shared" ca="1" si="59"/>
        <v>2.1166988130618849</v>
      </c>
      <c r="I89" s="64">
        <f t="shared" ca="1" si="59"/>
        <v>2.5874273612651306</v>
      </c>
      <c r="J89" s="64">
        <f t="shared" ca="1" si="59"/>
        <v>3.0533180425308983</v>
      </c>
      <c r="K89" s="64">
        <f t="shared" ca="1" si="59"/>
        <v>3.5155673739462725</v>
      </c>
      <c r="L89" s="64">
        <f t="shared" ca="1" si="59"/>
        <v>3.9749567377531099</v>
      </c>
      <c r="M89" s="160"/>
      <c r="N89" s="160"/>
      <c r="O89" s="415"/>
    </row>
    <row r="90" spans="1:29" ht="14.25" x14ac:dyDescent="0.2">
      <c r="A90" t="s">
        <v>315</v>
      </c>
      <c r="C90" s="5"/>
      <c r="F90" s="19">
        <f t="shared" ref="F90:L90" ca="1" si="60">F83+F89</f>
        <v>24.979432546599494</v>
      </c>
      <c r="G90" s="19">
        <f t="shared" ca="1" si="60"/>
        <v>25.225837615203389</v>
      </c>
      <c r="H90" s="19">
        <f t="shared" ca="1" si="60"/>
        <v>25.677610131941112</v>
      </c>
      <c r="I90" s="19">
        <f t="shared" ca="1" si="60"/>
        <v>26.135844300911128</v>
      </c>
      <c r="J90" s="19">
        <f t="shared" ca="1" si="60"/>
        <v>26.594335267002958</v>
      </c>
      <c r="K90" s="19">
        <f t="shared" ca="1" si="60"/>
        <v>27.051683331691784</v>
      </c>
      <c r="L90" s="19">
        <f t="shared" ca="1" si="60"/>
        <v>27.507584859273592</v>
      </c>
      <c r="M90" s="95"/>
      <c r="N90" s="95"/>
      <c r="O90" s="417"/>
    </row>
    <row r="91" spans="1:29" ht="14.25" x14ac:dyDescent="0.2">
      <c r="A91" t="s">
        <v>36</v>
      </c>
      <c r="C91" s="3"/>
      <c r="F91" s="19">
        <f ca="1">F45+F89+1/(38*0.00015*Chem!$E$45*F203*10^-4*F41*F40/F38)+1/(38*0.00015*Chem!$E$46*F203*10^-4)</f>
        <v>45.846124537108444</v>
      </c>
      <c r="G91" s="19">
        <f ca="1">G45+G89+1/(38*0.00015*Chem!$E$45*G203*10^-4*G41*G40/G38)+1/(38*0.00015*Chem!$E$46*G203*10^-4)</f>
        <v>46.150941493377744</v>
      </c>
      <c r="H91" s="19">
        <f ca="1">H45+H89+1/(38*0.00015*Chem!$E$45*H203*10^-4*H41*H40/H38)+1/(38*0.00015*Chem!$E$46*H203*10^-4)</f>
        <v>46.628562492663654</v>
      </c>
      <c r="I91" s="19">
        <f ca="1">I45+I89+1/(38*0.00015*Chem!$E$45*I203*10^-4*I41*I40/I38)+1/(38*0.00015*Chem!$E$46*I203*10^-4)</f>
        <v>47.099291040866895</v>
      </c>
      <c r="J91" s="19">
        <f ca="1">J45+J89+1/(38*0.00015*Chem!$E$45*J203*10^-4*J41*J40/J38)+1/(38*0.00015*Chem!$E$46*J203*10^-4)</f>
        <v>47.565181722132664</v>
      </c>
      <c r="K91" s="19">
        <f ca="1">K45+K89+1/(38*0.00015*Chem!$E$45*K203*10^-4*K41*K40/K38)+1/(38*0.00015*Chem!$E$46*K203*10^-4)</f>
        <v>48.027431053548042</v>
      </c>
      <c r="L91" s="19">
        <f ca="1">L45+L89+1/(38*0.00015*Chem!$E$45*L203*10^-4*L41*L40/L38)+1/(38*0.00015*Chem!$E$46*L203*10^-4)</f>
        <v>48.486820417354878</v>
      </c>
      <c r="M91" s="95"/>
      <c r="N91" s="95"/>
      <c r="O91" s="417"/>
    </row>
    <row r="92" spans="1:29" ht="15" x14ac:dyDescent="0.25">
      <c r="A92" s="259" t="s">
        <v>481</v>
      </c>
      <c r="F92" s="5"/>
      <c r="G92" s="5"/>
      <c r="H92" s="5"/>
      <c r="I92" s="5"/>
      <c r="J92" s="5"/>
      <c r="K92" s="5"/>
      <c r="L92" s="5"/>
      <c r="M92" s="126"/>
      <c r="N92" s="126"/>
      <c r="O92" s="406"/>
    </row>
    <row r="93" spans="1:29" x14ac:dyDescent="0.2">
      <c r="A93" s="253" t="s">
        <v>704</v>
      </c>
      <c r="F93" s="19">
        <f t="shared" ref="F93:L93" si="61">F38*F41/F40</f>
        <v>0.55640298628207108</v>
      </c>
      <c r="G93" s="19">
        <f t="shared" si="61"/>
        <v>0.55640298628207108</v>
      </c>
      <c r="H93" s="19">
        <f t="shared" si="61"/>
        <v>0.55640298628207108</v>
      </c>
      <c r="I93" s="19">
        <f t="shared" si="61"/>
        <v>0.55640298628207108</v>
      </c>
      <c r="J93" s="19">
        <f t="shared" si="61"/>
        <v>0.55640298628207108</v>
      </c>
      <c r="K93" s="19">
        <f t="shared" si="61"/>
        <v>0.55640298628207108</v>
      </c>
      <c r="L93" s="19">
        <f t="shared" si="61"/>
        <v>0.55640298628207108</v>
      </c>
      <c r="M93" s="95"/>
      <c r="N93" s="95"/>
      <c r="O93" s="415"/>
      <c r="P93" s="263"/>
      <c r="R93" s="5"/>
      <c r="S93" s="5"/>
      <c r="T93" s="5"/>
      <c r="U93" s="5"/>
      <c r="V93" s="64"/>
      <c r="W93" s="64"/>
      <c r="X93" s="5"/>
      <c r="Y93" s="5"/>
      <c r="AB93" s="5"/>
      <c r="AC93" s="5"/>
    </row>
    <row r="94" spans="1:29" x14ac:dyDescent="0.2">
      <c r="A94" s="400" t="s">
        <v>908</v>
      </c>
      <c r="F94" s="19">
        <f t="shared" ref="F94:L94" si="62">IF(F209=0,1,IF(F53="EV",2/3*180/F193,1))</f>
        <v>1</v>
      </c>
      <c r="G94" s="19">
        <f t="shared" si="62"/>
        <v>1</v>
      </c>
      <c r="H94" s="19">
        <f t="shared" si="62"/>
        <v>1</v>
      </c>
      <c r="I94" s="19">
        <f t="shared" si="62"/>
        <v>1</v>
      </c>
      <c r="J94" s="19">
        <f t="shared" si="62"/>
        <v>1</v>
      </c>
      <c r="K94" s="19">
        <f t="shared" si="62"/>
        <v>1</v>
      </c>
      <c r="L94" s="19">
        <f t="shared" si="62"/>
        <v>1</v>
      </c>
      <c r="M94" s="95"/>
      <c r="N94" s="95"/>
      <c r="O94" s="415"/>
      <c r="R94" s="64"/>
      <c r="S94" s="64"/>
      <c r="T94" s="64"/>
      <c r="U94" s="64"/>
      <c r="V94" s="64"/>
      <c r="W94" s="64"/>
      <c r="X94" s="5"/>
      <c r="Y94" s="64"/>
      <c r="AB94" s="5"/>
      <c r="AC94" s="5"/>
    </row>
    <row r="95" spans="1:29" x14ac:dyDescent="0.2">
      <c r="A95" s="194" t="s">
        <v>901</v>
      </c>
      <c r="F95" s="64"/>
      <c r="G95" s="64"/>
      <c r="H95" s="64"/>
      <c r="I95" s="64"/>
      <c r="J95" s="64"/>
      <c r="K95" s="64"/>
      <c r="L95" s="64"/>
      <c r="M95" s="160"/>
      <c r="N95" s="160"/>
      <c r="O95" s="418"/>
      <c r="R95" s="5"/>
      <c r="S95" s="5"/>
      <c r="T95" s="5"/>
      <c r="U95" s="5"/>
      <c r="V95" s="5"/>
      <c r="W95" s="5"/>
      <c r="X95" s="5"/>
      <c r="Y95" s="5"/>
      <c r="AB95" s="263"/>
      <c r="AC95" s="5"/>
    </row>
    <row r="96" spans="1:29" x14ac:dyDescent="0.2">
      <c r="A96" s="400" t="s">
        <v>895</v>
      </c>
      <c r="F96" s="5">
        <f>SQRT(Chem!$E47*Chem!$E48*($C$9/100)^1.5/F94/(F38*1000))*10000</f>
        <v>87.559986255737869</v>
      </c>
      <c r="G96" s="5">
        <f>SQRT(Chem!$E47*Chem!$E48*($C$9/100)^1.5/G94/(G38*1000))*10000</f>
        <v>87.559986255737869</v>
      </c>
      <c r="H96" s="5">
        <f>SQRT(Chem!$E47*Chem!$E48*($C$9/100)^1.5/H94/(H38*1000))*10000</f>
        <v>87.559986255737869</v>
      </c>
      <c r="I96" s="5">
        <f>SQRT(Chem!$E47*Chem!$E48*($C$9/100)^1.5/I94/(I38*1000))*10000</f>
        <v>87.559986255737869</v>
      </c>
      <c r="J96" s="5">
        <f>SQRT(Chem!$E47*Chem!$E48*($C$9/100)^1.5/J94/(J38*1000))*10000</f>
        <v>87.559986255737869</v>
      </c>
      <c r="K96" s="5">
        <f>SQRT(Chem!$E47*Chem!$E48*($C$9/100)^1.5/K94/(K38*1000))*10000</f>
        <v>87.559986255737869</v>
      </c>
      <c r="L96" s="5">
        <f>SQRT(Chem!$E47*Chem!$E48*($C$9/100)^1.5/L94/(L38*1000))*10000</f>
        <v>87.559986255737869</v>
      </c>
      <c r="M96" s="126"/>
      <c r="N96" s="126"/>
      <c r="O96" s="418"/>
      <c r="Z96" s="5"/>
    </row>
    <row r="97" spans="1:34" x14ac:dyDescent="0.2">
      <c r="A97" s="400" t="s">
        <v>896</v>
      </c>
      <c r="B97" s="72"/>
      <c r="C97" s="72"/>
      <c r="F97" s="5">
        <f t="shared" ref="F97:L97" si="63">F96*F93</f>
        <v>48.718637831509646</v>
      </c>
      <c r="G97" s="5">
        <f t="shared" si="63"/>
        <v>48.718637831509646</v>
      </c>
      <c r="H97" s="5">
        <f t="shared" si="63"/>
        <v>48.718637831509646</v>
      </c>
      <c r="I97" s="5">
        <f t="shared" si="63"/>
        <v>48.718637831509646</v>
      </c>
      <c r="J97" s="5">
        <f t="shared" si="63"/>
        <v>48.718637831509646</v>
      </c>
      <c r="K97" s="5">
        <f t="shared" si="63"/>
        <v>48.718637831509646</v>
      </c>
      <c r="L97" s="5">
        <f t="shared" si="63"/>
        <v>48.718637831509646</v>
      </c>
      <c r="M97" s="126"/>
      <c r="N97" s="126"/>
      <c r="O97" s="418"/>
      <c r="P97" s="263"/>
      <c r="R97" s="5"/>
      <c r="S97" s="5"/>
      <c r="T97" s="5"/>
    </row>
    <row r="98" spans="1:34" x14ac:dyDescent="0.2">
      <c r="A98" s="194" t="s">
        <v>872</v>
      </c>
      <c r="F98" s="5"/>
      <c r="G98" s="5"/>
      <c r="H98" s="5"/>
      <c r="I98" s="5"/>
      <c r="J98" s="5"/>
      <c r="K98" s="5"/>
      <c r="L98" s="5"/>
      <c r="M98" s="126"/>
      <c r="N98" s="126"/>
      <c r="O98" s="418"/>
      <c r="P98" s="372"/>
    </row>
    <row r="99" spans="1:34" x14ac:dyDescent="0.2">
      <c r="A99" s="400" t="s">
        <v>869</v>
      </c>
      <c r="F99" s="96">
        <f t="shared" ref="F99:L99" ca="1" si="64">F79/F38/F107*10000</f>
        <v>71.366112801647603</v>
      </c>
      <c r="G99" s="96">
        <f t="shared" ca="1" si="64"/>
        <v>106.15788221998491</v>
      </c>
      <c r="H99" s="96">
        <f t="shared" ca="1" si="64"/>
        <v>139.06452845644287</v>
      </c>
      <c r="I99" s="96">
        <f t="shared" ca="1" si="64"/>
        <v>170.79625467009549</v>
      </c>
      <c r="J99" s="96">
        <f t="shared" ca="1" si="64"/>
        <v>201.43759799545066</v>
      </c>
      <c r="K99" s="96">
        <f t="shared" ca="1" si="64"/>
        <v>231.05504680449982</v>
      </c>
      <c r="L99" s="96">
        <f t="shared" ca="1" si="64"/>
        <v>259.70620538251814</v>
      </c>
      <c r="M99" s="319"/>
      <c r="N99" s="319"/>
      <c r="O99" s="418"/>
    </row>
    <row r="100" spans="1:34" x14ac:dyDescent="0.2">
      <c r="A100" s="400" t="s">
        <v>870</v>
      </c>
      <c r="F100" s="96">
        <f t="shared" ref="F100:L100" ca="1" si="65">F99*F93</f>
        <v>39.708318282179867</v>
      </c>
      <c r="G100" s="96">
        <f t="shared" ca="1" si="65"/>
        <v>59.066562684579985</v>
      </c>
      <c r="H100" s="96">
        <f t="shared" ca="1" si="65"/>
        <v>77.375918919072873</v>
      </c>
      <c r="I100" s="96">
        <f t="shared" ca="1" si="65"/>
        <v>95.031546144234255</v>
      </c>
      <c r="J100" s="96">
        <f t="shared" ca="1" si="65"/>
        <v>112.08048107415608</v>
      </c>
      <c r="K100" s="96">
        <f t="shared" ca="1" si="65"/>
        <v>128.55971803756739</v>
      </c>
      <c r="L100" s="96">
        <f t="shared" ca="1" si="65"/>
        <v>144.50130823081798</v>
      </c>
      <c r="M100" s="319"/>
      <c r="N100" s="319"/>
    </row>
    <row r="101" spans="1:34" x14ac:dyDescent="0.2">
      <c r="A101" s="400" t="s">
        <v>881</v>
      </c>
      <c r="F101" s="3">
        <f ca="1">'Summary of Results'!F16</f>
        <v>60.000000000000007</v>
      </c>
      <c r="G101" s="3">
        <f ca="1">'Summary of Results'!G16</f>
        <v>72.744106133087698</v>
      </c>
      <c r="H101" s="3">
        <f ca="1">'Summary of Results'!H16</f>
        <v>95.293204855200543</v>
      </c>
      <c r="I101" s="3">
        <f ca="1">'Summary of Results'!I16</f>
        <v>117.03719608035212</v>
      </c>
      <c r="J101" s="3">
        <f ca="1">'Summary of Results'!J16</f>
        <v>138.03400841597346</v>
      </c>
      <c r="K101" s="3">
        <f ca="1">'Summary of Results'!K16</f>
        <v>158.32920265404357</v>
      </c>
      <c r="L101" s="3">
        <f ca="1">'Summary of Results'!L16</f>
        <v>177.96225181488037</v>
      </c>
      <c r="M101" s="128"/>
      <c r="N101" s="128"/>
      <c r="P101" s="372"/>
      <c r="Q101" s="446"/>
      <c r="Z101" s="396"/>
      <c r="AA101" s="396"/>
      <c r="AD101" s="396"/>
      <c r="AG101" s="396"/>
      <c r="AH101" s="396"/>
    </row>
    <row r="102" spans="1:34" x14ac:dyDescent="0.2">
      <c r="A102" s="72" t="s">
        <v>871</v>
      </c>
      <c r="B102" s="6"/>
      <c r="C102" s="6"/>
      <c r="D102" s="6"/>
      <c r="Q102" s="368"/>
      <c r="R102" s="396"/>
      <c r="S102" s="396"/>
      <c r="T102" s="396"/>
      <c r="U102" s="396"/>
      <c r="V102" s="396"/>
      <c r="W102" s="396"/>
      <c r="X102" s="396"/>
      <c r="Y102" s="396"/>
      <c r="AB102" s="396"/>
      <c r="AC102" s="396"/>
    </row>
    <row r="103" spans="1:34" x14ac:dyDescent="0.2">
      <c r="A103" s="400" t="s">
        <v>902</v>
      </c>
      <c r="B103" s="6"/>
      <c r="C103" s="6"/>
      <c r="D103" s="6"/>
      <c r="F103" s="273"/>
      <c r="G103" s="273"/>
      <c r="H103" s="273"/>
      <c r="I103" s="273"/>
      <c r="J103" s="273"/>
      <c r="K103" s="273"/>
      <c r="L103" s="273"/>
      <c r="M103" s="124"/>
      <c r="N103" s="124"/>
      <c r="P103" s="124"/>
      <c r="Q103" s="273"/>
      <c r="R103" s="273"/>
      <c r="S103" s="273"/>
      <c r="T103" s="273"/>
      <c r="U103" s="273"/>
      <c r="V103" s="273"/>
      <c r="W103" s="273"/>
      <c r="X103" s="396"/>
      <c r="Y103" s="273"/>
      <c r="Z103" s="273"/>
      <c r="AA103" s="273">
        <v>70</v>
      </c>
      <c r="AB103" s="273"/>
      <c r="AC103" s="273"/>
      <c r="AD103" s="273"/>
      <c r="AE103" s="273"/>
    </row>
    <row r="104" spans="1:34" x14ac:dyDescent="0.2">
      <c r="A104" s="400" t="s">
        <v>873</v>
      </c>
      <c r="B104" s="6"/>
      <c r="C104" s="6"/>
      <c r="D104" s="6"/>
      <c r="F104" s="177">
        <f t="shared" ref="F104:L104" ca="1" si="66">MIN(F96,F99,F103)</f>
        <v>71.366112801647603</v>
      </c>
      <c r="G104" s="177">
        <f t="shared" ca="1" si="66"/>
        <v>87.559986255737869</v>
      </c>
      <c r="H104" s="177">
        <f t="shared" ca="1" si="66"/>
        <v>87.559986255737869</v>
      </c>
      <c r="I104" s="177">
        <f t="shared" ca="1" si="66"/>
        <v>87.559986255737869</v>
      </c>
      <c r="J104" s="177">
        <f t="shared" ca="1" si="66"/>
        <v>87.559986255737869</v>
      </c>
      <c r="K104" s="177">
        <f t="shared" ca="1" si="66"/>
        <v>87.559986255737869</v>
      </c>
      <c r="L104" s="177">
        <f t="shared" ca="1" si="66"/>
        <v>87.559986255737869</v>
      </c>
      <c r="M104" s="595"/>
      <c r="N104" s="595"/>
      <c r="O104" s="113"/>
      <c r="Q104" s="113"/>
      <c r="R104" s="113"/>
      <c r="S104" s="113"/>
      <c r="T104" s="113"/>
      <c r="U104" s="113"/>
      <c r="V104" s="113"/>
      <c r="W104" s="113"/>
      <c r="X104" s="113"/>
      <c r="Y104" s="113"/>
      <c r="AB104" s="113"/>
      <c r="AC104" s="113"/>
    </row>
    <row r="105" spans="1:34" x14ac:dyDescent="0.2">
      <c r="A105" s="400" t="s">
        <v>874</v>
      </c>
      <c r="F105" s="177">
        <f t="shared" ref="F105:L105" ca="1" si="67">F104*F93</f>
        <v>39.708318282179867</v>
      </c>
      <c r="G105" s="177">
        <f t="shared" ca="1" si="67"/>
        <v>48.718637831509646</v>
      </c>
      <c r="H105" s="177">
        <f t="shared" ca="1" si="67"/>
        <v>48.718637831509646</v>
      </c>
      <c r="I105" s="177">
        <f t="shared" ca="1" si="67"/>
        <v>48.718637831509646</v>
      </c>
      <c r="J105" s="177">
        <f t="shared" ca="1" si="67"/>
        <v>48.718637831509646</v>
      </c>
      <c r="K105" s="177">
        <f t="shared" ca="1" si="67"/>
        <v>48.718637831509646</v>
      </c>
      <c r="L105" s="177">
        <f t="shared" ca="1" si="67"/>
        <v>48.718637831509646</v>
      </c>
      <c r="M105" s="595"/>
      <c r="N105" s="595"/>
      <c r="O105" s="406"/>
    </row>
    <row r="106" spans="1:34" ht="17.25" x14ac:dyDescent="0.25">
      <c r="A106" s="259" t="s">
        <v>760</v>
      </c>
      <c r="F106" s="257"/>
      <c r="G106" s="257"/>
      <c r="H106" s="257"/>
      <c r="I106" s="257"/>
      <c r="J106" s="257"/>
      <c r="K106" s="257"/>
      <c r="L106" s="257"/>
      <c r="M106" s="124"/>
      <c r="N106" s="124"/>
      <c r="R106" s="396"/>
      <c r="S106" s="396"/>
      <c r="T106" s="396"/>
      <c r="U106" s="396"/>
      <c r="V106" s="396"/>
      <c r="W106" s="396"/>
      <c r="X106" s="396"/>
      <c r="Y106" s="396"/>
      <c r="AB106" s="396"/>
      <c r="AC106" s="396"/>
    </row>
    <row r="107" spans="1:34" x14ac:dyDescent="0.2">
      <c r="A107" s="400" t="s">
        <v>876</v>
      </c>
      <c r="F107" s="117">
        <f ca="1">IF(F209=0,(Chem!$E50)*F56/F60/F64*1000/F146/F49*100/(100-F49)*100/F43,F90*F56/F60/F64*1000/F146/F49*100/(100-F49)*100/F43)</f>
        <v>6665.8060269634407</v>
      </c>
      <c r="G107" s="117">
        <f ca="1">IF(G209=0,(Chem!$E50)*G56/G60/G64*1000/G146/G49*100/(100-G49)*100/G43,G90*G56/G60/G64*1000/G146/G49*100/(100-G49)*100/G43)</f>
        <v>6731.5596580081055</v>
      </c>
      <c r="H107" s="117">
        <f ca="1">IF(H209=0,(Chem!$E50)*H56/H60/H64*1000/H146/H49*100/(100-H49)*100/H43,H90*H56/H60/H64*1000/H146/H49*100/(100-H49)*100/H43)</f>
        <v>6852.115958046903</v>
      </c>
      <c r="I107" s="117">
        <f ca="1">IF(I209=0,(Chem!$E50)*I56/I60/I64*1000/I146/I49*100/(100-I49)*100/I43,I90*I56/I60/I64*1000/I146/I49*100/(100-I49)*100/I43)</f>
        <v>6974.3965614826566</v>
      </c>
      <c r="J107" s="117">
        <f ca="1">IF(J209=0,(Chem!$E50)*J56/J60/J64*1000/J146/J49*100/(100-J49)*100/J43,J90*J56/J60/J64*1000/J146/J49*100/(100-J49)*100/J43)</f>
        <v>7096.745691687348</v>
      </c>
      <c r="K107" s="117">
        <f ca="1">IF(K209=0,(Chem!$E50)*K56/K60/K64*1000/K146/K49*100/(100-K49)*100/K43,K90*K56/K60/K64*1000/K146/K49*100/(100-K49)*100/K43)</f>
        <v>7218.7898366188092</v>
      </c>
      <c r="L107" s="117">
        <f ca="1">IF(L209=0,(Chem!$E50)*L56/L60/L64*1000/L146/L49*100/(100-L49)*100/L43,L90*L56/L60/L64*1000/L146/L49*100/(100-L49)*100/L43)</f>
        <v>7340.4479705490912</v>
      </c>
      <c r="M107" s="472"/>
      <c r="N107" s="472"/>
      <c r="O107" s="447"/>
      <c r="R107" s="396"/>
      <c r="S107" s="396"/>
      <c r="T107" s="396"/>
      <c r="U107" s="396"/>
      <c r="V107" s="396"/>
      <c r="W107" s="396"/>
      <c r="X107" s="396"/>
      <c r="Y107" s="396"/>
      <c r="AB107" s="396"/>
      <c r="AC107" s="396"/>
    </row>
    <row r="108" spans="1:34" x14ac:dyDescent="0.2">
      <c r="A108" s="400" t="s">
        <v>875</v>
      </c>
      <c r="C108" s="3"/>
      <c r="F108" s="117">
        <f t="shared" ref="F108:L108" ca="1" si="68">F107*F99/F96</f>
        <v>5432.9915430177625</v>
      </c>
      <c r="G108" s="117">
        <f t="shared" ca="1" si="68"/>
        <v>8161.3548367225512</v>
      </c>
      <c r="H108" s="117">
        <f t="shared" ca="1" si="68"/>
        <v>10882.668161362537</v>
      </c>
      <c r="I108" s="117">
        <f t="shared" ca="1" si="68"/>
        <v>13604.396965139655</v>
      </c>
      <c r="J108" s="117">
        <f t="shared" ca="1" si="68"/>
        <v>16326.537575539911</v>
      </c>
      <c r="K108" s="117">
        <f t="shared" ca="1" si="68"/>
        <v>19049.087315982822</v>
      </c>
      <c r="L108" s="117">
        <f t="shared" ca="1" si="68"/>
        <v>21772.044169481418</v>
      </c>
      <c r="M108" s="472"/>
      <c r="N108" s="472"/>
      <c r="O108" s="447"/>
    </row>
    <row r="109" spans="1:34" x14ac:dyDescent="0.2">
      <c r="A109" s="400" t="s">
        <v>903</v>
      </c>
      <c r="C109" s="3"/>
      <c r="F109" s="117">
        <f t="shared" ref="F109:L109" ca="1" si="69">F107*F99/F104</f>
        <v>6665.8060269634407</v>
      </c>
      <c r="G109" s="117">
        <f t="shared" ca="1" si="69"/>
        <v>8161.3548367225512</v>
      </c>
      <c r="H109" s="117">
        <f t="shared" ca="1" si="69"/>
        <v>10882.668161362537</v>
      </c>
      <c r="I109" s="117">
        <f t="shared" ca="1" si="69"/>
        <v>13604.396965139655</v>
      </c>
      <c r="J109" s="117">
        <f t="shared" ca="1" si="69"/>
        <v>16326.537575539911</v>
      </c>
      <c r="K109" s="117">
        <f t="shared" ca="1" si="69"/>
        <v>19049.087315982822</v>
      </c>
      <c r="L109" s="117">
        <f t="shared" ca="1" si="69"/>
        <v>21772.044169481418</v>
      </c>
      <c r="M109" s="472"/>
      <c r="N109" s="472"/>
      <c r="O109" s="447"/>
    </row>
    <row r="110" spans="1:34" ht="15" x14ac:dyDescent="0.25">
      <c r="A110" s="259" t="s">
        <v>251</v>
      </c>
      <c r="E110" s="33"/>
      <c r="F110" s="224"/>
      <c r="G110" s="224"/>
      <c r="H110" s="224"/>
      <c r="I110" s="224"/>
      <c r="J110" s="224"/>
      <c r="K110" s="224"/>
      <c r="L110" s="224"/>
      <c r="M110" s="596"/>
      <c r="N110" s="596"/>
      <c r="O110" s="416"/>
    </row>
    <row r="111" spans="1:34" x14ac:dyDescent="0.2">
      <c r="A111" s="47" t="s">
        <v>319</v>
      </c>
      <c r="C111" s="3"/>
      <c r="F111" s="29">
        <f t="shared" ref="F111:L111" ca="1" si="70">(F32*1000-2*F25-$D19)/($D18+$D19+2*($D20+F104+F105))*0.97</f>
        <v>27.000040012356518</v>
      </c>
      <c r="G111" s="29">
        <f t="shared" ca="1" si="70"/>
        <v>22.999951120628133</v>
      </c>
      <c r="H111" s="29">
        <f t="shared" ca="1" si="70"/>
        <v>22.999929142034055</v>
      </c>
      <c r="I111" s="29">
        <f t="shared" ca="1" si="70"/>
        <v>22.999929142034055</v>
      </c>
      <c r="J111" s="29">
        <f t="shared" ca="1" si="70"/>
        <v>22.999929142034055</v>
      </c>
      <c r="K111" s="29">
        <f t="shared" ca="1" si="70"/>
        <v>22.999946612023557</v>
      </c>
      <c r="L111" s="29">
        <f t="shared" ca="1" si="70"/>
        <v>22.999929142034055</v>
      </c>
      <c r="M111" s="144"/>
      <c r="N111" s="144"/>
      <c r="O111" s="426"/>
    </row>
    <row r="112" spans="1:34" x14ac:dyDescent="0.2">
      <c r="A112" s="47" t="s">
        <v>254</v>
      </c>
      <c r="C112" s="3"/>
      <c r="F112" s="165">
        <f t="shared" ref="F112:L112" ca="1" si="71">(F109/F111/2/F29)^0.5*10</f>
        <v>64.145841491509671</v>
      </c>
      <c r="G112" s="165">
        <f t="shared" ca="1" si="71"/>
        <v>76.902781565144622</v>
      </c>
      <c r="H112" s="165">
        <f t="shared" ca="1" si="71"/>
        <v>88.803241587036652</v>
      </c>
      <c r="I112" s="165">
        <f t="shared" ca="1" si="71"/>
        <v>99.288917013037704</v>
      </c>
      <c r="J112" s="165">
        <f t="shared" ca="1" si="71"/>
        <v>108.76976040423185</v>
      </c>
      <c r="K112" s="165">
        <f t="shared" ca="1" si="71"/>
        <v>117.48922717540717</v>
      </c>
      <c r="L112" s="165">
        <f t="shared" ca="1" si="71"/>
        <v>125.60609939897529</v>
      </c>
      <c r="M112" s="597"/>
      <c r="N112" s="597"/>
      <c r="O112" s="426"/>
    </row>
    <row r="113" spans="1:23" x14ac:dyDescent="0.2">
      <c r="A113" s="47" t="s">
        <v>255</v>
      </c>
      <c r="C113" s="3"/>
      <c r="F113" s="165">
        <f t="shared" ref="F113:L113" ca="1" si="72">F112*F29</f>
        <v>192.43752447452903</v>
      </c>
      <c r="G113" s="165">
        <f t="shared" ca="1" si="72"/>
        <v>230.70834469543388</v>
      </c>
      <c r="H113" s="165">
        <f t="shared" ca="1" si="72"/>
        <v>266.40972476110994</v>
      </c>
      <c r="I113" s="165">
        <f t="shared" ca="1" si="72"/>
        <v>297.86675103911313</v>
      </c>
      <c r="J113" s="165">
        <f t="shared" ca="1" si="72"/>
        <v>326.30928121269551</v>
      </c>
      <c r="K113" s="165">
        <f t="shared" ca="1" si="72"/>
        <v>352.4676815262215</v>
      </c>
      <c r="L113" s="165">
        <f t="shared" ca="1" si="72"/>
        <v>376.81829819692587</v>
      </c>
      <c r="M113" s="597"/>
      <c r="N113" s="597"/>
      <c r="O113" s="426"/>
    </row>
    <row r="114" spans="1:23" x14ac:dyDescent="0.2">
      <c r="A114" s="47" t="s">
        <v>317</v>
      </c>
      <c r="C114" s="3"/>
      <c r="F114" s="165">
        <f t="shared" ref="F114:L114" ca="1" si="73">F32+8</f>
        <v>16.024464296810066</v>
      </c>
      <c r="G114" s="165">
        <f t="shared" ca="1" si="73"/>
        <v>16.076804842495719</v>
      </c>
      <c r="H114" s="165">
        <f t="shared" ca="1" si="73"/>
        <v>16.076797420590772</v>
      </c>
      <c r="I114" s="165">
        <f t="shared" ca="1" si="73"/>
        <v>16.076797420590772</v>
      </c>
      <c r="J114" s="165">
        <f t="shared" ca="1" si="73"/>
        <v>16.076797420590772</v>
      </c>
      <c r="K114" s="165">
        <f t="shared" ca="1" si="73"/>
        <v>16.076803319994575</v>
      </c>
      <c r="L114" s="165">
        <f t="shared" ca="1" si="73"/>
        <v>16.076797420590772</v>
      </c>
      <c r="M114" s="597"/>
      <c r="N114" s="597"/>
      <c r="O114" s="426"/>
    </row>
    <row r="115" spans="1:23" x14ac:dyDescent="0.2">
      <c r="A115" s="47" t="s">
        <v>263</v>
      </c>
      <c r="C115" s="3"/>
      <c r="F115" s="165">
        <f t="shared" ref="F115:L115" ca="1" si="74">F112-8</f>
        <v>56.145841491509671</v>
      </c>
      <c r="G115" s="165">
        <f t="shared" ca="1" si="74"/>
        <v>68.902781565144622</v>
      </c>
      <c r="H115" s="165">
        <f t="shared" ca="1" si="74"/>
        <v>80.803241587036652</v>
      </c>
      <c r="I115" s="165">
        <f t="shared" ca="1" si="74"/>
        <v>91.288917013037704</v>
      </c>
      <c r="J115" s="165">
        <f t="shared" ca="1" si="74"/>
        <v>100.76976040423185</v>
      </c>
      <c r="K115" s="165">
        <f t="shared" ca="1" si="74"/>
        <v>109.48922717540717</v>
      </c>
      <c r="L115" s="165">
        <f t="shared" ca="1" si="74"/>
        <v>117.60609939897529</v>
      </c>
      <c r="M115" s="597"/>
      <c r="N115" s="597"/>
      <c r="O115" s="426"/>
    </row>
    <row r="116" spans="1:23" x14ac:dyDescent="0.2">
      <c r="A116" s="47" t="s">
        <v>312</v>
      </c>
      <c r="C116" s="3"/>
      <c r="F116" s="165">
        <f t="shared" ref="F116:L116" ca="1" si="75">2*F32+10</f>
        <v>26.048928593620136</v>
      </c>
      <c r="G116" s="165">
        <f t="shared" ca="1" si="75"/>
        <v>26.153609684991434</v>
      </c>
      <c r="H116" s="165">
        <f t="shared" ca="1" si="75"/>
        <v>26.153594841181548</v>
      </c>
      <c r="I116" s="165">
        <f t="shared" ca="1" si="75"/>
        <v>26.153594841181548</v>
      </c>
      <c r="J116" s="165">
        <f t="shared" ca="1" si="75"/>
        <v>26.153594841181548</v>
      </c>
      <c r="K116" s="165">
        <f t="shared" ca="1" si="75"/>
        <v>26.15360663998915</v>
      </c>
      <c r="L116" s="165">
        <f t="shared" ca="1" si="75"/>
        <v>26.153594841181548</v>
      </c>
      <c r="M116" s="597"/>
      <c r="N116" s="597"/>
      <c r="O116" s="426"/>
    </row>
    <row r="117" spans="1:23" x14ac:dyDescent="0.2">
      <c r="A117" s="47" t="s">
        <v>252</v>
      </c>
      <c r="C117" s="3"/>
      <c r="F117" s="165">
        <f t="shared" ref="F117:L117" ca="1" si="76">F112+2*F33</f>
        <v>66.145841491509671</v>
      </c>
      <c r="G117" s="165">
        <f t="shared" ca="1" si="76"/>
        <v>78.902781565144622</v>
      </c>
      <c r="H117" s="165">
        <f t="shared" ca="1" si="76"/>
        <v>90.803241587036652</v>
      </c>
      <c r="I117" s="165">
        <f t="shared" ca="1" si="76"/>
        <v>101.2889170130377</v>
      </c>
      <c r="J117" s="165">
        <f t="shared" ca="1" si="76"/>
        <v>110.76976040423185</v>
      </c>
      <c r="K117" s="165">
        <f t="shared" ca="1" si="76"/>
        <v>119.48922717540717</v>
      </c>
      <c r="L117" s="165">
        <f t="shared" ca="1" si="76"/>
        <v>127.60609939897529</v>
      </c>
      <c r="M117" s="597"/>
      <c r="N117" s="597"/>
      <c r="O117" s="426"/>
    </row>
    <row r="118" spans="1:23" x14ac:dyDescent="0.2">
      <c r="A118" s="47" t="s">
        <v>253</v>
      </c>
      <c r="C118" s="3"/>
      <c r="F118" s="165">
        <f t="shared" ref="F118:L118" ca="1" si="77">F113+2*F35</f>
        <v>222.43752447452903</v>
      </c>
      <c r="G118" s="165">
        <f t="shared" ca="1" si="77"/>
        <v>260.70834469543388</v>
      </c>
      <c r="H118" s="165">
        <f t="shared" ca="1" si="77"/>
        <v>296.40972476110994</v>
      </c>
      <c r="I118" s="165">
        <f t="shared" ca="1" si="77"/>
        <v>327.86675103911313</v>
      </c>
      <c r="J118" s="165">
        <f t="shared" ca="1" si="77"/>
        <v>356.30928121269551</v>
      </c>
      <c r="K118" s="165">
        <f t="shared" ca="1" si="77"/>
        <v>382.4676815262215</v>
      </c>
      <c r="L118" s="165">
        <f t="shared" ca="1" si="77"/>
        <v>406.81829819692587</v>
      </c>
      <c r="M118" s="597"/>
      <c r="N118" s="597"/>
      <c r="O118" s="426"/>
    </row>
    <row r="119" spans="1:23" ht="14.25" x14ac:dyDescent="0.2">
      <c r="A119" s="47" t="s">
        <v>259</v>
      </c>
      <c r="B119" s="4"/>
      <c r="C119" s="130"/>
      <c r="D119" s="4"/>
      <c r="F119" s="165">
        <f t="shared" ref="F119:L119" ca="1" si="78">F32*F117*F118/1000</f>
        <v>118.06648884516179</v>
      </c>
      <c r="G119" s="165">
        <f t="shared" ca="1" si="78"/>
        <v>166.14483132528338</v>
      </c>
      <c r="H119" s="165">
        <f t="shared" ca="1" si="78"/>
        <v>217.38671056852525</v>
      </c>
      <c r="I119" s="165">
        <f t="shared" ca="1" si="78"/>
        <v>268.22453123133488</v>
      </c>
      <c r="J119" s="165">
        <f t="shared" ca="1" si="78"/>
        <v>318.77741282990144</v>
      </c>
      <c r="K119" s="165">
        <f t="shared" ca="1" si="78"/>
        <v>369.11611216562306</v>
      </c>
      <c r="L119" s="165">
        <f t="shared" ca="1" si="78"/>
        <v>419.28671538067209</v>
      </c>
      <c r="M119" s="597"/>
      <c r="N119" s="597"/>
      <c r="O119" s="427"/>
    </row>
    <row r="120" spans="1:23" ht="15.75" x14ac:dyDescent="0.25">
      <c r="A120" s="17" t="s">
        <v>326</v>
      </c>
      <c r="B120" s="253"/>
      <c r="C120" s="260"/>
      <c r="D120" s="253"/>
      <c r="E120" s="253"/>
      <c r="F120" s="130"/>
      <c r="G120" s="130"/>
      <c r="H120" s="130"/>
      <c r="I120" s="130"/>
      <c r="J120" s="130"/>
      <c r="K120" s="130"/>
      <c r="L120" s="130"/>
      <c r="M120" s="598"/>
      <c r="N120" s="598"/>
      <c r="O120" s="368"/>
    </row>
    <row r="121" spans="1:23" s="253" customFormat="1" x14ac:dyDescent="0.2">
      <c r="A121" s="253" t="s">
        <v>685</v>
      </c>
      <c r="B121"/>
      <c r="C121"/>
      <c r="D121"/>
      <c r="E121"/>
      <c r="F121" s="256">
        <f t="shared" ref="F121:L121" ca="1" si="79">F78</f>
        <v>10.603037711833156</v>
      </c>
      <c r="G121" s="256">
        <f t="shared" ca="1" si="79"/>
        <v>15.927717249004788</v>
      </c>
      <c r="H121" s="256">
        <f t="shared" ca="1" si="79"/>
        <v>21.238638051735272</v>
      </c>
      <c r="I121" s="256">
        <f t="shared" ca="1" si="79"/>
        <v>26.550369704422842</v>
      </c>
      <c r="J121" s="256">
        <f t="shared" ca="1" si="79"/>
        <v>31.862905039781463</v>
      </c>
      <c r="K121" s="256">
        <f t="shared" ca="1" si="79"/>
        <v>37.176238834191054</v>
      </c>
      <c r="L121" s="256">
        <f t="shared" ca="1" si="79"/>
        <v>42.49036715129558</v>
      </c>
      <c r="M121" s="265"/>
      <c r="N121" s="265"/>
      <c r="O121" s="368"/>
      <c r="S121" s="400"/>
      <c r="T121" s="400"/>
      <c r="W121" s="400"/>
    </row>
    <row r="122" spans="1:23" x14ac:dyDescent="0.2">
      <c r="A122" s="253" t="s">
        <v>784</v>
      </c>
      <c r="C122" s="3"/>
      <c r="F122" s="96">
        <f t="shared" ref="F122:L122" si="80">IF(F60=1,0,F60*F32*F34/2*F115*1.5/1000*8.92)</f>
        <v>0</v>
      </c>
      <c r="G122" s="96">
        <f t="shared" si="80"/>
        <v>0</v>
      </c>
      <c r="H122" s="96">
        <f t="shared" si="80"/>
        <v>0</v>
      </c>
      <c r="I122" s="96">
        <f t="shared" si="80"/>
        <v>0</v>
      </c>
      <c r="J122" s="96">
        <f t="shared" si="80"/>
        <v>0</v>
      </c>
      <c r="K122" s="96">
        <f t="shared" si="80"/>
        <v>0</v>
      </c>
      <c r="L122" s="96">
        <f t="shared" si="80"/>
        <v>0</v>
      </c>
      <c r="M122" s="319"/>
      <c r="N122" s="319"/>
      <c r="O122" s="428"/>
    </row>
    <row r="123" spans="1:23" x14ac:dyDescent="0.2">
      <c r="A123" s="6" t="s">
        <v>320</v>
      </c>
      <c r="C123" s="3"/>
      <c r="F123" s="24">
        <f t="shared" ref="F123:L123" si="81">8*F59/F60</f>
        <v>192</v>
      </c>
      <c r="G123" s="24">
        <f t="shared" si="81"/>
        <v>192</v>
      </c>
      <c r="H123" s="24">
        <f t="shared" si="81"/>
        <v>192</v>
      </c>
      <c r="I123" s="24">
        <f t="shared" si="81"/>
        <v>192</v>
      </c>
      <c r="J123" s="24">
        <f t="shared" si="81"/>
        <v>192</v>
      </c>
      <c r="K123" s="24">
        <f t="shared" si="81"/>
        <v>192</v>
      </c>
      <c r="L123" s="24">
        <f t="shared" si="81"/>
        <v>192</v>
      </c>
      <c r="M123" s="247"/>
      <c r="N123" s="247"/>
      <c r="O123" s="429"/>
    </row>
    <row r="124" spans="1:23" x14ac:dyDescent="0.2">
      <c r="A124" s="6" t="s">
        <v>332</v>
      </c>
      <c r="C124" s="3"/>
      <c r="F124" s="178">
        <f t="shared" ref="F124:L124" si="82">F48*0.092*4.19</f>
        <v>1.9274000000000003E-2</v>
      </c>
      <c r="G124" s="178">
        <f t="shared" si="82"/>
        <v>1.9274000000000003E-2</v>
      </c>
      <c r="H124" s="178">
        <f t="shared" si="82"/>
        <v>1.9274000000000003E-2</v>
      </c>
      <c r="I124" s="178">
        <f t="shared" si="82"/>
        <v>1.9274000000000003E-2</v>
      </c>
      <c r="J124" s="178">
        <f t="shared" si="82"/>
        <v>1.9274000000000003E-2</v>
      </c>
      <c r="K124" s="178">
        <f t="shared" si="82"/>
        <v>1.9274000000000003E-2</v>
      </c>
      <c r="L124" s="178">
        <f t="shared" si="82"/>
        <v>1.9274000000000003E-2</v>
      </c>
      <c r="M124" s="599"/>
      <c r="N124" s="599"/>
      <c r="O124" s="308"/>
    </row>
    <row r="125" spans="1:23" x14ac:dyDescent="0.2">
      <c r="A125" s="6" t="s">
        <v>349</v>
      </c>
      <c r="C125" s="3"/>
      <c r="F125" s="181">
        <f t="shared" ref="F125:L125" si="83">(F124*8.92/600000)^0.5</f>
        <v>5.3529443611281206E-4</v>
      </c>
      <c r="G125" s="181">
        <f t="shared" si="83"/>
        <v>5.3529443611281206E-4</v>
      </c>
      <c r="H125" s="181">
        <f t="shared" si="83"/>
        <v>5.3529443611281206E-4</v>
      </c>
      <c r="I125" s="181">
        <f t="shared" si="83"/>
        <v>5.3529443611281206E-4</v>
      </c>
      <c r="J125" s="181">
        <f t="shared" si="83"/>
        <v>5.3529443611281206E-4</v>
      </c>
      <c r="K125" s="181">
        <f t="shared" si="83"/>
        <v>5.3529443611281206E-4</v>
      </c>
      <c r="L125" s="181">
        <f t="shared" si="83"/>
        <v>5.3529443611281206E-4</v>
      </c>
      <c r="M125" s="290"/>
      <c r="N125" s="290"/>
      <c r="O125" s="428"/>
    </row>
    <row r="126" spans="1:23" x14ac:dyDescent="0.2">
      <c r="A126" s="6" t="s">
        <v>327</v>
      </c>
      <c r="C126" s="3"/>
      <c r="F126" s="24">
        <f t="shared" ref="F126:L126" ca="1" si="84">IF(F63=1,0,2)*(2/F124*F149*F125)*1.2</f>
        <v>27.221194377099444</v>
      </c>
      <c r="G126" s="24">
        <f t="shared" ca="1" si="84"/>
        <v>25.815668726822789</v>
      </c>
      <c r="H126" s="24">
        <f t="shared" ca="1" si="84"/>
        <v>24.569538870851201</v>
      </c>
      <c r="I126" s="24">
        <f t="shared" ca="1" si="84"/>
        <v>23.934737092103198</v>
      </c>
      <c r="J126" s="24">
        <f t="shared" ca="1" si="84"/>
        <v>23.547839451725903</v>
      </c>
      <c r="K126" s="24">
        <f t="shared" ca="1" si="84"/>
        <v>23.286801798864349</v>
      </c>
      <c r="L126" s="24">
        <f t="shared" ca="1" si="84"/>
        <v>23.098609762819127</v>
      </c>
      <c r="M126" s="247"/>
      <c r="N126" s="247"/>
      <c r="O126" s="430"/>
    </row>
    <row r="127" spans="1:23" x14ac:dyDescent="0.2">
      <c r="A127" s="6" t="s">
        <v>330</v>
      </c>
      <c r="C127" s="3"/>
      <c r="F127" s="179">
        <f t="shared" ref="F127:L127" ca="1" si="85">IF(F63=1,0,2)*(2/F149*F125)</f>
        <v>1.0485946944346208E-5</v>
      </c>
      <c r="G127" s="179">
        <f t="shared" ca="1" si="85"/>
        <v>1.1056850900144394E-5</v>
      </c>
      <c r="H127" s="179">
        <f t="shared" ca="1" si="85"/>
        <v>1.1617637656954166E-5</v>
      </c>
      <c r="I127" s="179">
        <f t="shared" ca="1" si="85"/>
        <v>1.1925762915280795E-5</v>
      </c>
      <c r="J127" s="179">
        <f t="shared" ca="1" si="85"/>
        <v>1.2121706561876493E-5</v>
      </c>
      <c r="K127" s="179">
        <f t="shared" ca="1" si="85"/>
        <v>1.2257587042885395E-5</v>
      </c>
      <c r="L127" s="179">
        <f t="shared" ca="1" si="85"/>
        <v>1.235745367063004E-5</v>
      </c>
      <c r="M127" s="600"/>
      <c r="N127" s="600"/>
      <c r="O127" s="430"/>
    </row>
    <row r="128" spans="1:23" x14ac:dyDescent="0.2">
      <c r="A128" s="253" t="s">
        <v>705</v>
      </c>
      <c r="C128" s="3"/>
      <c r="F128" s="179">
        <f t="shared" ref="F128:L128" ca="1" si="86">F87*F59/F60^2+F127</f>
        <v>1.4890044660971615E-3</v>
      </c>
      <c r="G128" s="179">
        <f t="shared" ca="1" si="86"/>
        <v>1.570072827820504E-3</v>
      </c>
      <c r="H128" s="179">
        <f t="shared" ca="1" si="86"/>
        <v>1.6497045472874915E-3</v>
      </c>
      <c r="I128" s="179">
        <f t="shared" ca="1" si="86"/>
        <v>1.6934583339698731E-3</v>
      </c>
      <c r="J128" s="179">
        <f t="shared" ca="1" si="86"/>
        <v>1.7212823317864618E-3</v>
      </c>
      <c r="K128" s="179">
        <f t="shared" ca="1" si="86"/>
        <v>1.7405773600897264E-3</v>
      </c>
      <c r="L128" s="179">
        <f t="shared" ca="1" si="86"/>
        <v>1.7547584212294659E-3</v>
      </c>
      <c r="M128" s="600"/>
      <c r="N128" s="600"/>
      <c r="O128" s="430"/>
    </row>
    <row r="129" spans="1:16" x14ac:dyDescent="0.2">
      <c r="A129" s="6" t="s">
        <v>565</v>
      </c>
      <c r="C129" s="3"/>
      <c r="F129" s="179" t="str">
        <f t="shared" ref="F129:L129" si="87">IF(F54="EG-W","aluminum","polymer")</f>
        <v>aluminum</v>
      </c>
      <c r="G129" s="179" t="str">
        <f t="shared" si="87"/>
        <v>aluminum</v>
      </c>
      <c r="H129" s="179" t="str">
        <f t="shared" si="87"/>
        <v>aluminum</v>
      </c>
      <c r="I129" s="179" t="str">
        <f t="shared" si="87"/>
        <v>aluminum</v>
      </c>
      <c r="J129" s="179" t="str">
        <f t="shared" si="87"/>
        <v>aluminum</v>
      </c>
      <c r="K129" s="179" t="str">
        <f t="shared" si="87"/>
        <v>aluminum</v>
      </c>
      <c r="L129" s="179" t="str">
        <f t="shared" si="87"/>
        <v>aluminum</v>
      </c>
      <c r="M129" s="600"/>
      <c r="N129" s="600"/>
      <c r="O129" s="443"/>
    </row>
    <row r="130" spans="1:16" x14ac:dyDescent="0.2">
      <c r="A130" s="6" t="s">
        <v>566</v>
      </c>
      <c r="C130" s="3"/>
      <c r="F130" s="393">
        <v>0.5</v>
      </c>
      <c r="G130" s="393">
        <v>0.5</v>
      </c>
      <c r="H130" s="393">
        <v>0.5</v>
      </c>
      <c r="I130" s="393">
        <v>0.5</v>
      </c>
      <c r="J130" s="393">
        <v>0.5</v>
      </c>
      <c r="K130" s="393">
        <v>0.5</v>
      </c>
      <c r="L130" s="393">
        <v>0.5</v>
      </c>
      <c r="M130" s="288"/>
      <c r="N130" s="288"/>
      <c r="O130" s="426"/>
    </row>
    <row r="131" spans="1:16" x14ac:dyDescent="0.2">
      <c r="A131" s="142" t="s">
        <v>882</v>
      </c>
      <c r="B131" s="400"/>
      <c r="C131" s="260"/>
      <c r="D131" s="400"/>
      <c r="E131" s="400"/>
      <c r="F131" s="165">
        <f t="shared" ref="F131:L131" ca="1" si="88">IF(F54="EG-W",F113,F113+12)</f>
        <v>192.43752447452903</v>
      </c>
      <c r="G131" s="165">
        <f t="shared" ca="1" si="88"/>
        <v>230.70834469543388</v>
      </c>
      <c r="H131" s="165">
        <f t="shared" ca="1" si="88"/>
        <v>266.40972476110994</v>
      </c>
      <c r="I131" s="165">
        <f t="shared" ca="1" si="88"/>
        <v>297.86675103911313</v>
      </c>
      <c r="J131" s="165">
        <f t="shared" ca="1" si="88"/>
        <v>326.30928121269551</v>
      </c>
      <c r="K131" s="165">
        <f t="shared" ca="1" si="88"/>
        <v>352.4676815262215</v>
      </c>
      <c r="L131" s="165">
        <f t="shared" ca="1" si="88"/>
        <v>376.81829819692587</v>
      </c>
      <c r="M131" s="597"/>
      <c r="N131" s="597"/>
      <c r="O131" s="431"/>
    </row>
    <row r="132" spans="1:16" x14ac:dyDescent="0.2">
      <c r="A132" s="142" t="s">
        <v>586</v>
      </c>
      <c r="B132" s="400"/>
      <c r="C132" s="260"/>
      <c r="D132" s="400"/>
      <c r="E132" s="400"/>
      <c r="F132" s="404">
        <f>IF(F54="EG-W",IF(Thermal!F71=0,Thermal!F72*10,Thermal!F71*10),Thermal!F126)</f>
        <v>0.4</v>
      </c>
      <c r="G132" s="404">
        <f>IF(G54="EG-W",IF(Thermal!G71=0,Thermal!G72*10,Thermal!G71*10),Thermal!G126)</f>
        <v>0.4</v>
      </c>
      <c r="H132" s="404">
        <f>IF(H54="EG-W",IF(Thermal!H71=0,Thermal!H72*10,Thermal!H71*10),Thermal!H126)</f>
        <v>0.4</v>
      </c>
      <c r="I132" s="404">
        <f>IF(I54="EG-W",IF(Thermal!I71=0,Thermal!I72*10,Thermal!I71*10),Thermal!I126)</f>
        <v>0.4</v>
      </c>
      <c r="J132" s="404">
        <f>IF(J54="EG-W",IF(Thermal!J71=0,Thermal!J72*10,Thermal!J71*10),Thermal!J126)</f>
        <v>0.4</v>
      </c>
      <c r="K132" s="404">
        <f>IF(K54="EG-W",IF(Thermal!K71=0,Thermal!K72*10,Thermal!K71*10),Thermal!K126)</f>
        <v>0.4</v>
      </c>
      <c r="L132" s="404">
        <f>IF(L54="EG-W",IF(Thermal!L71=0,Thermal!L72*10,Thermal!L71*10),Thermal!L126)</f>
        <v>0.4</v>
      </c>
      <c r="M132" s="404"/>
      <c r="N132" s="404"/>
      <c r="O132" s="432"/>
    </row>
    <row r="133" spans="1:16" x14ac:dyDescent="0.2">
      <c r="A133" s="400" t="s">
        <v>785</v>
      </c>
      <c r="B133" s="400"/>
      <c r="C133" s="260"/>
      <c r="D133" s="400"/>
      <c r="E133" s="400"/>
      <c r="F133" s="405">
        <f t="shared" ref="F133:L133" ca="1" si="89">IF(F54="EG-W",(F59+1)*F131*((F117+2*F132)+0.95*F32*2)*F132/1000*2.7,(F59+1)*F131*(2*F117+2*F32+2*F132)*F132/1000*2.7)</f>
        <v>427.05595696672373</v>
      </c>
      <c r="G133" s="405">
        <f t="shared" ca="1" si="89"/>
        <v>592.07032960828383</v>
      </c>
      <c r="H133" s="405">
        <f t="shared" ca="1" si="89"/>
        <v>769.29197569719668</v>
      </c>
      <c r="I133" s="405">
        <f t="shared" ca="1" si="89"/>
        <v>944.45816130196727</v>
      </c>
      <c r="J133" s="405">
        <f t="shared" ca="1" si="89"/>
        <v>1118.1715968993281</v>
      </c>
      <c r="K133" s="405">
        <f t="shared" ca="1" si="89"/>
        <v>1290.7892182071448</v>
      </c>
      <c r="L133" s="405">
        <f t="shared" ca="1" si="89"/>
        <v>1462.5465155699317</v>
      </c>
      <c r="M133" s="575"/>
      <c r="N133" s="575"/>
      <c r="O133" s="432"/>
    </row>
    <row r="134" spans="1:16" x14ac:dyDescent="0.2">
      <c r="A134" s="400" t="s">
        <v>838</v>
      </c>
      <c r="B134" s="400"/>
      <c r="C134" s="260"/>
      <c r="D134" s="400"/>
      <c r="E134" s="400"/>
      <c r="F134" s="405">
        <f t="shared" ref="F134:L134" ca="1" si="90">1*F136*4*F138/1000*2*1.2</f>
        <v>12.188828587406499</v>
      </c>
      <c r="G134" s="405">
        <f t="shared" ca="1" si="90"/>
        <v>12.264198973193832</v>
      </c>
      <c r="H134" s="405">
        <f t="shared" ca="1" si="90"/>
        <v>12.264188285650715</v>
      </c>
      <c r="I134" s="405">
        <f t="shared" ca="1" si="90"/>
        <v>12.264188285650715</v>
      </c>
      <c r="J134" s="405">
        <f t="shared" ca="1" si="90"/>
        <v>12.264188285650715</v>
      </c>
      <c r="K134" s="405">
        <f t="shared" ca="1" si="90"/>
        <v>12.264196780792188</v>
      </c>
      <c r="L134" s="405">
        <f t="shared" ca="1" si="90"/>
        <v>12.264188285650715</v>
      </c>
      <c r="M134" s="575"/>
      <c r="N134" s="575"/>
      <c r="O134" s="432"/>
    </row>
    <row r="135" spans="1:16" x14ac:dyDescent="0.2">
      <c r="A135" s="400" t="s">
        <v>839</v>
      </c>
      <c r="B135" s="400"/>
      <c r="C135" s="260"/>
      <c r="D135" s="400"/>
      <c r="E135" s="400"/>
      <c r="F135" s="405">
        <f t="shared" ref="F135:L135" ca="1" si="91">IF(F54="EG-W",2.7,1.1)*F130*(F137*F138+F137*F139+IF(F54="CA",0,F138*F139))*2/1000</f>
        <v>212.7563690701885</v>
      </c>
      <c r="G135" s="405">
        <f t="shared" ca="1" si="91"/>
        <v>259.42185940671885</v>
      </c>
      <c r="H135" s="405">
        <f t="shared" ca="1" si="91"/>
        <v>304.34751668755189</v>
      </c>
      <c r="I135" s="405">
        <f t="shared" ca="1" si="91"/>
        <v>345.83369083420365</v>
      </c>
      <c r="J135" s="405">
        <f t="shared" ca="1" si="91"/>
        <v>384.8776108791451</v>
      </c>
      <c r="K135" s="405">
        <f t="shared" ca="1" si="91"/>
        <v>422.07168637564166</v>
      </c>
      <c r="L135" s="405">
        <f t="shared" ca="1" si="91"/>
        <v>457.80185224080526</v>
      </c>
      <c r="M135" s="575"/>
      <c r="N135" s="575"/>
      <c r="O135" s="432"/>
      <c r="P135" s="263"/>
    </row>
    <row r="136" spans="1:16" x14ac:dyDescent="0.2">
      <c r="A136" s="400" t="s">
        <v>837</v>
      </c>
      <c r="B136" s="400"/>
      <c r="C136" s="260"/>
      <c r="D136" s="400"/>
      <c r="E136" s="400"/>
      <c r="F136" s="405">
        <v>6</v>
      </c>
      <c r="G136" s="405">
        <v>6</v>
      </c>
      <c r="H136" s="405">
        <v>6</v>
      </c>
      <c r="I136" s="405">
        <v>6</v>
      </c>
      <c r="J136" s="405">
        <v>6</v>
      </c>
      <c r="K136" s="405">
        <v>6</v>
      </c>
      <c r="L136" s="405">
        <v>6</v>
      </c>
      <c r="M136" s="575"/>
      <c r="N136" s="575"/>
      <c r="O136" s="432"/>
      <c r="P136" s="263"/>
    </row>
    <row r="137" spans="1:16" x14ac:dyDescent="0.2">
      <c r="A137" s="400" t="s">
        <v>269</v>
      </c>
      <c r="C137" s="3"/>
      <c r="F137" s="405">
        <f t="shared" ref="F137:L137" ca="1" si="92">F118+F136+2</f>
        <v>230.43752447452903</v>
      </c>
      <c r="G137" s="405">
        <f t="shared" ca="1" si="92"/>
        <v>268.70834469543388</v>
      </c>
      <c r="H137" s="405">
        <f t="shared" ca="1" si="92"/>
        <v>304.40972476110994</v>
      </c>
      <c r="I137" s="405">
        <f t="shared" ca="1" si="92"/>
        <v>335.86675103911313</v>
      </c>
      <c r="J137" s="405">
        <f t="shared" ca="1" si="92"/>
        <v>364.30928121269551</v>
      </c>
      <c r="K137" s="405">
        <f t="shared" ca="1" si="92"/>
        <v>390.4676815262215</v>
      </c>
      <c r="L137" s="405">
        <f t="shared" ca="1" si="92"/>
        <v>414.81829819692587</v>
      </c>
      <c r="M137" s="575"/>
      <c r="N137" s="575"/>
      <c r="O137" s="428"/>
    </row>
    <row r="138" spans="1:16" x14ac:dyDescent="0.2">
      <c r="A138" s="6" t="s">
        <v>270</v>
      </c>
      <c r="C138" s="3"/>
      <c r="F138" s="24">
        <f ca="1">IF(F54="EG-W",(F32+F132)*(F59+1)+2*F130,F59*Thermal!F128+Thermal!F129+2*F130)</f>
        <v>211.61160742025172</v>
      </c>
      <c r="G138" s="24">
        <f ca="1">IF(G54="EG-W",(G32+G132)*(G59+1)+2*G130,G59*Thermal!G128+Thermal!G129+2*G130)</f>
        <v>212.92012106239292</v>
      </c>
      <c r="H138" s="24">
        <f ca="1">IF(H54="EG-W",(H32+H132)*(H59+1)+2*H130,H59*Thermal!H128+Thermal!H129+2*H130)</f>
        <v>212.91993551476935</v>
      </c>
      <c r="I138" s="24">
        <f ca="1">IF(I54="EG-W",(I32+I132)*(I59+1)+2*I130,I59*Thermal!I128+Thermal!I129+2*I130)</f>
        <v>212.91993551476935</v>
      </c>
      <c r="J138" s="24">
        <f ca="1">IF(J54="EG-W",(J32+J132)*(J59+1)+2*J130,J59*Thermal!J128+Thermal!J129+2*J130)</f>
        <v>212.91993551476935</v>
      </c>
      <c r="K138" s="24">
        <f ca="1">IF(K54="EG-W",(K32+K132)*(K59+1)+2*K130,K59*Thermal!K128+Thermal!K129+2*K130)</f>
        <v>212.92008299986438</v>
      </c>
      <c r="L138" s="24">
        <f ca="1">IF(L54="EG-W",(L32+L132)*(L59+1)+2*L130,L59*Thermal!L128+Thermal!L129+2*L130)</f>
        <v>212.91993551476935</v>
      </c>
      <c r="M138" s="247"/>
      <c r="N138" s="247"/>
      <c r="O138" s="428"/>
    </row>
    <row r="139" spans="1:16" x14ac:dyDescent="0.2">
      <c r="A139" s="6" t="s">
        <v>271</v>
      </c>
      <c r="C139" s="3"/>
      <c r="F139" s="24">
        <f t="shared" ref="F139:L139" ca="1" si="93">F117+2*F132+2*F130</f>
        <v>67.945841491509668</v>
      </c>
      <c r="G139" s="24">
        <f t="shared" ca="1" si="93"/>
        <v>80.702781565144619</v>
      </c>
      <c r="H139" s="24">
        <f t="shared" ca="1" si="93"/>
        <v>92.603241587036649</v>
      </c>
      <c r="I139" s="24">
        <f t="shared" ca="1" si="93"/>
        <v>103.0889170130377</v>
      </c>
      <c r="J139" s="24">
        <f t="shared" ca="1" si="93"/>
        <v>112.56976040423184</v>
      </c>
      <c r="K139" s="24">
        <f t="shared" ca="1" si="93"/>
        <v>121.28922717540716</v>
      </c>
      <c r="L139" s="24">
        <f t="shared" ca="1" si="93"/>
        <v>129.4060993989753</v>
      </c>
      <c r="M139" s="247"/>
      <c r="N139" s="247"/>
      <c r="O139" s="433"/>
    </row>
    <row r="140" spans="1:16" x14ac:dyDescent="0.2">
      <c r="A140" s="6" t="s">
        <v>321</v>
      </c>
      <c r="C140" s="3"/>
      <c r="F140" s="168">
        <f t="shared" ref="F140:L140" ca="1" si="94">F137*F138*F139/1000000</f>
        <v>3.3132603923939268</v>
      </c>
      <c r="G140" s="168">
        <f t="shared" ca="1" si="94"/>
        <v>4.6172815947764709</v>
      </c>
      <c r="H140" s="168">
        <f t="shared" ca="1" si="94"/>
        <v>6.0020697474067806</v>
      </c>
      <c r="I140" s="168">
        <f t="shared" ca="1" si="94"/>
        <v>7.3721695762753168</v>
      </c>
      <c r="J140" s="168">
        <f t="shared" ca="1" si="94"/>
        <v>8.7318909490864893</v>
      </c>
      <c r="K140" s="168">
        <f t="shared" ca="1" si="94"/>
        <v>10.083793638106101</v>
      </c>
      <c r="L140" s="168">
        <f t="shared" ca="1" si="94"/>
        <v>11.429545955871186</v>
      </c>
      <c r="M140" s="210"/>
      <c r="N140" s="210"/>
      <c r="O140" s="433"/>
    </row>
    <row r="141" spans="1:16" x14ac:dyDescent="0.2">
      <c r="A141" s="253" t="s">
        <v>786</v>
      </c>
      <c r="C141" s="3"/>
      <c r="F141" s="168">
        <f t="shared" ref="F141:L141" ca="1" si="95">((F122*F59/F60+1)+F59*F28+F123+F126+F133+F134+F135)/1000</f>
        <v>7.6015741652611775</v>
      </c>
      <c r="G141" s="168">
        <f t="shared" ca="1" si="95"/>
        <v>10.589112163557795</v>
      </c>
      <c r="H141" s="168">
        <f t="shared" ca="1" si="95"/>
        <v>13.83713762062882</v>
      </c>
      <c r="I141" s="168">
        <f t="shared" ca="1" si="95"/>
        <v>17.064430579327276</v>
      </c>
      <c r="J141" s="168">
        <f t="shared" ca="1" si="95"/>
        <v>20.276943731978434</v>
      </c>
      <c r="K141" s="168">
        <f t="shared" ca="1" si="95"/>
        <v>23.478304941394633</v>
      </c>
      <c r="L141" s="168">
        <f t="shared" ca="1" si="95"/>
        <v>26.670908287297358</v>
      </c>
      <c r="M141" s="210"/>
      <c r="N141" s="210"/>
      <c r="O141" s="418"/>
    </row>
    <row r="142" spans="1:16" ht="15.75" x14ac:dyDescent="0.25">
      <c r="A142" s="17" t="s">
        <v>652</v>
      </c>
      <c r="C142" s="3"/>
      <c r="F142" s="5"/>
      <c r="G142" s="5"/>
      <c r="H142" s="5"/>
      <c r="I142" s="5"/>
      <c r="J142" s="5"/>
      <c r="K142" s="5"/>
      <c r="L142" s="5"/>
      <c r="M142" s="126"/>
      <c r="N142" s="126"/>
      <c r="O142" s="418"/>
    </row>
    <row r="143" spans="1:16" x14ac:dyDescent="0.2">
      <c r="A143" s="253" t="s">
        <v>690</v>
      </c>
      <c r="F143" s="5">
        <f t="shared" ref="F143:L143" ca="1" si="96">F121*F64</f>
        <v>10.603037711833156</v>
      </c>
      <c r="G143" s="5">
        <f t="shared" ca="1" si="96"/>
        <v>15.927717249004788</v>
      </c>
      <c r="H143" s="5">
        <f t="shared" ca="1" si="96"/>
        <v>21.238638051735272</v>
      </c>
      <c r="I143" s="5">
        <f t="shared" ca="1" si="96"/>
        <v>26.550369704422842</v>
      </c>
      <c r="J143" s="5">
        <f t="shared" ca="1" si="96"/>
        <v>31.862905039781463</v>
      </c>
      <c r="K143" s="5">
        <f t="shared" ca="1" si="96"/>
        <v>37.176238834191054</v>
      </c>
      <c r="L143" s="5">
        <f t="shared" ca="1" si="96"/>
        <v>42.49036715129558</v>
      </c>
      <c r="M143" s="126"/>
      <c r="N143" s="126"/>
      <c r="O143" s="417"/>
    </row>
    <row r="144" spans="1:16" x14ac:dyDescent="0.2">
      <c r="A144" s="253" t="s">
        <v>653</v>
      </c>
      <c r="F144" s="19">
        <f t="shared" ref="F144:L144" ca="1" si="97">F78*F64*(F147-F67*F79/3*F91/F109/F60/F64)/1000</f>
        <v>4.0000000000000036</v>
      </c>
      <c r="G144" s="19">
        <f t="shared" ca="1" si="97"/>
        <v>6.0000000000000027</v>
      </c>
      <c r="H144" s="19">
        <f t="shared" ca="1" si="97"/>
        <v>8.0000000000000018</v>
      </c>
      <c r="I144" s="19">
        <f t="shared" ca="1" si="97"/>
        <v>10.000000000000023</v>
      </c>
      <c r="J144" s="19">
        <f t="shared" ca="1" si="97"/>
        <v>12.000000000000012</v>
      </c>
      <c r="K144" s="19">
        <f t="shared" ca="1" si="97"/>
        <v>13.999999999999995</v>
      </c>
      <c r="L144" s="19">
        <f t="shared" ca="1" si="97"/>
        <v>16.000000000000014</v>
      </c>
      <c r="M144" s="95"/>
      <c r="N144" s="95"/>
      <c r="O144" s="417"/>
    </row>
    <row r="145" spans="1:24" x14ac:dyDescent="0.2">
      <c r="A145" t="s">
        <v>373</v>
      </c>
      <c r="F145" s="19">
        <f t="shared" ref="F145:L145" ca="1" si="98">F144*F192/100</f>
        <v>2.8000000000000025</v>
      </c>
      <c r="G145" s="19">
        <f t="shared" ca="1" si="98"/>
        <v>4.200000000000002</v>
      </c>
      <c r="H145" s="19">
        <f t="shared" ca="1" si="98"/>
        <v>5.6000000000000014</v>
      </c>
      <c r="I145" s="19">
        <f t="shared" ca="1" si="98"/>
        <v>7.000000000000016</v>
      </c>
      <c r="J145" s="19">
        <f t="shared" ca="1" si="98"/>
        <v>8.4000000000000092</v>
      </c>
      <c r="K145" s="19">
        <f t="shared" ca="1" si="98"/>
        <v>9.7999999999999972</v>
      </c>
      <c r="L145" s="19">
        <f t="shared" ca="1" si="98"/>
        <v>11.20000000000001</v>
      </c>
      <c r="M145" s="95"/>
      <c r="N145" s="95"/>
      <c r="O145" s="418"/>
    </row>
    <row r="146" spans="1:24" x14ac:dyDescent="0.2">
      <c r="A146" t="s">
        <v>346</v>
      </c>
      <c r="F146" s="5">
        <f t="shared" ref="F146:L146" si="99">F67/F60*F43/F64</f>
        <v>367.29599999999999</v>
      </c>
      <c r="G146" s="5">
        <f t="shared" si="99"/>
        <v>367.29599999999999</v>
      </c>
      <c r="H146" s="5">
        <f t="shared" si="99"/>
        <v>367.29599999999999</v>
      </c>
      <c r="I146" s="5">
        <f t="shared" si="99"/>
        <v>367.29599999999999</v>
      </c>
      <c r="J146" s="5">
        <f t="shared" si="99"/>
        <v>367.29599999999999</v>
      </c>
      <c r="K146" s="5">
        <f t="shared" si="99"/>
        <v>367.29599999999999</v>
      </c>
      <c r="L146" s="5">
        <f t="shared" si="99"/>
        <v>367.29599999999999</v>
      </c>
      <c r="M146" s="126"/>
      <c r="N146" s="126"/>
      <c r="O146" s="418"/>
    </row>
    <row r="147" spans="1:24" x14ac:dyDescent="0.2">
      <c r="A147" t="s">
        <v>183</v>
      </c>
      <c r="F147" s="5">
        <f t="shared" ref="F147:L147" si="100">F67/F60*F44/F64</f>
        <v>379.584</v>
      </c>
      <c r="G147" s="5">
        <f t="shared" si="100"/>
        <v>379.584</v>
      </c>
      <c r="H147" s="5">
        <f t="shared" si="100"/>
        <v>379.584</v>
      </c>
      <c r="I147" s="5">
        <f t="shared" si="100"/>
        <v>379.584</v>
      </c>
      <c r="J147" s="5">
        <f t="shared" si="100"/>
        <v>379.584</v>
      </c>
      <c r="K147" s="5">
        <f t="shared" si="100"/>
        <v>379.584</v>
      </c>
      <c r="L147" s="5">
        <f t="shared" si="100"/>
        <v>379.584</v>
      </c>
      <c r="M147" s="126"/>
      <c r="N147" s="126"/>
      <c r="O147" s="418"/>
    </row>
    <row r="148" spans="1:24" x14ac:dyDescent="0.2">
      <c r="A148" t="s">
        <v>519</v>
      </c>
      <c r="F148" s="5">
        <f t="shared" ref="F148:L148" ca="1" si="101">(F146^2*F64^2*F60^2/F67*F49/100*(100-F49)/100)/(F90/F109)/1000</f>
        <v>60.000000000000007</v>
      </c>
      <c r="G148" s="5">
        <f t="shared" ca="1" si="101"/>
        <v>72.744106133087698</v>
      </c>
      <c r="H148" s="5">
        <f t="shared" ca="1" si="101"/>
        <v>95.293204855200543</v>
      </c>
      <c r="I148" s="5">
        <f t="shared" ca="1" si="101"/>
        <v>117.03719608035212</v>
      </c>
      <c r="J148" s="5">
        <f t="shared" ca="1" si="101"/>
        <v>138.03400841597346</v>
      </c>
      <c r="K148" s="5">
        <f t="shared" ca="1" si="101"/>
        <v>158.32920265404357</v>
      </c>
      <c r="L148" s="5">
        <f t="shared" ca="1" si="101"/>
        <v>177.96225181488037</v>
      </c>
      <c r="M148" s="126"/>
      <c r="N148" s="126"/>
      <c r="O148" s="448"/>
      <c r="R148" s="3"/>
      <c r="S148" s="3"/>
      <c r="T148" s="3"/>
      <c r="X148" s="3"/>
    </row>
    <row r="149" spans="1:24" x14ac:dyDescent="0.2">
      <c r="A149" t="s">
        <v>185</v>
      </c>
      <c r="F149" s="3">
        <f t="shared" ref="F149:L149" ca="1" si="102">F56*1000/F146/F50*100</f>
        <v>204.19498170412967</v>
      </c>
      <c r="G149" s="3">
        <f t="shared" ca="1" si="102"/>
        <v>193.65167928811323</v>
      </c>
      <c r="H149" s="3">
        <f t="shared" ca="1" si="102"/>
        <v>184.30405626995667</v>
      </c>
      <c r="I149" s="3">
        <f t="shared" ca="1" si="102"/>
        <v>179.542202847895</v>
      </c>
      <c r="J149" s="3">
        <f t="shared" ca="1" si="102"/>
        <v>176.6399585340057</v>
      </c>
      <c r="K149" s="3">
        <f t="shared" ca="1" si="102"/>
        <v>174.68183068657385</v>
      </c>
      <c r="L149" s="3">
        <f t="shared" ca="1" si="102"/>
        <v>173.27014136740689</v>
      </c>
      <c r="M149" s="128"/>
      <c r="N149" s="128"/>
      <c r="O149" s="417"/>
    </row>
    <row r="150" spans="1:24" ht="14.25" x14ac:dyDescent="0.2">
      <c r="A150" t="s">
        <v>336</v>
      </c>
      <c r="F150" s="19">
        <f t="shared" ref="F150:L150" ca="1" si="103">IF(F209=0,20,F149*1000/F109/F60/F64)</f>
        <v>30.633201878085433</v>
      </c>
      <c r="G150" s="19">
        <f t="shared" ca="1" si="103"/>
        <v>23.727883808796648</v>
      </c>
      <c r="H150" s="19">
        <f t="shared" ca="1" si="103"/>
        <v>16.935557855591302</v>
      </c>
      <c r="I150" s="19">
        <f t="shared" ca="1" si="103"/>
        <v>13.197365771372281</v>
      </c>
      <c r="J150" s="19">
        <f t="shared" ca="1" si="103"/>
        <v>10.819192845802416</v>
      </c>
      <c r="K150" s="19">
        <f t="shared" ca="1" si="103"/>
        <v>9.1700892430688761</v>
      </c>
      <c r="L150" s="19">
        <f t="shared" ca="1" si="103"/>
        <v>7.9583772666732546</v>
      </c>
      <c r="M150" s="95"/>
      <c r="N150" s="95"/>
      <c r="O150" s="418"/>
    </row>
    <row r="151" spans="1:24" x14ac:dyDescent="0.2">
      <c r="A151" t="s">
        <v>258</v>
      </c>
      <c r="F151" s="5">
        <f t="shared" ref="F151:L151" ca="1" si="104">IF(F209=0,5,F149/F78/F64)</f>
        <v>19.258158581879311</v>
      </c>
      <c r="G151" s="5">
        <f t="shared" ca="1" si="104"/>
        <v>12.158156518016614</v>
      </c>
      <c r="H151" s="5">
        <f t="shared" ca="1" si="104"/>
        <v>8.6777718901282554</v>
      </c>
      <c r="I151" s="5">
        <f t="shared" ca="1" si="104"/>
        <v>6.7623240221015193</v>
      </c>
      <c r="J151" s="5">
        <f t="shared" ca="1" si="104"/>
        <v>5.5437493321298623</v>
      </c>
      <c r="K151" s="5">
        <f t="shared" ca="1" si="104"/>
        <v>4.6987494207165099</v>
      </c>
      <c r="L151" s="5">
        <f t="shared" ca="1" si="104"/>
        <v>4.0778687731843641</v>
      </c>
      <c r="M151" s="126"/>
      <c r="N151" s="126"/>
      <c r="O151" s="418"/>
    </row>
    <row r="152" spans="1:24" x14ac:dyDescent="0.2">
      <c r="A152" t="s">
        <v>578</v>
      </c>
      <c r="F152" s="126">
        <f ca="1">IF(F54="EG-W",Thermal!F95,Thermal!F160)*10</f>
        <v>7.5601775339452004</v>
      </c>
      <c r="G152" s="126">
        <f ca="1">IF(G54="EG-W",Thermal!G95,Thermal!G160)*10</f>
        <v>7.5585635007952305</v>
      </c>
      <c r="H152" s="126">
        <f ca="1">IF(H54="EG-W",Thermal!H95,Thermal!H160)*10</f>
        <v>7.5563417437184235</v>
      </c>
      <c r="I152" s="126">
        <f ca="1">IF(I54="EG-W",Thermal!I95,Thermal!I160)*10</f>
        <v>7.5480033622434988</v>
      </c>
      <c r="J152" s="126">
        <f ca="1">IF(J54="EG-W",Thermal!J95,Thermal!J160)*10</f>
        <v>6.8754996089395002</v>
      </c>
      <c r="K152" s="126">
        <f ca="1">IF(K54="EG-W",Thermal!K95,Thermal!K160)*10</f>
        <v>6.361215824677636</v>
      </c>
      <c r="L152" s="126">
        <f ca="1">IF(L54="EG-W",Thermal!L95,Thermal!L160)*10</f>
        <v>5.9555966991498321</v>
      </c>
      <c r="M152" s="126"/>
      <c r="N152" s="126"/>
      <c r="O152" s="418"/>
    </row>
    <row r="153" spans="1:24" x14ac:dyDescent="0.2">
      <c r="A153" t="s">
        <v>355</v>
      </c>
      <c r="F153" s="390">
        <v>1.5</v>
      </c>
      <c r="G153" s="390">
        <v>1.5</v>
      </c>
      <c r="H153" s="390">
        <v>1.5</v>
      </c>
      <c r="I153" s="390">
        <v>1.5</v>
      </c>
      <c r="J153" s="390">
        <v>1.5</v>
      </c>
      <c r="K153" s="390">
        <v>1.5</v>
      </c>
      <c r="L153" s="390">
        <v>1.5</v>
      </c>
      <c r="M153" s="126"/>
      <c r="N153" s="126"/>
      <c r="O153" s="420"/>
    </row>
    <row r="154" spans="1:24" x14ac:dyDescent="0.2">
      <c r="A154" t="s">
        <v>631</v>
      </c>
      <c r="F154" s="3">
        <f t="shared" ref="F154:L154" ca="1" si="105">F61*F138+2*F71+2*F153+IF(F54="EG-W",F152,0)</f>
        <v>881.00660721495206</v>
      </c>
      <c r="G154" s="3">
        <f t="shared" ca="1" si="105"/>
        <v>886.23904775036692</v>
      </c>
      <c r="H154" s="3">
        <f t="shared" ca="1" si="105"/>
        <v>888.23608380279586</v>
      </c>
      <c r="I154" s="3">
        <f t="shared" ca="1" si="105"/>
        <v>888.22774542132095</v>
      </c>
      <c r="J154" s="3">
        <f t="shared" ca="1" si="105"/>
        <v>887.55524166801695</v>
      </c>
      <c r="K154" s="3">
        <f t="shared" ca="1" si="105"/>
        <v>889.04154782413514</v>
      </c>
      <c r="L154" s="3">
        <f t="shared" ca="1" si="105"/>
        <v>888.63533875822725</v>
      </c>
      <c r="M154" s="128"/>
      <c r="N154" s="128"/>
      <c r="O154" s="420"/>
    </row>
    <row r="155" spans="1:24" x14ac:dyDescent="0.2">
      <c r="A155" t="s">
        <v>632</v>
      </c>
      <c r="F155" s="3">
        <f t="shared" ref="F155:L155" ca="1" si="106">F62*F137+IF(F62=1,8,IF(F62=2,10,IF(F62=4,20)))+2*F71</f>
        <v>262.43752447452903</v>
      </c>
      <c r="G155" s="3">
        <f t="shared" ca="1" si="106"/>
        <v>300.70834469543388</v>
      </c>
      <c r="H155" s="3">
        <f t="shared" ca="1" si="106"/>
        <v>338.40972476110994</v>
      </c>
      <c r="I155" s="3">
        <f t="shared" ca="1" si="106"/>
        <v>369.86675103911313</v>
      </c>
      <c r="J155" s="3">
        <f t="shared" ca="1" si="106"/>
        <v>398.30928121269551</v>
      </c>
      <c r="K155" s="3">
        <f t="shared" ca="1" si="106"/>
        <v>426.4676815262215</v>
      </c>
      <c r="L155" s="3">
        <f t="shared" ca="1" si="106"/>
        <v>450.81829819692587</v>
      </c>
      <c r="M155" s="128"/>
      <c r="N155" s="128"/>
      <c r="O155" s="420"/>
    </row>
    <row r="156" spans="1:24" x14ac:dyDescent="0.2">
      <c r="A156" t="s">
        <v>633</v>
      </c>
      <c r="F156" s="3">
        <f t="shared" ref="F156:L156" ca="1" si="107">F139+2*F152+2*F71</f>
        <v>107.06619655940007</v>
      </c>
      <c r="G156" s="3">
        <f t="shared" ca="1" si="107"/>
        <v>119.81990856673508</v>
      </c>
      <c r="H156" s="3">
        <f t="shared" ca="1" si="107"/>
        <v>133.71592507447349</v>
      </c>
      <c r="I156" s="3">
        <f t="shared" ca="1" si="107"/>
        <v>144.18492373752468</v>
      </c>
      <c r="J156" s="3">
        <f t="shared" ca="1" si="107"/>
        <v>152.32075962211084</v>
      </c>
      <c r="K156" s="3">
        <f t="shared" ca="1" si="107"/>
        <v>162.01165882476243</v>
      </c>
      <c r="L156" s="3">
        <f t="shared" ca="1" si="107"/>
        <v>169.31729279727497</v>
      </c>
      <c r="M156" s="128"/>
      <c r="N156" s="128"/>
      <c r="O156" s="420"/>
    </row>
    <row r="157" spans="1:24" x14ac:dyDescent="0.2">
      <c r="A157" t="s">
        <v>713</v>
      </c>
      <c r="F157" s="386">
        <v>50</v>
      </c>
      <c r="G157" s="386">
        <v>50</v>
      </c>
      <c r="H157" s="386">
        <v>50</v>
      </c>
      <c r="I157" s="386">
        <v>50</v>
      </c>
      <c r="J157" s="386">
        <v>50</v>
      </c>
      <c r="K157" s="386">
        <v>50</v>
      </c>
      <c r="L157" s="386">
        <v>50</v>
      </c>
      <c r="M157" s="128"/>
      <c r="N157" s="128"/>
      <c r="O157" s="420"/>
    </row>
    <row r="158" spans="1:24" x14ac:dyDescent="0.2">
      <c r="A158" t="s">
        <v>629</v>
      </c>
      <c r="F158" s="3">
        <f>IF(Thermal!F66="CA",2*F71+Thermal!F160,0)</f>
        <v>0</v>
      </c>
      <c r="G158" s="3">
        <f>IF(Thermal!G66="CA",2*G71+Thermal!G160,0)</f>
        <v>0</v>
      </c>
      <c r="H158" s="3">
        <f>IF(Thermal!H66="CA",2*H71+Thermal!H160,0)</f>
        <v>0</v>
      </c>
      <c r="I158" s="3">
        <f>IF(Thermal!I66="CA",2*I71+Thermal!I160,0)</f>
        <v>0</v>
      </c>
      <c r="J158" s="3">
        <f>IF(Thermal!J66="CA",2*J71+Thermal!J160,0)</f>
        <v>0</v>
      </c>
      <c r="K158" s="3">
        <f>IF(Thermal!K66="CA",2*K71+Thermal!K160,0)</f>
        <v>0</v>
      </c>
      <c r="L158" s="3">
        <f>IF(Thermal!L66="CA",2*L71+Thermal!L160,0)</f>
        <v>0</v>
      </c>
      <c r="M158" s="128"/>
      <c r="N158" s="128"/>
      <c r="O158" s="418"/>
    </row>
    <row r="159" spans="1:24" x14ac:dyDescent="0.2">
      <c r="A159" t="s">
        <v>630</v>
      </c>
      <c r="D159" s="2"/>
      <c r="F159" s="5">
        <f t="shared" ref="F159:L159" ca="1" si="108">F154*F157*F158*2/1000000</f>
        <v>0</v>
      </c>
      <c r="G159" s="5">
        <f t="shared" ca="1" si="108"/>
        <v>0</v>
      </c>
      <c r="H159" s="5">
        <f t="shared" ca="1" si="108"/>
        <v>0</v>
      </c>
      <c r="I159" s="5">
        <f t="shared" ca="1" si="108"/>
        <v>0</v>
      </c>
      <c r="J159" s="5">
        <f t="shared" ca="1" si="108"/>
        <v>0</v>
      </c>
      <c r="K159" s="5">
        <f t="shared" ca="1" si="108"/>
        <v>0</v>
      </c>
      <c r="L159" s="5">
        <f t="shared" ca="1" si="108"/>
        <v>0</v>
      </c>
      <c r="M159" s="126"/>
      <c r="N159" s="126"/>
      <c r="O159" s="418"/>
    </row>
    <row r="160" spans="1:24" x14ac:dyDescent="0.2">
      <c r="A160" t="s">
        <v>769</v>
      </c>
      <c r="F160" s="126">
        <f t="shared" ref="F160:L160" si="109">IF(OR(F53="PHEV",F53="EV"),4,IF(OR(F53="HEV-HP",F53="microHEV"),2))*IF(F65=2,1.5,IF(F65=3,2,1))</f>
        <v>4</v>
      </c>
      <c r="G160" s="126">
        <f t="shared" si="109"/>
        <v>4</v>
      </c>
      <c r="H160" s="126">
        <f t="shared" si="109"/>
        <v>4</v>
      </c>
      <c r="I160" s="126">
        <f t="shared" si="109"/>
        <v>4</v>
      </c>
      <c r="J160" s="126">
        <f t="shared" si="109"/>
        <v>4</v>
      </c>
      <c r="K160" s="126">
        <f t="shared" si="109"/>
        <v>4</v>
      </c>
      <c r="L160" s="126">
        <f t="shared" si="109"/>
        <v>4</v>
      </c>
      <c r="M160" s="126"/>
      <c r="N160" s="126"/>
      <c r="O160" s="418"/>
    </row>
    <row r="161" spans="1:23" x14ac:dyDescent="0.2">
      <c r="A161" t="s">
        <v>771</v>
      </c>
      <c r="F161" s="5">
        <f t="shared" ref="F161:L161" ca="1" si="110">F154*F155*F156/1000000+F159+F160</f>
        <v>28.754688908703073</v>
      </c>
      <c r="G161" s="5">
        <f t="shared" ca="1" si="110"/>
        <v>35.931942973629546</v>
      </c>
      <c r="H161" s="5">
        <f t="shared" ca="1" si="110"/>
        <v>44.193366201478781</v>
      </c>
      <c r="I161" s="5">
        <f t="shared" ca="1" si="110"/>
        <v>51.368483334197883</v>
      </c>
      <c r="J161" s="5">
        <f t="shared" ca="1" si="110"/>
        <v>57.848661952144148</v>
      </c>
      <c r="K161" s="5">
        <f t="shared" ca="1" si="110"/>
        <v>65.426313418446838</v>
      </c>
      <c r="L161" s="5">
        <f t="shared" ca="1" si="110"/>
        <v>71.830720664056798</v>
      </c>
      <c r="M161" s="126"/>
      <c r="N161" s="126"/>
      <c r="O161" s="420"/>
    </row>
    <row r="162" spans="1:23" x14ac:dyDescent="0.2">
      <c r="A162" s="253" t="s">
        <v>787</v>
      </c>
      <c r="F162" s="3">
        <f t="shared" ref="F162:L162" ca="1" si="111">(5/F124*F149*F125)*1.2</f>
        <v>34.026492971374296</v>
      </c>
      <c r="G162" s="3">
        <f t="shared" ca="1" si="111"/>
        <v>32.269585908528484</v>
      </c>
      <c r="H162" s="3">
        <f t="shared" ca="1" si="111"/>
        <v>30.711923588563998</v>
      </c>
      <c r="I162" s="3">
        <f t="shared" ca="1" si="111"/>
        <v>29.918421365128996</v>
      </c>
      <c r="J162" s="3">
        <f t="shared" ca="1" si="111"/>
        <v>29.434799314657383</v>
      </c>
      <c r="K162" s="3">
        <f t="shared" ca="1" si="111"/>
        <v>29.108502248580439</v>
      </c>
      <c r="L162" s="3">
        <f t="shared" ca="1" si="111"/>
        <v>28.8732622035239</v>
      </c>
      <c r="M162" s="128"/>
      <c r="N162" s="128"/>
      <c r="O162" s="420"/>
    </row>
    <row r="163" spans="1:23" x14ac:dyDescent="0.2">
      <c r="A163" s="253" t="s">
        <v>788</v>
      </c>
      <c r="F163" s="3">
        <f t="shared" ref="F163:L163" ca="1" si="112">2*F153*(F155-2*F71)*(F156-2*F71)/1000*7.8</f>
        <v>463.46269963822903</v>
      </c>
      <c r="G163" s="3">
        <f t="shared" ca="1" si="112"/>
        <v>620.43153794783666</v>
      </c>
      <c r="H163" s="3">
        <f t="shared" ca="1" si="112"/>
        <v>787.44515861476771</v>
      </c>
      <c r="I163" s="3">
        <f t="shared" ca="1" si="112"/>
        <v>950.9728584898146</v>
      </c>
      <c r="J163" s="3">
        <f t="shared" ca="1" si="112"/>
        <v>1100.5111544813046</v>
      </c>
      <c r="K163" s="3">
        <f t="shared" ca="1" si="112"/>
        <v>1249.5439707516343</v>
      </c>
      <c r="L163" s="3">
        <f t="shared" ca="1" si="112"/>
        <v>1398.1859715643677</v>
      </c>
      <c r="M163" s="128"/>
      <c r="N163" s="128"/>
      <c r="O163" s="420"/>
    </row>
    <row r="164" spans="1:23" x14ac:dyDescent="0.2">
      <c r="A164" s="253" t="s">
        <v>789</v>
      </c>
      <c r="D164" s="2"/>
      <c r="F164" s="3">
        <f t="shared" ref="F164:L164" ca="1" si="113">IF(AND(F62=1,F61&gt;1),((F154-2*F71)/10)^2*F149/600000/F69*8.92,0)</f>
        <v>743.2000912644869</v>
      </c>
      <c r="G164" s="3">
        <f t="shared" ca="1" si="113"/>
        <v>713.45894930864404</v>
      </c>
      <c r="H164" s="3">
        <f t="shared" ca="1" si="113"/>
        <v>679.01540956105691</v>
      </c>
      <c r="I164" s="3">
        <f t="shared" ca="1" si="113"/>
        <v>661.45893337566599</v>
      </c>
      <c r="J164" s="3">
        <f t="shared" ca="1" si="113"/>
        <v>649.75190486197209</v>
      </c>
      <c r="K164" s="3">
        <f t="shared" ca="1" si="113"/>
        <v>641.78313435576615</v>
      </c>
      <c r="L164" s="3">
        <f t="shared" ca="1" si="113"/>
        <v>635.99606493488864</v>
      </c>
      <c r="M164" s="128"/>
      <c r="N164" s="128"/>
      <c r="O164" s="434"/>
    </row>
    <row r="165" spans="1:23" x14ac:dyDescent="0.2">
      <c r="A165" t="s">
        <v>331</v>
      </c>
      <c r="D165" s="2"/>
      <c r="F165" s="180">
        <f t="shared" ref="F165:L165" ca="1" si="114">(F63-1)*2*(3/F149*F125)</f>
        <v>4.7186761249557929E-5</v>
      </c>
      <c r="G165" s="180">
        <f t="shared" ca="1" si="114"/>
        <v>4.9755829050649773E-5</v>
      </c>
      <c r="H165" s="180">
        <f t="shared" ca="1" si="114"/>
        <v>5.2279369456293743E-5</v>
      </c>
      <c r="I165" s="180">
        <f t="shared" ca="1" si="114"/>
        <v>5.3665933118763581E-5</v>
      </c>
      <c r="J165" s="180">
        <f t="shared" ca="1" si="114"/>
        <v>5.4547679528444207E-5</v>
      </c>
      <c r="K165" s="180">
        <f t="shared" ca="1" si="114"/>
        <v>5.5159141692984282E-5</v>
      </c>
      <c r="L165" s="180">
        <f t="shared" ca="1" si="114"/>
        <v>5.5608541517835185E-5</v>
      </c>
      <c r="M165" s="601"/>
      <c r="N165" s="601"/>
      <c r="O165" s="434"/>
    </row>
    <row r="166" spans="1:23" x14ac:dyDescent="0.2">
      <c r="A166" t="s">
        <v>703</v>
      </c>
      <c r="B166" s="400"/>
      <c r="C166" s="400"/>
      <c r="D166" s="233"/>
      <c r="E166" s="400"/>
      <c r="F166" s="180">
        <f t="shared" ref="F166:L166" ca="1" si="115">2*(3/F149*F125)</f>
        <v>1.572892041651931E-5</v>
      </c>
      <c r="G166" s="180">
        <f t="shared" ca="1" si="115"/>
        <v>1.658527635021659E-5</v>
      </c>
      <c r="H166" s="180">
        <f t="shared" ca="1" si="115"/>
        <v>1.7426456485431248E-5</v>
      </c>
      <c r="I166" s="180">
        <f t="shared" ca="1" si="115"/>
        <v>1.7888644372921194E-5</v>
      </c>
      <c r="J166" s="180">
        <f t="shared" ca="1" si="115"/>
        <v>1.8182559842814736E-5</v>
      </c>
      <c r="K166" s="180">
        <f t="shared" ca="1" si="115"/>
        <v>1.8386380564328094E-5</v>
      </c>
      <c r="L166" s="180">
        <f t="shared" ca="1" si="115"/>
        <v>1.853618050594506E-5</v>
      </c>
      <c r="M166" s="601"/>
      <c r="N166" s="601"/>
      <c r="O166" s="368"/>
    </row>
    <row r="167" spans="1:23" x14ac:dyDescent="0.2">
      <c r="A167" s="400" t="s">
        <v>444</v>
      </c>
      <c r="B167" s="400"/>
      <c r="C167" s="400"/>
      <c r="D167" s="233"/>
      <c r="E167" s="400"/>
      <c r="F167" s="256">
        <f>IF(F209=0,1,Thermal!F190/1000)</f>
        <v>1</v>
      </c>
      <c r="G167" s="256">
        <f>IF(G209=0,1,Thermal!G190/1000)</f>
        <v>1</v>
      </c>
      <c r="H167" s="256">
        <f>IF(H209=0,1,Thermal!H190/1000)</f>
        <v>1</v>
      </c>
      <c r="I167" s="256">
        <f>IF(I209=0,1,Thermal!I190/1000)</f>
        <v>1</v>
      </c>
      <c r="J167" s="256">
        <f>IF(J209=0,1,Thermal!J190/1000)</f>
        <v>1</v>
      </c>
      <c r="K167" s="256">
        <f>IF(K209=0,1,Thermal!K190/1000)</f>
        <v>1</v>
      </c>
      <c r="L167" s="256">
        <f>IF(L209=0,1,Thermal!L190/1000)</f>
        <v>1</v>
      </c>
      <c r="M167" s="265"/>
      <c r="N167" s="265"/>
      <c r="O167" s="113"/>
    </row>
    <row r="168" spans="1:23" s="6" customFormat="1" x14ac:dyDescent="0.2">
      <c r="A168" s="400" t="s">
        <v>844</v>
      </c>
      <c r="B168" s="400"/>
      <c r="C168" s="400"/>
      <c r="D168" s="400"/>
      <c r="E168" s="400"/>
      <c r="F168" s="284">
        <f t="shared" ref="F168:L168" si="116">F167*0.2</f>
        <v>0.2</v>
      </c>
      <c r="G168" s="284">
        <f t="shared" si="116"/>
        <v>0.2</v>
      </c>
      <c r="H168" s="284">
        <f t="shared" si="116"/>
        <v>0.2</v>
      </c>
      <c r="I168" s="284">
        <f t="shared" si="116"/>
        <v>0.2</v>
      </c>
      <c r="J168" s="284">
        <f t="shared" si="116"/>
        <v>0.2</v>
      </c>
      <c r="K168" s="284">
        <f t="shared" si="116"/>
        <v>0.2</v>
      </c>
      <c r="L168" s="284">
        <f t="shared" si="116"/>
        <v>0.2</v>
      </c>
      <c r="M168" s="573"/>
      <c r="N168" s="573"/>
      <c r="O168" s="113"/>
    </row>
    <row r="169" spans="1:23" s="6" customFormat="1" x14ac:dyDescent="0.2">
      <c r="A169" s="400" t="s">
        <v>790</v>
      </c>
      <c r="B169" s="400"/>
      <c r="C169" s="400"/>
      <c r="D169" s="400"/>
      <c r="E169" s="400"/>
      <c r="F169" s="284">
        <f ca="1">IF(F54="EG-W",Thermal!F90,0)</f>
        <v>3.3963305434204933</v>
      </c>
      <c r="G169" s="284">
        <f ca="1">IF(G54="EG-W",Thermal!G90,0)</f>
        <v>3.9925987736131949</v>
      </c>
      <c r="H169" s="284">
        <f ca="1">IF(H54="EG-W",Thermal!H90,0)</f>
        <v>4.5364615255744152</v>
      </c>
      <c r="I169" s="284">
        <f ca="1">IF(I54="EG-W",Thermal!I90,0)</f>
        <v>5.0168556928293633</v>
      </c>
      <c r="J169" s="284">
        <f ca="1">IF(J54="EG-W",Thermal!J90,0)</f>
        <v>4.9738287109570214</v>
      </c>
      <c r="K169" s="284">
        <f ca="1">IF(K54="EG-W",Thermal!K90,0)</f>
        <v>4.9487618737809074</v>
      </c>
      <c r="L169" s="284">
        <f ca="1">IF(L54="EG-W",Thermal!L90,0)</f>
        <v>4.9382122560321839</v>
      </c>
      <c r="M169" s="573"/>
      <c r="N169" s="573"/>
      <c r="O169" s="113"/>
    </row>
    <row r="170" spans="1:23" s="6" customFormat="1" ht="14.25" x14ac:dyDescent="0.2">
      <c r="A170" s="400" t="s">
        <v>791</v>
      </c>
      <c r="B170" s="400"/>
      <c r="C170" s="400"/>
      <c r="D170" s="400"/>
      <c r="E170" s="400"/>
      <c r="F170" s="284">
        <f t="shared" ref="F170:L170" ca="1" si="117">F70/10*0.032+(F71-F70)/10*2.7</f>
        <v>0.57200000000000006</v>
      </c>
      <c r="G170" s="284">
        <f t="shared" ca="1" si="117"/>
        <v>0.57200000000000006</v>
      </c>
      <c r="H170" s="284">
        <f t="shared" ca="1" si="117"/>
        <v>0.84200000000000008</v>
      </c>
      <c r="I170" s="284">
        <f t="shared" ca="1" si="117"/>
        <v>0.84200000000000008</v>
      </c>
      <c r="J170" s="284">
        <f t="shared" ca="1" si="117"/>
        <v>0.84200000000000008</v>
      </c>
      <c r="K170" s="284">
        <f t="shared" ca="1" si="117"/>
        <v>1.1120000000000001</v>
      </c>
      <c r="L170" s="284">
        <f t="shared" ca="1" si="117"/>
        <v>1.1120000000000001</v>
      </c>
      <c r="M170" s="573"/>
      <c r="N170" s="573"/>
      <c r="O170" s="113"/>
    </row>
    <row r="171" spans="1:23" s="6" customFormat="1" x14ac:dyDescent="0.2">
      <c r="A171" s="400" t="s">
        <v>792</v>
      </c>
      <c r="B171" s="400"/>
      <c r="C171" s="400"/>
      <c r="D171" s="400"/>
      <c r="E171" s="400"/>
      <c r="F171" s="284">
        <f>IF(Thermal!F66="CA",F154*F157*4*F170/100/1000,0)</f>
        <v>0</v>
      </c>
      <c r="G171" s="284">
        <f>IF(Thermal!G66="CA",G154*G157*4*G170/100/1000,0)</f>
        <v>0</v>
      </c>
      <c r="H171" s="284">
        <f>IF(Thermal!H66="CA",H154*H157*4*H170/100/1000,0)</f>
        <v>0</v>
      </c>
      <c r="I171" s="284">
        <f>IF(Thermal!I66="CA",I154*I157*4*I170/100/1000,0)</f>
        <v>0</v>
      </c>
      <c r="J171" s="284">
        <f>IF(Thermal!J66="CA",J154*J157*4*J170/100/1000,0)</f>
        <v>0</v>
      </c>
      <c r="K171" s="284">
        <f>IF(Thermal!K66="CA",K154*K157*4*K170/100/1000,0)</f>
        <v>0</v>
      </c>
      <c r="L171" s="284">
        <f>IF(Thermal!L66="CA",L154*L157*4*L170/100/1000,0)</f>
        <v>0</v>
      </c>
      <c r="M171" s="573"/>
      <c r="N171" s="573"/>
      <c r="O171" s="368"/>
    </row>
    <row r="172" spans="1:23" s="6" customFormat="1" x14ac:dyDescent="0.2">
      <c r="A172" s="400" t="s">
        <v>866</v>
      </c>
      <c r="B172" s="400"/>
      <c r="C172" s="400"/>
      <c r="D172" s="233"/>
      <c r="E172" s="400"/>
      <c r="F172" s="265">
        <f t="shared" ref="F172:L172" ca="1" si="118">(2*(F154-F71)*(F155-F71)+2*(F154-F71)*(F156-F71)+2*(F155-F71)*(F156-F71))/100*F170/1000+(F63+1)*F162/1000+F163/1000+F164/1000+F168+F171</f>
        <v>5.2839633984190675</v>
      </c>
      <c r="G172" s="265">
        <f t="shared" ca="1" si="118"/>
        <v>6.0171444608610152</v>
      </c>
      <c r="H172" s="265">
        <f t="shared" ca="1" si="118"/>
        <v>9.0569664458831216</v>
      </c>
      <c r="I172" s="265">
        <f t="shared" ca="1" si="118"/>
        <v>9.9437107701912577</v>
      </c>
      <c r="J172" s="265">
        <f t="shared" ca="1" si="118"/>
        <v>10.727929206735105</v>
      </c>
      <c r="K172" s="265">
        <f t="shared" ca="1" si="118"/>
        <v>14.502068048498788</v>
      </c>
      <c r="L172" s="265">
        <f t="shared" ca="1" si="118"/>
        <v>15.4055871755006</v>
      </c>
      <c r="M172" s="265"/>
      <c r="N172" s="265"/>
      <c r="O172" s="368"/>
    </row>
    <row r="173" spans="1:23" s="6" customFormat="1" x14ac:dyDescent="0.2">
      <c r="A173" s="400" t="s">
        <v>770</v>
      </c>
      <c r="B173" s="400"/>
      <c r="C173" s="400"/>
      <c r="D173" s="233"/>
      <c r="E173" s="400"/>
      <c r="F173" s="265">
        <f t="shared" ref="F173:L173" si="119">F160</f>
        <v>4</v>
      </c>
      <c r="G173" s="265">
        <f t="shared" si="119"/>
        <v>4</v>
      </c>
      <c r="H173" s="265">
        <f t="shared" si="119"/>
        <v>4</v>
      </c>
      <c r="I173" s="265">
        <f t="shared" si="119"/>
        <v>4</v>
      </c>
      <c r="J173" s="265">
        <f t="shared" si="119"/>
        <v>4</v>
      </c>
      <c r="K173" s="265">
        <f t="shared" si="119"/>
        <v>4</v>
      </c>
      <c r="L173" s="265">
        <f t="shared" si="119"/>
        <v>4</v>
      </c>
      <c r="M173" s="265"/>
      <c r="N173" s="265"/>
      <c r="O173" s="368"/>
    </row>
    <row r="174" spans="1:23" s="6" customFormat="1" x14ac:dyDescent="0.2">
      <c r="A174" s="400" t="s">
        <v>793</v>
      </c>
      <c r="B174" s="253"/>
      <c r="C174" s="253"/>
      <c r="D174" s="233"/>
      <c r="E174" s="253"/>
      <c r="F174" s="265">
        <f t="shared" ref="F174:L174" ca="1" si="120">F63*F141+F169+F172+F173</f>
        <v>43.086590602884272</v>
      </c>
      <c r="G174" s="265">
        <f t="shared" ca="1" si="120"/>
        <v>56.366191888705387</v>
      </c>
      <c r="H174" s="265">
        <f t="shared" ca="1" si="120"/>
        <v>72.941978453972823</v>
      </c>
      <c r="I174" s="265">
        <f t="shared" ca="1" si="120"/>
        <v>87.218288780329729</v>
      </c>
      <c r="J174" s="265">
        <f t="shared" ca="1" si="120"/>
        <v>100.80953284560587</v>
      </c>
      <c r="K174" s="265">
        <f t="shared" ca="1" si="120"/>
        <v>117.36404968785823</v>
      </c>
      <c r="L174" s="265">
        <f t="shared" ca="1" si="120"/>
        <v>131.02743258072223</v>
      </c>
      <c r="M174" s="265"/>
      <c r="N174" s="265"/>
      <c r="O174" s="418"/>
    </row>
    <row r="175" spans="1:23" s="253" customFormat="1" x14ac:dyDescent="0.2">
      <c r="A175" s="253" t="s">
        <v>773</v>
      </c>
      <c r="B175"/>
      <c r="C175"/>
      <c r="D175" s="257"/>
      <c r="E175"/>
      <c r="F175" s="126">
        <f t="shared" ref="F175:L175" ca="1" si="121">F161*F65</f>
        <v>28.754688908703073</v>
      </c>
      <c r="G175" s="126">
        <f t="shared" ca="1" si="121"/>
        <v>35.931942973629546</v>
      </c>
      <c r="H175" s="126">
        <f t="shared" ca="1" si="121"/>
        <v>44.193366201478781</v>
      </c>
      <c r="I175" s="126">
        <f t="shared" ca="1" si="121"/>
        <v>51.368483334197883</v>
      </c>
      <c r="J175" s="126">
        <f t="shared" ca="1" si="121"/>
        <v>57.848661952144148</v>
      </c>
      <c r="K175" s="126">
        <f t="shared" ca="1" si="121"/>
        <v>65.426313418446838</v>
      </c>
      <c r="L175" s="126">
        <f t="shared" ca="1" si="121"/>
        <v>71.830720664056798</v>
      </c>
      <c r="M175" s="126"/>
      <c r="N175" s="126"/>
      <c r="O175" s="418"/>
      <c r="S175" s="400"/>
      <c r="T175" s="400"/>
      <c r="W175" s="400"/>
    </row>
    <row r="176" spans="1:23" x14ac:dyDescent="0.2">
      <c r="A176" s="253" t="s">
        <v>794</v>
      </c>
      <c r="D176" s="2"/>
      <c r="F176" s="126">
        <f t="shared" ref="F176:L176" ca="1" si="122">F174*F65</f>
        <v>43.086590602884272</v>
      </c>
      <c r="G176" s="126">
        <f t="shared" ca="1" si="122"/>
        <v>56.366191888705387</v>
      </c>
      <c r="H176" s="126">
        <f t="shared" ca="1" si="122"/>
        <v>72.941978453972823</v>
      </c>
      <c r="I176" s="126">
        <f t="shared" ca="1" si="122"/>
        <v>87.218288780329729</v>
      </c>
      <c r="J176" s="126">
        <f t="shared" ca="1" si="122"/>
        <v>100.80953284560587</v>
      </c>
      <c r="K176" s="126">
        <f t="shared" ca="1" si="122"/>
        <v>117.36404968785823</v>
      </c>
      <c r="L176" s="126">
        <f t="shared" ca="1" si="122"/>
        <v>131.02743258072223</v>
      </c>
      <c r="M176" s="126"/>
      <c r="N176" s="126"/>
      <c r="O176" s="419"/>
    </row>
    <row r="177" spans="1:31" ht="15" x14ac:dyDescent="0.25">
      <c r="A177" s="259" t="s">
        <v>932</v>
      </c>
      <c r="D177" s="257"/>
      <c r="F177" s="126"/>
      <c r="G177" s="126"/>
      <c r="H177" s="126"/>
      <c r="I177" s="126"/>
      <c r="J177" s="126"/>
      <c r="K177" s="126"/>
      <c r="L177" s="126"/>
      <c r="M177" s="126"/>
      <c r="N177" s="126"/>
      <c r="O177" s="419"/>
    </row>
    <row r="178" spans="1:31" x14ac:dyDescent="0.2">
      <c r="A178" s="400" t="s">
        <v>934</v>
      </c>
      <c r="D178" s="257"/>
      <c r="F178" s="160">
        <f ca="1">Chem!$E64*F6*F67/1000/F144</f>
        <v>0.10394305265398406</v>
      </c>
      <c r="G178" s="160">
        <f ca="1">Chem!$E64*G6*G67/1000/G144</f>
        <v>0.10409441757264383</v>
      </c>
      <c r="H178" s="160">
        <f ca="1">Chem!$E64*H6*H67/1000/H144</f>
        <v>0.1041026606387858</v>
      </c>
      <c r="I178" s="160">
        <f ca="1">Chem!$E64*I6*I67/1000/I144</f>
        <v>0.1041107860284101</v>
      </c>
      <c r="J178" s="160">
        <f ca="1">Chem!$E64*J6*J67/1000/J144</f>
        <v>0.10411882915914231</v>
      </c>
      <c r="K178" s="160">
        <f ca="1">Chem!$E64*K6*K67/1000/K144</f>
        <v>0.10412681065397193</v>
      </c>
      <c r="L178" s="160">
        <f ca="1">Chem!$E64*L6*L67/1000/L144</f>
        <v>0.10413474397920086</v>
      </c>
      <c r="M178" s="160"/>
      <c r="N178" s="160"/>
      <c r="O178" s="419"/>
    </row>
    <row r="179" spans="1:31" x14ac:dyDescent="0.2">
      <c r="A179" s="400" t="s">
        <v>933</v>
      </c>
      <c r="D179" s="257"/>
      <c r="F179" s="160">
        <f ca="1">Chem!$E65*F12*F67/1000/F144</f>
        <v>0</v>
      </c>
      <c r="G179" s="160">
        <f ca="1">Chem!$E65*G12*G67/1000/G144</f>
        <v>0</v>
      </c>
      <c r="H179" s="160">
        <f ca="1">Chem!$E65*H12*H67/1000/H144</f>
        <v>0</v>
      </c>
      <c r="I179" s="160">
        <f ca="1">Chem!$E65*I12*I67/1000/I144</f>
        <v>0</v>
      </c>
      <c r="J179" s="160">
        <f ca="1">Chem!$E65*J12*J67/1000/J144</f>
        <v>0</v>
      </c>
      <c r="K179" s="160">
        <f ca="1">Chem!$E65*K12*K67/1000/K144</f>
        <v>0</v>
      </c>
      <c r="L179" s="160">
        <f ca="1">Chem!$E65*L12*L67/1000/L144</f>
        <v>0</v>
      </c>
      <c r="M179" s="160"/>
      <c r="N179" s="160"/>
      <c r="O179" s="419"/>
    </row>
    <row r="180" spans="1:31" x14ac:dyDescent="0.2">
      <c r="A180" s="400" t="s">
        <v>935</v>
      </c>
      <c r="D180" s="257"/>
      <c r="F180" s="160">
        <f ca="1">Chem!$E66*F21*F67/1000/F144</f>
        <v>6.4073012252732616E-3</v>
      </c>
      <c r="G180" s="160">
        <f ca="1">Chem!$E66*G21*G67/1000/G144</f>
        <v>6.1734967287959694E-3</v>
      </c>
      <c r="H180" s="160">
        <f ca="1">Chem!$E66*H21*H67/1000/H144</f>
        <v>6.156708531560552E-3</v>
      </c>
      <c r="I180" s="160">
        <f ca="1">Chem!$E66*I21*I67/1000/I144</f>
        <v>6.1454284540717712E-3</v>
      </c>
      <c r="J180" s="160">
        <f ca="1">Chem!$E66*J21*J67/1000/J144</f>
        <v>6.1372371221470002E-3</v>
      </c>
      <c r="K180" s="160">
        <f ca="1">Chem!$E66*K21*K67/1000/K144</f>
        <v>6.1309810732330166E-3</v>
      </c>
      <c r="L180" s="160">
        <f ca="1">Chem!$E66*L21*L67/1000/L144</f>
        <v>6.1260315124206351E-3</v>
      </c>
      <c r="M180" s="160"/>
      <c r="N180" s="160"/>
      <c r="O180" s="419"/>
      <c r="P180" s="263"/>
    </row>
    <row r="181" spans="1:31" x14ac:dyDescent="0.2">
      <c r="A181" s="400" t="s">
        <v>936</v>
      </c>
      <c r="D181" s="257"/>
      <c r="F181" s="554">
        <f ca="1">SUM(F178:F180)</f>
        <v>0.11035035387925732</v>
      </c>
      <c r="G181" s="554">
        <f t="shared" ref="G181:L181" ca="1" si="123">SUM(G178:G180)</f>
        <v>0.1102679143014398</v>
      </c>
      <c r="H181" s="554">
        <f t="shared" ca="1" si="123"/>
        <v>0.11025936917034636</v>
      </c>
      <c r="I181" s="554">
        <f t="shared" ca="1" si="123"/>
        <v>0.11025621448248188</v>
      </c>
      <c r="J181" s="554">
        <f t="shared" ca="1" si="123"/>
        <v>0.11025606628128931</v>
      </c>
      <c r="K181" s="554">
        <f t="shared" ca="1" si="123"/>
        <v>0.11025779172720494</v>
      </c>
      <c r="L181" s="554">
        <f t="shared" ca="1" si="123"/>
        <v>0.1102607754916215</v>
      </c>
      <c r="M181" s="554"/>
      <c r="N181" s="554"/>
      <c r="O181" s="419"/>
    </row>
    <row r="182" spans="1:31" x14ac:dyDescent="0.2">
      <c r="A182" s="400" t="s">
        <v>941</v>
      </c>
      <c r="D182" s="257"/>
      <c r="F182" s="160">
        <f ca="1">F181*F144*F65</f>
        <v>0.44140141551702966</v>
      </c>
      <c r="G182" s="160">
        <f t="shared" ref="G182:L182" ca="1" si="124">G181*G144*G65</f>
        <v>0.66160748580863904</v>
      </c>
      <c r="H182" s="160">
        <f t="shared" ca="1" si="124"/>
        <v>0.88207495336277109</v>
      </c>
      <c r="I182" s="160">
        <f t="shared" ca="1" si="124"/>
        <v>1.1025621448248213</v>
      </c>
      <c r="J182" s="160">
        <f t="shared" ca="1" si="124"/>
        <v>1.3230727953754731</v>
      </c>
      <c r="K182" s="160">
        <f t="shared" ca="1" si="124"/>
        <v>1.5436090841808685</v>
      </c>
      <c r="L182" s="160">
        <f t="shared" ca="1" si="124"/>
        <v>1.7641724078659455</v>
      </c>
      <c r="M182" s="160"/>
      <c r="N182" s="160"/>
      <c r="O182" s="419"/>
    </row>
    <row r="183" spans="1:31" ht="15.75" x14ac:dyDescent="0.25">
      <c r="A183" s="17" t="s">
        <v>408</v>
      </c>
      <c r="D183" s="2"/>
      <c r="O183" s="420"/>
    </row>
    <row r="184" spans="1:31" x14ac:dyDescent="0.2">
      <c r="A184" s="253" t="s">
        <v>699</v>
      </c>
      <c r="D184" s="2"/>
      <c r="F184" s="128">
        <f ca="1">Thermal!F37*F65</f>
        <v>2666.2281207351502</v>
      </c>
      <c r="G184" s="128">
        <f ca="1">Thermal!G37*G65</f>
        <v>3066.5939806857423</v>
      </c>
      <c r="H184" s="128">
        <f ca="1">Thermal!H37*H65</f>
        <v>3447.971546051494</v>
      </c>
      <c r="I184" s="128">
        <f ca="1">Thermal!I37*I65</f>
        <v>3769.6879668960119</v>
      </c>
      <c r="J184" s="128">
        <f ca="1">Thermal!J37*J65</f>
        <v>3074.3392814293234</v>
      </c>
      <c r="K184" s="128">
        <f ca="1">Thermal!K37*K65</f>
        <v>2597.1296863211865</v>
      </c>
      <c r="L184" s="128">
        <f ca="1">Thermal!L37*L65</f>
        <v>2254.2107807135926</v>
      </c>
      <c r="M184" s="128"/>
      <c r="N184" s="128"/>
      <c r="O184" s="417"/>
    </row>
    <row r="185" spans="1:31" x14ac:dyDescent="0.2">
      <c r="A185" t="s">
        <v>420</v>
      </c>
      <c r="D185" s="2"/>
      <c r="F185" s="95" t="str">
        <f ca="1">IF(F53="EV","Refrig 4",IF(F54="CA","NA",IF(F184&lt;Thermal!$E195/1.5,"Refrig 1",IF(F184&lt;Thermal!$E196/1.5,"Refrig 2",IF(F184&lt;Thermal!$E197/1.5,"Refrig 3","Refrig 4")))))</f>
        <v>Refrig 4</v>
      </c>
      <c r="G185" s="95" t="str">
        <f ca="1">IF(G53="EV","Refrig 4",IF(G54="CA","NA",IF(G184&lt;Thermal!$E195/1.5,"Refrig 1",IF(G184&lt;Thermal!$E196/1.5,"Refrig 2",IF(G184&lt;Thermal!$E197/1.5,"Refrig 3","Refrig 4")))))</f>
        <v>Refrig 4</v>
      </c>
      <c r="H185" s="95" t="str">
        <f ca="1">IF(H53="EV","Refrig 4",IF(H54="CA","NA",IF(H184&lt;Thermal!$E195/1.5,"Refrig 1",IF(H184&lt;Thermal!$E196/1.5,"Refrig 2",IF(H184&lt;Thermal!$E197/1.5,"Refrig 3","Refrig 4")))))</f>
        <v>Refrig 4</v>
      </c>
      <c r="I185" s="95" t="str">
        <f ca="1">IF(I53="EV","Refrig 4",IF(I54="CA","NA",IF(I184&lt;Thermal!$E195/1.5,"Refrig 1",IF(I184&lt;Thermal!$E196/1.5,"Refrig 2",IF(I184&lt;Thermal!$E197/1.5,"Refrig 3","Refrig 4")))))</f>
        <v>Refrig 4</v>
      </c>
      <c r="J185" s="95" t="str">
        <f ca="1">IF(J53="EV","Refrig 4",IF(J54="CA","NA",IF(J184&lt;Thermal!$E195/1.5,"Refrig 1",IF(J184&lt;Thermal!$E196/1.5,"Refrig 2",IF(J184&lt;Thermal!$E197/1.5,"Refrig 3","Refrig 4")))))</f>
        <v>Refrig 4</v>
      </c>
      <c r="K185" s="95" t="str">
        <f ca="1">IF(K53="EV","Refrig 4",IF(K54="CA","NA",IF(K184&lt;Thermal!$E195/1.5,"Refrig 1",IF(K184&lt;Thermal!$E196/1.5,"Refrig 2",IF(K184&lt;Thermal!$E197/1.5,"Refrig 3","Refrig 4")))))</f>
        <v>Refrig 4</v>
      </c>
      <c r="L185" s="95" t="str">
        <f ca="1">IF(L53="EV","Refrig 4",IF(L54="CA","NA",IF(L184&lt;Thermal!$E195/1.5,"Refrig 1",IF(L184&lt;Thermal!$E196/1.5,"Refrig 2",IF(L184&lt;Thermal!$E197/1.5,"Refrig 3","Refrig 4")))))</f>
        <v>Refrig 4</v>
      </c>
      <c r="M185" s="95"/>
      <c r="N185" s="95"/>
      <c r="O185" s="372"/>
      <c r="P185" s="372"/>
    </row>
    <row r="186" spans="1:31" x14ac:dyDescent="0.2">
      <c r="A186" s="253" t="s">
        <v>783</v>
      </c>
      <c r="D186" s="2"/>
      <c r="F186" s="95"/>
      <c r="G186" s="95"/>
      <c r="H186" s="95"/>
      <c r="I186" s="95"/>
      <c r="J186" s="95"/>
      <c r="K186" s="95"/>
      <c r="L186" s="95"/>
      <c r="M186" s="95"/>
      <c r="N186" s="95"/>
      <c r="O186" s="418"/>
    </row>
    <row r="187" spans="1:31" x14ac:dyDescent="0.2">
      <c r="A187" s="253" t="s">
        <v>782</v>
      </c>
      <c r="D187" s="2"/>
      <c r="F187" s="126">
        <f ca="1">IF(F54="CA",0,IF(F185="Refrig 1",Thermal!$F195,IF(F185="Refrig 2",Thermal!$F196,IF(F185="Refrig 3",Thermal!$F197,Thermal!$F198)))*IF(F65=2,1.5,IF(F65=3,2,1)))</f>
        <v>7</v>
      </c>
      <c r="G187" s="126">
        <f ca="1">IF(G54="CA",0,IF(G185="Refrig 1",Thermal!$F195,IF(G185="Refrig 2",Thermal!$F196,IF(G185="Refrig 3",Thermal!$F197,Thermal!$F198)))*IF(G65=2,1.5,IF(G65=3,2,1)))</f>
        <v>7</v>
      </c>
      <c r="H187" s="126">
        <f ca="1">IF(H54="CA",0,IF(H185="Refrig 1",Thermal!$F195,IF(H185="Refrig 2",Thermal!$F196,IF(H185="Refrig 3",Thermal!$F197,Thermal!$F198)))*IF(H65=2,1.5,IF(H65=3,2,1)))</f>
        <v>7</v>
      </c>
      <c r="I187" s="126">
        <f ca="1">IF(I54="CA",0,IF(I185="Refrig 1",Thermal!$F195,IF(I185="Refrig 2",Thermal!$F196,IF(I185="Refrig 3",Thermal!$F197,Thermal!$F198)))*IF(I65=2,1.5,IF(I65=3,2,1)))</f>
        <v>7</v>
      </c>
      <c r="J187" s="126">
        <f ca="1">IF(J54="CA",0,IF(J185="Refrig 1",Thermal!$F195,IF(J185="Refrig 2",Thermal!$F196,IF(J185="Refrig 3",Thermal!$F197,Thermal!$F198)))*IF(J65=2,1.5,IF(J65=3,2,1)))</f>
        <v>7</v>
      </c>
      <c r="K187" s="126">
        <f ca="1">IF(K54="CA",0,IF(K185="Refrig 1",Thermal!$F195,IF(K185="Refrig 2",Thermal!$F196,IF(K185="Refrig 3",Thermal!$F197,Thermal!$F198)))*IF(K65=2,1.5,IF(K65=3,2,1)))</f>
        <v>7</v>
      </c>
      <c r="L187" s="126">
        <f ca="1">IF(L54="CA",0,IF(L185="Refrig 1",Thermal!$F195,IF(L185="Refrig 2",Thermal!$F196,IF(L185="Refrig 3",Thermal!$F197,Thermal!$F198)))*IF(L65=2,1.5,IF(L65=3,2,1)))</f>
        <v>7</v>
      </c>
      <c r="M187" s="126"/>
      <c r="N187" s="126"/>
      <c r="O187" s="418"/>
    </row>
    <row r="188" spans="1:31" x14ac:dyDescent="0.2">
      <c r="A188" t="s">
        <v>409</v>
      </c>
      <c r="D188" s="2"/>
      <c r="E188" s="99"/>
      <c r="F188" s="126">
        <f ca="1">IF(F54="CA",0,IF(F185="Refrig 1",Thermal!$G195,IF(F185="Refrig 2",Thermal!$G196,IF(F185="Refrig 3",Thermal!$G197,Thermal!$G198)))*IF(F65=2,1.5,IF(F65=3,2,1)))</f>
        <v>2.8</v>
      </c>
      <c r="G188" s="126">
        <f ca="1">IF(G54="CA",0,IF(G185="Refrig 1",Thermal!$G195,IF(G185="Refrig 2",Thermal!$G196,IF(G185="Refrig 3",Thermal!$G197,Thermal!$G198)))*IF(G65=2,1.5,IF(G65=3,2,1)))</f>
        <v>2.8</v>
      </c>
      <c r="H188" s="126">
        <f ca="1">IF(H54="CA",0,IF(H185="Refrig 1",Thermal!$G195,IF(H185="Refrig 2",Thermal!$G196,IF(H185="Refrig 3",Thermal!$G197,Thermal!$G198)))*IF(H65=2,1.5,IF(H65=3,2,1)))</f>
        <v>2.8</v>
      </c>
      <c r="I188" s="126">
        <f ca="1">IF(I54="CA",0,IF(I185="Refrig 1",Thermal!$G195,IF(I185="Refrig 2",Thermal!$G196,IF(I185="Refrig 3",Thermal!$G197,Thermal!$G198)))*IF(I65=2,1.5,IF(I65=3,2,1)))</f>
        <v>2.8</v>
      </c>
      <c r="J188" s="126">
        <f ca="1">IF(J54="CA",0,IF(J185="Refrig 1",Thermal!$G195,IF(J185="Refrig 2",Thermal!$G196,IF(J185="Refrig 3",Thermal!$G197,Thermal!$G198)))*IF(J65=2,1.5,IF(J65=3,2,1)))</f>
        <v>2.8</v>
      </c>
      <c r="K188" s="126">
        <f ca="1">IF(K54="CA",0,IF(K185="Refrig 1",Thermal!$G195,IF(K185="Refrig 2",Thermal!$G196,IF(K185="Refrig 3",Thermal!$G197,Thermal!$G198)))*IF(K65=2,1.5,IF(K65=3,2,1)))</f>
        <v>2.8</v>
      </c>
      <c r="L188" s="126">
        <f ca="1">IF(L54="CA",0,IF(L185="Refrig 1",Thermal!$G195,IF(L185="Refrig 2",Thermal!$G196,IF(L185="Refrig 3",Thermal!$G197,Thermal!$G198)))*IF(L65=2,1.5,IF(L65=3,2,1)))</f>
        <v>2.8</v>
      </c>
      <c r="M188" s="126"/>
      <c r="N188" s="126"/>
      <c r="O188" s="418"/>
    </row>
    <row r="189" spans="1:31" ht="15.75" x14ac:dyDescent="0.25">
      <c r="A189" s="17" t="s">
        <v>867</v>
      </c>
      <c r="B189" s="253"/>
      <c r="C189" s="253"/>
      <c r="D189" s="233"/>
      <c r="E189" s="124"/>
      <c r="F189" s="5"/>
      <c r="G189" s="5"/>
      <c r="H189" s="5"/>
      <c r="I189" s="5"/>
      <c r="J189" s="5"/>
      <c r="K189" s="5"/>
      <c r="L189" s="5"/>
      <c r="M189" s="126"/>
      <c r="N189" s="126"/>
      <c r="O189" s="144"/>
      <c r="Q189" s="80"/>
    </row>
    <row r="190" spans="1:31" x14ac:dyDescent="0.2">
      <c r="A190" s="253" t="s">
        <v>796</v>
      </c>
      <c r="B190" s="6"/>
      <c r="C190" s="6"/>
      <c r="D190" s="8"/>
      <c r="E190" s="140"/>
      <c r="F190" s="274">
        <v>250</v>
      </c>
      <c r="G190" s="274">
        <v>250</v>
      </c>
      <c r="H190" s="274">
        <v>250</v>
      </c>
      <c r="I190" s="274">
        <v>250</v>
      </c>
      <c r="J190" s="274">
        <v>250</v>
      </c>
      <c r="K190" s="274">
        <v>250</v>
      </c>
      <c r="L190" s="274">
        <v>250</v>
      </c>
      <c r="M190" s="126"/>
      <c r="N190" s="126"/>
      <c r="O190" s="417"/>
      <c r="P190" s="126"/>
      <c r="Q190" s="274">
        <v>250</v>
      </c>
      <c r="R190" s="274">
        <v>250</v>
      </c>
      <c r="S190" s="274">
        <v>250</v>
      </c>
      <c r="T190" s="274">
        <v>250</v>
      </c>
      <c r="U190" s="274">
        <v>250</v>
      </c>
      <c r="V190" s="274">
        <v>250</v>
      </c>
      <c r="W190" s="274">
        <v>250</v>
      </c>
      <c r="X190" s="126"/>
      <c r="Y190" s="274">
        <v>200</v>
      </c>
      <c r="Z190" s="274">
        <v>250</v>
      </c>
      <c r="AA190" s="274">
        <v>250</v>
      </c>
      <c r="AB190" s="274">
        <v>350</v>
      </c>
      <c r="AC190" s="274">
        <v>250</v>
      </c>
      <c r="AD190" s="274">
        <v>250</v>
      </c>
      <c r="AE190" s="274">
        <v>250</v>
      </c>
    </row>
    <row r="191" spans="1:31" x14ac:dyDescent="0.2">
      <c r="A191" s="253" t="s">
        <v>651</v>
      </c>
      <c r="B191" s="6"/>
      <c r="C191" s="6"/>
      <c r="D191" s="8"/>
      <c r="E191" s="6"/>
      <c r="F191" s="319">
        <f t="shared" ref="F191:L191" si="125">(F190/F65)</f>
        <v>250</v>
      </c>
      <c r="G191" s="319">
        <f t="shared" si="125"/>
        <v>250</v>
      </c>
      <c r="H191" s="319">
        <f t="shared" si="125"/>
        <v>250</v>
      </c>
      <c r="I191" s="319">
        <f t="shared" si="125"/>
        <v>250</v>
      </c>
      <c r="J191" s="319">
        <f t="shared" si="125"/>
        <v>250</v>
      </c>
      <c r="K191" s="319">
        <f t="shared" si="125"/>
        <v>250</v>
      </c>
      <c r="L191" s="319">
        <f t="shared" si="125"/>
        <v>250</v>
      </c>
      <c r="M191" s="319"/>
      <c r="N191" s="319"/>
      <c r="O191" s="435"/>
      <c r="P191" s="319"/>
      <c r="Q191" s="319">
        <f t="shared" ref="Q191:W191" si="126">(Q190/Q65)</f>
        <v>250</v>
      </c>
      <c r="R191" s="319">
        <f t="shared" si="126"/>
        <v>250</v>
      </c>
      <c r="S191" s="319">
        <f t="shared" si="126"/>
        <v>250</v>
      </c>
      <c r="T191" s="319">
        <f t="shared" si="126"/>
        <v>250</v>
      </c>
      <c r="U191" s="319">
        <f t="shared" si="126"/>
        <v>250</v>
      </c>
      <c r="V191" s="319">
        <f t="shared" si="126"/>
        <v>250</v>
      </c>
      <c r="W191" s="319">
        <f t="shared" si="126"/>
        <v>250</v>
      </c>
      <c r="X191" s="99"/>
      <c r="Y191" s="319">
        <f t="shared" ref="Y191:Z191" si="127">(Y190/Y65)</f>
        <v>200</v>
      </c>
      <c r="Z191" s="319">
        <f t="shared" si="127"/>
        <v>250</v>
      </c>
      <c r="AA191" s="319">
        <f>(AA190/AA65)</f>
        <v>250</v>
      </c>
      <c r="AB191" s="319">
        <f>(AB190/AB65)</f>
        <v>350</v>
      </c>
      <c r="AC191" s="319">
        <f t="shared" ref="AC191:AD191" si="128">(AC190/AC65)</f>
        <v>250</v>
      </c>
      <c r="AD191" s="319">
        <f t="shared" si="128"/>
        <v>250</v>
      </c>
      <c r="AE191" s="319">
        <f>(AE190/AE65)</f>
        <v>250</v>
      </c>
    </row>
    <row r="192" spans="1:31" x14ac:dyDescent="0.2">
      <c r="A192" s="6" t="s">
        <v>193</v>
      </c>
      <c r="F192" s="149">
        <f>Chem!$E59</f>
        <v>70</v>
      </c>
      <c r="G192" s="149">
        <f>Chem!$E59</f>
        <v>70</v>
      </c>
      <c r="H192" s="149">
        <f>Chem!$E59</f>
        <v>70</v>
      </c>
      <c r="I192" s="149">
        <f>Chem!$E59</f>
        <v>70</v>
      </c>
      <c r="J192" s="149">
        <f>Chem!$E59</f>
        <v>70</v>
      </c>
      <c r="K192" s="149">
        <f>Chem!$E59</f>
        <v>70</v>
      </c>
      <c r="L192" s="149">
        <f>Chem!$E59</f>
        <v>70</v>
      </c>
      <c r="M192" s="595"/>
      <c r="N192" s="595"/>
      <c r="O192" s="436"/>
      <c r="P192" s="595"/>
      <c r="Q192" s="149">
        <f>Chem!$E59</f>
        <v>70</v>
      </c>
      <c r="R192" s="149">
        <f>Chem!$E59</f>
        <v>70</v>
      </c>
      <c r="S192" s="149">
        <f>Chem!$E59</f>
        <v>70</v>
      </c>
      <c r="T192" s="149">
        <f>Chem!$E59</f>
        <v>70</v>
      </c>
      <c r="U192" s="149">
        <f>Chem!$E59</f>
        <v>70</v>
      </c>
      <c r="V192" s="149">
        <f>Chem!$E59</f>
        <v>70</v>
      </c>
      <c r="W192" s="149">
        <f>Chem!$E59</f>
        <v>70</v>
      </c>
      <c r="X192" s="99"/>
      <c r="Y192" s="149">
        <f>Chem!$E59</f>
        <v>70</v>
      </c>
      <c r="Z192" s="149">
        <f>Chem!$E59</f>
        <v>70</v>
      </c>
      <c r="AA192" s="149">
        <f>Chem!$E59</f>
        <v>70</v>
      </c>
      <c r="AB192" s="149">
        <f>Chem!$E59</f>
        <v>70</v>
      </c>
      <c r="AC192" s="149">
        <f>Chem!$E59</f>
        <v>70</v>
      </c>
      <c r="AD192" s="149">
        <f>Chem!$E59</f>
        <v>70</v>
      </c>
      <c r="AE192" s="149">
        <f>Chem!$E59</f>
        <v>70</v>
      </c>
    </row>
    <row r="193" spans="1:31" x14ac:dyDescent="0.2">
      <c r="A193" s="253" t="s">
        <v>194</v>
      </c>
      <c r="E193" s="323" t="str">
        <f ca="1">IF(OR(F194="x",G194="x",H194="x",I194="x",J194="x",K194="x",L194="x"),"Inadequate capacity if X"," ")</f>
        <v xml:space="preserve"> </v>
      </c>
      <c r="F193" s="19">
        <f t="shared" ref="F193:L193" ca="1" si="129">F144*F192/100/F191*1000</f>
        <v>11.20000000000001</v>
      </c>
      <c r="G193" s="19">
        <f t="shared" ca="1" si="129"/>
        <v>16.800000000000008</v>
      </c>
      <c r="H193" s="19">
        <f t="shared" ca="1" si="129"/>
        <v>22.400000000000006</v>
      </c>
      <c r="I193" s="19">
        <f t="shared" ca="1" si="129"/>
        <v>28.000000000000064</v>
      </c>
      <c r="J193" s="19">
        <f t="shared" ca="1" si="129"/>
        <v>33.600000000000037</v>
      </c>
      <c r="K193" s="19">
        <f t="shared" ca="1" si="129"/>
        <v>39.199999999999989</v>
      </c>
      <c r="L193" s="19">
        <f t="shared" ca="1" si="129"/>
        <v>44.80000000000004</v>
      </c>
      <c r="M193" s="95"/>
      <c r="N193" s="95"/>
      <c r="O193" s="444"/>
      <c r="P193" s="95"/>
      <c r="Q193" s="19">
        <f t="shared" ref="Q193:W193" si="130">Q144*Q192/100/Q191*1000</f>
        <v>0</v>
      </c>
      <c r="R193" s="19">
        <f t="shared" si="130"/>
        <v>0</v>
      </c>
      <c r="S193" s="19">
        <f t="shared" si="130"/>
        <v>0</v>
      </c>
      <c r="T193" s="19">
        <f t="shared" si="130"/>
        <v>0</v>
      </c>
      <c r="U193" s="19">
        <f t="shared" si="130"/>
        <v>0</v>
      </c>
      <c r="V193" s="19">
        <f t="shared" si="130"/>
        <v>0</v>
      </c>
      <c r="W193" s="19">
        <f t="shared" si="130"/>
        <v>0</v>
      </c>
      <c r="X193" s="99"/>
      <c r="Y193" s="19">
        <f t="shared" ref="Y193:Z193" si="131">Y144*Y192/100/Y191*1000</f>
        <v>0</v>
      </c>
      <c r="Z193" s="19">
        <f t="shared" si="131"/>
        <v>0</v>
      </c>
      <c r="AA193" s="19">
        <f>AA144*AA192/100/AA191*1000</f>
        <v>0</v>
      </c>
      <c r="AB193" s="19">
        <f>AB144*AB192/100/AB191*1000</f>
        <v>0</v>
      </c>
      <c r="AC193" s="19">
        <f t="shared" ref="AC193:AD193" si="132">AC144*AC192/100/AC191*1000</f>
        <v>0</v>
      </c>
      <c r="AD193" s="19">
        <f t="shared" si="132"/>
        <v>0</v>
      </c>
      <c r="AE193" s="19">
        <f>AE144*AE192/100/AE191*1000</f>
        <v>0</v>
      </c>
    </row>
    <row r="194" spans="1:31" ht="15.75" x14ac:dyDescent="0.25">
      <c r="A194" s="17" t="s">
        <v>710</v>
      </c>
      <c r="B194" s="44"/>
      <c r="C194" s="44"/>
      <c r="D194" s="6"/>
      <c r="E194" s="6"/>
      <c r="F194" s="617" t="str">
        <f t="shared" ref="F194:L194" ca="1" si="133">F77</f>
        <v xml:space="preserve"> </v>
      </c>
      <c r="G194" s="617" t="str">
        <f t="shared" ca="1" si="133"/>
        <v xml:space="preserve"> </v>
      </c>
      <c r="H194" s="617" t="str">
        <f t="shared" ca="1" si="133"/>
        <v xml:space="preserve"> </v>
      </c>
      <c r="I194" s="617" t="str">
        <f t="shared" ca="1" si="133"/>
        <v xml:space="preserve"> </v>
      </c>
      <c r="J194" s="617" t="str">
        <f t="shared" ca="1" si="133"/>
        <v xml:space="preserve"> </v>
      </c>
      <c r="K194" s="617" t="str">
        <f t="shared" ca="1" si="133"/>
        <v xml:space="preserve"> </v>
      </c>
      <c r="L194" s="617" t="str">
        <f t="shared" ca="1" si="133"/>
        <v xml:space="preserve"> </v>
      </c>
      <c r="M194" s="602"/>
      <c r="N194" s="602"/>
      <c r="O194" s="444"/>
      <c r="P194" s="616"/>
      <c r="Q194" s="617">
        <f t="shared" ref="Q194:W194" si="134">Q77</f>
        <v>0</v>
      </c>
      <c r="R194" s="617">
        <f t="shared" si="134"/>
        <v>0</v>
      </c>
      <c r="S194" s="617">
        <f t="shared" si="134"/>
        <v>0</v>
      </c>
      <c r="T194" s="617">
        <f t="shared" si="134"/>
        <v>0</v>
      </c>
      <c r="U194" s="617">
        <f t="shared" si="134"/>
        <v>0</v>
      </c>
      <c r="V194" s="617">
        <f t="shared" si="134"/>
        <v>0</v>
      </c>
      <c r="W194" s="617">
        <f t="shared" si="134"/>
        <v>0</v>
      </c>
      <c r="X194" s="266"/>
      <c r="Y194" s="617">
        <f t="shared" ref="Y194:Z194" si="135">Y77</f>
        <v>0</v>
      </c>
      <c r="Z194" s="617">
        <f t="shared" si="135"/>
        <v>0</v>
      </c>
      <c r="AA194" s="617">
        <f>AA77</f>
        <v>0</v>
      </c>
      <c r="AB194" s="617">
        <f>AB77</f>
        <v>0</v>
      </c>
      <c r="AC194" s="617">
        <f t="shared" ref="AC194:AD194" si="136">AC77</f>
        <v>0</v>
      </c>
      <c r="AD194" s="617">
        <f t="shared" si="136"/>
        <v>0</v>
      </c>
      <c r="AE194" s="617">
        <f>AE77</f>
        <v>0</v>
      </c>
    </row>
    <row r="195" spans="1:31" x14ac:dyDescent="0.2">
      <c r="A195" s="57" t="s">
        <v>325</v>
      </c>
      <c r="B195" s="44"/>
      <c r="C195" s="44"/>
      <c r="D195" s="6"/>
      <c r="E195" s="6"/>
      <c r="O195" s="436"/>
      <c r="P195" s="99"/>
      <c r="X195" s="99"/>
      <c r="Y195" s="167"/>
      <c r="Z195" s="167"/>
      <c r="AA195" s="167"/>
      <c r="AB195" s="167"/>
      <c r="AC195" s="167"/>
      <c r="AD195" s="167"/>
      <c r="AE195" s="167"/>
    </row>
    <row r="196" spans="1:31" x14ac:dyDescent="0.2">
      <c r="A196" s="57" t="s">
        <v>711</v>
      </c>
      <c r="B196" s="6"/>
      <c r="C196" s="6"/>
      <c r="D196" s="6"/>
      <c r="E196" s="264"/>
      <c r="F196" s="182"/>
      <c r="G196" s="182"/>
      <c r="H196" s="182"/>
      <c r="I196" s="182"/>
      <c r="J196" s="182"/>
      <c r="K196" s="182"/>
      <c r="L196" s="182"/>
      <c r="M196" s="449"/>
      <c r="N196" s="449"/>
      <c r="O196" s="368"/>
      <c r="P196" s="449"/>
      <c r="Q196" s="182"/>
      <c r="R196" s="182"/>
      <c r="S196" s="182"/>
      <c r="T196" s="182"/>
      <c r="U196" s="182"/>
      <c r="V196" s="182"/>
      <c r="W196" s="182"/>
      <c r="X196" s="449"/>
      <c r="Y196" s="182"/>
      <c r="Z196" s="182"/>
      <c r="AA196" s="182"/>
      <c r="AB196" s="182"/>
      <c r="AC196" s="182"/>
      <c r="AD196" s="182"/>
      <c r="AE196" s="182"/>
    </row>
    <row r="197" spans="1:31" x14ac:dyDescent="0.2">
      <c r="A197" s="4" t="s">
        <v>712</v>
      </c>
      <c r="B197" s="6"/>
      <c r="C197" s="6"/>
      <c r="D197" s="6"/>
      <c r="E197" s="6"/>
      <c r="F197" s="182">
        <v>4</v>
      </c>
      <c r="G197" s="182">
        <v>6</v>
      </c>
      <c r="H197" s="182">
        <v>8</v>
      </c>
      <c r="I197" s="182">
        <v>10</v>
      </c>
      <c r="J197" s="182">
        <v>12</v>
      </c>
      <c r="K197" s="182">
        <v>14</v>
      </c>
      <c r="L197" s="182">
        <v>16</v>
      </c>
      <c r="M197" s="449"/>
      <c r="N197" s="449"/>
      <c r="O197" s="437"/>
      <c r="P197" s="449"/>
      <c r="Q197" s="182">
        <v>4</v>
      </c>
      <c r="R197" s="182">
        <v>6</v>
      </c>
      <c r="S197" s="182">
        <v>8</v>
      </c>
      <c r="T197" s="182">
        <v>10</v>
      </c>
      <c r="U197" s="182">
        <v>12</v>
      </c>
      <c r="V197" s="182">
        <v>14</v>
      </c>
      <c r="W197" s="182">
        <v>16</v>
      </c>
      <c r="X197" s="449"/>
      <c r="Y197" s="182"/>
      <c r="Z197" s="182"/>
      <c r="AA197" s="182"/>
      <c r="AB197" s="182"/>
      <c r="AC197" s="182"/>
      <c r="AD197" s="182"/>
      <c r="AE197" s="182"/>
    </row>
    <row r="198" spans="1:31" x14ac:dyDescent="0.2">
      <c r="A198" s="4" t="s">
        <v>333</v>
      </c>
      <c r="B198" s="6"/>
      <c r="C198" s="6"/>
      <c r="D198" s="6"/>
      <c r="E198" s="6"/>
      <c r="F198" s="182"/>
      <c r="G198" s="182"/>
      <c r="H198" s="182"/>
      <c r="I198" s="182"/>
      <c r="J198" s="182"/>
      <c r="K198" s="182"/>
      <c r="L198" s="182"/>
      <c r="M198" s="449"/>
      <c r="N198" s="449"/>
      <c r="O198" s="437"/>
      <c r="P198" s="449"/>
      <c r="Q198" s="182"/>
      <c r="R198" s="182"/>
      <c r="S198" s="182"/>
      <c r="T198" s="182"/>
      <c r="U198" s="182"/>
      <c r="V198" s="182"/>
      <c r="W198" s="182"/>
      <c r="X198" s="449"/>
      <c r="Y198" s="603">
        <v>100</v>
      </c>
      <c r="Z198" s="603">
        <v>180</v>
      </c>
      <c r="AA198" s="603">
        <v>270</v>
      </c>
      <c r="AB198" s="603">
        <v>300</v>
      </c>
      <c r="AC198" s="603">
        <v>210</v>
      </c>
      <c r="AD198" s="603">
        <v>240</v>
      </c>
      <c r="AE198" s="603">
        <v>300</v>
      </c>
    </row>
    <row r="199" spans="1:31" x14ac:dyDescent="0.2">
      <c r="A199" s="253" t="s">
        <v>594</v>
      </c>
      <c r="F199" s="265">
        <f t="shared" ref="F199:L199" si="137">IF(F196&gt;0,F196,IF(F197&gt;0,F197*1000/F67*F60*F64/F44,F198*F191/F192*100/F67*F60*F64/F44))</f>
        <v>10.537851964255605</v>
      </c>
      <c r="G199" s="265">
        <f t="shared" si="137"/>
        <v>15.806777946383409</v>
      </c>
      <c r="H199" s="265">
        <f t="shared" si="137"/>
        <v>21.07570392851121</v>
      </c>
      <c r="I199" s="265">
        <f t="shared" si="137"/>
        <v>26.344629910639014</v>
      </c>
      <c r="J199" s="265">
        <f t="shared" si="137"/>
        <v>31.613555892766819</v>
      </c>
      <c r="K199" s="265">
        <f t="shared" si="137"/>
        <v>36.882481874894623</v>
      </c>
      <c r="L199" s="265">
        <f t="shared" si="137"/>
        <v>42.15140785702242</v>
      </c>
      <c r="M199" s="265"/>
      <c r="N199" s="265"/>
      <c r="O199" s="418"/>
    </row>
    <row r="200" spans="1:31" x14ac:dyDescent="0.2">
      <c r="A200" s="253" t="s">
        <v>17</v>
      </c>
      <c r="F200" s="197">
        <f t="shared" ref="F200:L200" ca="1" si="138">IF(F209=0,F199,IF(F196&gt;0,F196,IF(F197&gt;0,IF(F144=F197,F201,F201-F202*(F144-F197)/F197),IF(F193=F198,F201,F201-F202*(F193-F198)/F198))))</f>
        <v>10.603037711833156</v>
      </c>
      <c r="G200" s="197">
        <f t="shared" ca="1" si="138"/>
        <v>15.927717249004788</v>
      </c>
      <c r="H200" s="197">
        <f t="shared" ca="1" si="138"/>
        <v>21.238638051735272</v>
      </c>
      <c r="I200" s="197">
        <f t="shared" ca="1" si="138"/>
        <v>26.550369704422842</v>
      </c>
      <c r="J200" s="197">
        <f t="shared" ca="1" si="138"/>
        <v>31.862905039781463</v>
      </c>
      <c r="K200" s="197">
        <f t="shared" ca="1" si="138"/>
        <v>37.176238834191054</v>
      </c>
      <c r="L200" s="197">
        <f t="shared" ca="1" si="138"/>
        <v>42.49036715129558</v>
      </c>
      <c r="M200" s="249"/>
      <c r="N200" s="249"/>
      <c r="O200" s="437"/>
    </row>
    <row r="201" spans="1:31" x14ac:dyDescent="0.2">
      <c r="A201" s="253" t="s">
        <v>858</v>
      </c>
      <c r="F201" s="197">
        <f t="shared" ref="F201:L201" ca="1" si="139">F200</f>
        <v>10.603037711833156</v>
      </c>
      <c r="G201" s="197">
        <f t="shared" ca="1" si="139"/>
        <v>15.927717249004788</v>
      </c>
      <c r="H201" s="197">
        <f t="shared" ca="1" si="139"/>
        <v>21.238638051735272</v>
      </c>
      <c r="I201" s="197">
        <f t="shared" ca="1" si="139"/>
        <v>26.550369704422842</v>
      </c>
      <c r="J201" s="197">
        <f t="shared" ca="1" si="139"/>
        <v>31.862905039781463</v>
      </c>
      <c r="K201" s="197">
        <f t="shared" ca="1" si="139"/>
        <v>37.176238834191054</v>
      </c>
      <c r="L201" s="197">
        <f t="shared" ca="1" si="139"/>
        <v>42.49036715129558</v>
      </c>
      <c r="M201" s="249"/>
      <c r="N201" s="249"/>
      <c r="O201" s="437"/>
      <c r="P201" s="263"/>
    </row>
    <row r="202" spans="1:31" x14ac:dyDescent="0.2">
      <c r="A202" s="253" t="s">
        <v>865</v>
      </c>
      <c r="F202" s="390">
        <f>F199*0.8</f>
        <v>8.4302815714044836</v>
      </c>
      <c r="G202" s="390">
        <f t="shared" ref="G202:L202" si="140">G199*0.8</f>
        <v>12.645422357106728</v>
      </c>
      <c r="H202" s="390">
        <f t="shared" si="140"/>
        <v>16.860563142808967</v>
      </c>
      <c r="I202" s="390">
        <f t="shared" si="140"/>
        <v>21.075703928511214</v>
      </c>
      <c r="J202" s="390">
        <f t="shared" si="140"/>
        <v>25.290844714213456</v>
      </c>
      <c r="K202" s="390">
        <f t="shared" si="140"/>
        <v>29.505985499915699</v>
      </c>
      <c r="L202" s="390">
        <f t="shared" si="140"/>
        <v>33.721126285617935</v>
      </c>
      <c r="M202" s="126"/>
      <c r="N202" s="126"/>
      <c r="O202" s="406"/>
    </row>
    <row r="203" spans="1:31" x14ac:dyDescent="0.2">
      <c r="A203" s="6" t="s">
        <v>260</v>
      </c>
      <c r="F203" s="197">
        <f t="shared" ref="F203:L203" ca="1" si="141">IF(F209=0,F199/F60/F38/F109*10000,IF(F104=F204,F204,F204+F205*(F104-F204)))</f>
        <v>71.366112801647617</v>
      </c>
      <c r="G203" s="197">
        <f t="shared" ca="1" si="141"/>
        <v>87.559986255737911</v>
      </c>
      <c r="H203" s="197">
        <f t="shared" ca="1" si="141"/>
        <v>87.559986255737854</v>
      </c>
      <c r="I203" s="197">
        <f t="shared" ca="1" si="141"/>
        <v>87.559986255737897</v>
      </c>
      <c r="J203" s="197">
        <f t="shared" ca="1" si="141"/>
        <v>87.559986255737925</v>
      </c>
      <c r="K203" s="197">
        <f t="shared" ca="1" si="141"/>
        <v>87.55998625573794</v>
      </c>
      <c r="L203" s="197">
        <f t="shared" ca="1" si="141"/>
        <v>87.559986255737897</v>
      </c>
      <c r="M203" s="249"/>
      <c r="N203" s="249"/>
      <c r="O203" s="425"/>
    </row>
    <row r="204" spans="1:31" x14ac:dyDescent="0.2">
      <c r="A204" s="253" t="s">
        <v>859</v>
      </c>
      <c r="F204" s="197">
        <f t="shared" ref="F204:L204" ca="1" si="142">F203</f>
        <v>71.366112801647617</v>
      </c>
      <c r="G204" s="197">
        <f t="shared" ca="1" si="142"/>
        <v>87.559986255737911</v>
      </c>
      <c r="H204" s="197">
        <f t="shared" ca="1" si="142"/>
        <v>87.559986255737854</v>
      </c>
      <c r="I204" s="197">
        <f t="shared" ca="1" si="142"/>
        <v>87.559986255737897</v>
      </c>
      <c r="J204" s="197">
        <f t="shared" ca="1" si="142"/>
        <v>87.559986255737925</v>
      </c>
      <c r="K204" s="197">
        <f t="shared" ca="1" si="142"/>
        <v>87.55998625573794</v>
      </c>
      <c r="L204" s="197">
        <f t="shared" ca="1" si="142"/>
        <v>87.559986255737897</v>
      </c>
      <c r="M204" s="249"/>
      <c r="N204" s="249"/>
      <c r="O204" s="434"/>
    </row>
    <row r="205" spans="1:31" x14ac:dyDescent="0.2">
      <c r="A205" s="253" t="s">
        <v>865</v>
      </c>
      <c r="F205" s="287">
        <v>0.8</v>
      </c>
      <c r="G205" s="287">
        <v>0.8</v>
      </c>
      <c r="H205" s="287">
        <v>0.8</v>
      </c>
      <c r="I205" s="287">
        <v>0.8</v>
      </c>
      <c r="J205" s="287">
        <v>0.8</v>
      </c>
      <c r="K205" s="287">
        <v>0.8</v>
      </c>
      <c r="L205" s="287">
        <v>0.8</v>
      </c>
      <c r="M205" s="124"/>
      <c r="N205" s="124"/>
      <c r="O205" s="406"/>
    </row>
    <row r="206" spans="1:31" x14ac:dyDescent="0.2">
      <c r="A206" s="253" t="s">
        <v>845</v>
      </c>
      <c r="F206" s="391">
        <f t="shared" ref="F206:L206" ca="1" si="143">IF(F209=0,0,IF(ABS(F207)&gt;(F32-2*F25/1000)/F111/2,0,IF(ABS(ROUND(F111,0)-F111)&lt;0.0001,F207,F207+F208*(ROUND(F111,0)-F111))))</f>
        <v>2.4464296810067766E-2</v>
      </c>
      <c r="G206" s="391">
        <f t="shared" ca="1" si="143"/>
        <v>7.6804842495716494E-2</v>
      </c>
      <c r="H206" s="391">
        <f t="shared" ca="1" si="143"/>
        <v>7.6797420590773408E-2</v>
      </c>
      <c r="I206" s="391">
        <f t="shared" ca="1" si="143"/>
        <v>7.6797420590773408E-2</v>
      </c>
      <c r="J206" s="391">
        <f t="shared" ca="1" si="143"/>
        <v>7.6797420590773408E-2</v>
      </c>
      <c r="K206" s="391">
        <f t="shared" ca="1" si="143"/>
        <v>7.6803319994574085E-2</v>
      </c>
      <c r="L206" s="391">
        <f t="shared" ca="1" si="143"/>
        <v>7.6797420590773408E-2</v>
      </c>
      <c r="M206" s="425"/>
      <c r="N206" s="425"/>
      <c r="O206" s="438"/>
      <c r="P206" s="263"/>
    </row>
    <row r="207" spans="1:31" x14ac:dyDescent="0.2">
      <c r="A207" s="253" t="s">
        <v>864</v>
      </c>
      <c r="F207" s="180">
        <f t="shared" ref="F207:L207" ca="1" si="144">F206</f>
        <v>2.4464296810067766E-2</v>
      </c>
      <c r="G207" s="180">
        <f t="shared" ca="1" si="144"/>
        <v>7.6804842495716494E-2</v>
      </c>
      <c r="H207" s="180">
        <f t="shared" ca="1" si="144"/>
        <v>7.6797420590773408E-2</v>
      </c>
      <c r="I207" s="180">
        <f t="shared" ca="1" si="144"/>
        <v>7.6797420590773408E-2</v>
      </c>
      <c r="J207" s="180">
        <f t="shared" ca="1" si="144"/>
        <v>7.6797420590773408E-2</v>
      </c>
      <c r="K207" s="180">
        <f t="shared" ca="1" si="144"/>
        <v>7.6803319994574085E-2</v>
      </c>
      <c r="L207" s="180">
        <f t="shared" ca="1" si="144"/>
        <v>7.6797420590773408E-2</v>
      </c>
      <c r="M207" s="601"/>
      <c r="N207" s="601"/>
      <c r="O207" s="422"/>
    </row>
    <row r="208" spans="1:31" x14ac:dyDescent="0.2">
      <c r="A208" s="253" t="s">
        <v>865</v>
      </c>
      <c r="F208" s="287">
        <v>0.2</v>
      </c>
      <c r="G208" s="287">
        <v>0.2</v>
      </c>
      <c r="H208" s="287">
        <v>0.2</v>
      </c>
      <c r="I208" s="287">
        <v>0.2</v>
      </c>
      <c r="J208" s="287">
        <v>0.2</v>
      </c>
      <c r="K208" s="287">
        <v>0.2</v>
      </c>
      <c r="L208" s="287">
        <v>0.2</v>
      </c>
      <c r="M208" s="124"/>
      <c r="N208" s="124"/>
      <c r="O208" s="419"/>
    </row>
    <row r="209" spans="1:43" ht="15.75" x14ac:dyDescent="0.25">
      <c r="A209" s="6"/>
      <c r="E209" s="375" t="s">
        <v>335</v>
      </c>
      <c r="F209" s="264">
        <v>1</v>
      </c>
      <c r="G209" s="264">
        <f>F209</f>
        <v>1</v>
      </c>
      <c r="H209" s="264">
        <f t="shared" ref="H209:K209" si="145">G209</f>
        <v>1</v>
      </c>
      <c r="I209" s="264">
        <f t="shared" si="145"/>
        <v>1</v>
      </c>
      <c r="J209" s="264">
        <f t="shared" si="145"/>
        <v>1</v>
      </c>
      <c r="K209" s="264">
        <f t="shared" si="145"/>
        <v>1</v>
      </c>
      <c r="L209" s="264">
        <f>K209</f>
        <v>1</v>
      </c>
      <c r="M209" s="590"/>
      <c r="N209" s="590"/>
      <c r="O209" s="418"/>
    </row>
    <row r="210" spans="1:43" x14ac:dyDescent="0.2">
      <c r="A210" s="6"/>
      <c r="F210" s="3"/>
      <c r="G210" s="3"/>
      <c r="H210" s="3"/>
      <c r="I210" s="3"/>
      <c r="J210" s="3"/>
      <c r="K210" s="3"/>
      <c r="L210" s="3"/>
      <c r="M210" s="128"/>
      <c r="N210" s="128"/>
      <c r="O210" s="417"/>
      <c r="P210" s="624"/>
      <c r="Q210" s="624"/>
      <c r="R210" s="624"/>
      <c r="S210" s="624"/>
      <c r="T210" s="624"/>
      <c r="U210" s="624"/>
      <c r="V210" s="624"/>
      <c r="W210" s="624"/>
      <c r="X210" s="624"/>
      <c r="Y210" s="624"/>
      <c r="Z210" s="526"/>
      <c r="AA210" s="526"/>
      <c r="AB210" s="16"/>
      <c r="AC210" s="465"/>
      <c r="AD210" s="465"/>
      <c r="AE210" s="465"/>
      <c r="AF210" s="465"/>
      <c r="AG210" s="465"/>
      <c r="AH210" s="465"/>
      <c r="AI210" s="465"/>
      <c r="AJ210" s="16"/>
      <c r="AK210" s="624"/>
      <c r="AL210" s="624"/>
      <c r="AM210" s="624"/>
      <c r="AN210" s="624"/>
      <c r="AO210" s="624"/>
      <c r="AP210" s="624"/>
      <c r="AQ210" s="624"/>
    </row>
    <row r="211" spans="1:43" ht="15.75" x14ac:dyDescent="0.25">
      <c r="E211" s="139" t="s">
        <v>715</v>
      </c>
      <c r="M211" s="126"/>
      <c r="N211" s="126"/>
      <c r="O211" s="418"/>
      <c r="P211" s="16"/>
      <c r="Q211" s="16"/>
      <c r="R211" s="16"/>
      <c r="S211" s="16"/>
      <c r="T211" s="16"/>
      <c r="U211" s="16"/>
      <c r="V211" s="16"/>
      <c r="W211" s="16"/>
      <c r="X211" s="16"/>
      <c r="Y211" s="16"/>
      <c r="Z211" s="16"/>
      <c r="AA211" s="16"/>
      <c r="AB211" s="16"/>
      <c r="AC211" s="16"/>
      <c r="AD211" s="16"/>
      <c r="AE211" s="16"/>
      <c r="AF211" s="16"/>
      <c r="AG211" s="16"/>
      <c r="AH211" s="16"/>
      <c r="AI211" s="16"/>
      <c r="AJ211" s="16"/>
      <c r="AK211" s="16"/>
      <c r="AL211" s="16"/>
      <c r="AM211" s="16"/>
      <c r="AN211" s="16"/>
      <c r="AO211" s="16"/>
      <c r="AP211" s="16"/>
      <c r="AQ211" s="16"/>
    </row>
    <row r="212" spans="1:43" x14ac:dyDescent="0.2">
      <c r="E212" s="258" t="s">
        <v>716</v>
      </c>
      <c r="F212" s="5">
        <f>'Summary of Results'!F17</f>
        <v>60</v>
      </c>
      <c r="G212" s="5">
        <f>'Summary of Results'!G17</f>
        <v>60</v>
      </c>
      <c r="H212" s="5">
        <f>'Summary of Results'!H17</f>
        <v>60</v>
      </c>
      <c r="I212" s="5">
        <f>'Summary of Results'!I17</f>
        <v>60</v>
      </c>
      <c r="J212" s="5">
        <f>'Summary of Results'!J17</f>
        <v>60</v>
      </c>
      <c r="K212" s="5">
        <f>'Summary of Results'!K17</f>
        <v>60</v>
      </c>
      <c r="L212" s="5">
        <f>'Summary of Results'!L17</f>
        <v>60</v>
      </c>
      <c r="M212" s="95"/>
      <c r="N212" s="95"/>
      <c r="O212" s="418"/>
      <c r="P212" s="5"/>
      <c r="Q212" s="625"/>
      <c r="R212" s="625"/>
      <c r="S212" s="625"/>
      <c r="T212" s="625"/>
      <c r="U212" s="625"/>
      <c r="V212" s="625"/>
      <c r="W212" s="625"/>
      <c r="X212" s="466"/>
      <c r="Y212" s="466"/>
      <c r="Z212" s="466"/>
      <c r="AA212" s="466"/>
      <c r="AB212" s="16"/>
      <c r="AC212" s="466"/>
      <c r="AD212" s="466"/>
      <c r="AE212" s="466"/>
      <c r="AF212" s="466"/>
      <c r="AG212" s="466"/>
      <c r="AH212" s="466"/>
      <c r="AI212" s="466"/>
      <c r="AJ212" s="16"/>
      <c r="AK212" s="466"/>
      <c r="AL212" s="466"/>
      <c r="AM212" s="466"/>
      <c r="AN212" s="466"/>
      <c r="AO212" s="466"/>
      <c r="AP212" s="466"/>
      <c r="AQ212" s="466"/>
    </row>
    <row r="213" spans="1:43" x14ac:dyDescent="0.2">
      <c r="E213" s="258" t="s">
        <v>717</v>
      </c>
      <c r="F213" s="19">
        <f ca="1">'Summary of Results'!F9</f>
        <v>4.0000000000000036</v>
      </c>
      <c r="G213" s="19">
        <f ca="1">'Summary of Results'!G9</f>
        <v>6.0000000000000027</v>
      </c>
      <c r="H213" s="19">
        <f ca="1">'Summary of Results'!H9</f>
        <v>8.0000000000000018</v>
      </c>
      <c r="I213" s="19">
        <f ca="1">'Summary of Results'!I9</f>
        <v>10.000000000000023</v>
      </c>
      <c r="J213" s="19">
        <f ca="1">'Summary of Results'!J9</f>
        <v>12.000000000000012</v>
      </c>
      <c r="K213" s="19">
        <f ca="1">'Summary of Results'!K9</f>
        <v>13.999999999999995</v>
      </c>
      <c r="L213" s="19">
        <f ca="1">'Summary of Results'!L9</f>
        <v>16.000000000000014</v>
      </c>
      <c r="M213" s="126"/>
      <c r="N213" s="126"/>
      <c r="O213" s="420"/>
      <c r="P213" s="19"/>
      <c r="Q213" s="19"/>
      <c r="R213" s="19"/>
      <c r="S213" s="19"/>
      <c r="T213" s="19"/>
      <c r="U213" s="19"/>
      <c r="V213" s="19"/>
      <c r="W213" s="52"/>
      <c r="X213" s="52"/>
      <c r="Y213" s="52"/>
      <c r="Z213" s="52"/>
      <c r="AA213" s="52"/>
      <c r="AB213" s="16"/>
      <c r="AC213" s="52"/>
      <c r="AD213" s="52"/>
      <c r="AE213" s="52"/>
      <c r="AF213" s="52"/>
      <c r="AG213" s="52"/>
      <c r="AH213" s="52"/>
      <c r="AI213" s="52"/>
      <c r="AJ213" s="16"/>
      <c r="AK213" s="52"/>
      <c r="AL213" s="52"/>
      <c r="AM213" s="52"/>
      <c r="AN213" s="52"/>
      <c r="AO213" s="52"/>
      <c r="AP213" s="52"/>
      <c r="AQ213" s="52"/>
    </row>
    <row r="214" spans="1:43" x14ac:dyDescent="0.2">
      <c r="E214" s="258" t="s">
        <v>781</v>
      </c>
      <c r="F214" s="5">
        <f t="shared" ref="F214:L214" ca="1" si="146">F176</f>
        <v>43.086590602884272</v>
      </c>
      <c r="G214" s="5">
        <f t="shared" ca="1" si="146"/>
        <v>56.366191888705387</v>
      </c>
      <c r="H214" s="5">
        <f t="shared" ca="1" si="146"/>
        <v>72.941978453972823</v>
      </c>
      <c r="I214" s="5">
        <f t="shared" ca="1" si="146"/>
        <v>87.218288780329729</v>
      </c>
      <c r="J214" s="5">
        <f t="shared" ca="1" si="146"/>
        <v>100.80953284560587</v>
      </c>
      <c r="K214" s="5">
        <f t="shared" ca="1" si="146"/>
        <v>117.36404968785823</v>
      </c>
      <c r="L214" s="5">
        <f t="shared" ca="1" si="146"/>
        <v>131.02743258072223</v>
      </c>
      <c r="M214" s="126"/>
      <c r="N214" s="126"/>
      <c r="O214" s="420"/>
      <c r="P214" s="5"/>
      <c r="Q214" s="5"/>
      <c r="R214" s="5"/>
      <c r="S214" s="5"/>
      <c r="T214" s="5"/>
      <c r="U214" s="5"/>
      <c r="V214" s="5"/>
      <c r="W214" s="466"/>
      <c r="X214" s="466"/>
      <c r="Y214" s="466"/>
      <c r="Z214" s="466"/>
      <c r="AA214" s="466"/>
      <c r="AB214" s="16"/>
      <c r="AC214" s="466"/>
      <c r="AD214" s="466"/>
      <c r="AE214" s="466"/>
      <c r="AF214" s="466"/>
      <c r="AG214" s="466"/>
      <c r="AH214" s="466"/>
      <c r="AI214" s="466"/>
      <c r="AJ214" s="16"/>
      <c r="AK214" s="466"/>
      <c r="AL214" s="466"/>
      <c r="AM214" s="466"/>
      <c r="AN214" s="466"/>
      <c r="AO214" s="466"/>
      <c r="AP214" s="466"/>
      <c r="AQ214" s="466"/>
    </row>
    <row r="215" spans="1:43" x14ac:dyDescent="0.2">
      <c r="E215" s="258" t="s">
        <v>410</v>
      </c>
      <c r="F215" s="5">
        <f t="shared" ref="F215:L215" ca="1" si="147">F175</f>
        <v>28.754688908703073</v>
      </c>
      <c r="G215" s="5">
        <f t="shared" ca="1" si="147"/>
        <v>35.931942973629546</v>
      </c>
      <c r="H215" s="5">
        <f t="shared" ca="1" si="147"/>
        <v>44.193366201478781</v>
      </c>
      <c r="I215" s="5">
        <f t="shared" ca="1" si="147"/>
        <v>51.368483334197883</v>
      </c>
      <c r="J215" s="5">
        <f t="shared" ca="1" si="147"/>
        <v>57.848661952144148</v>
      </c>
      <c r="K215" s="5">
        <f t="shared" ca="1" si="147"/>
        <v>65.426313418446838</v>
      </c>
      <c r="L215" s="5">
        <f t="shared" ca="1" si="147"/>
        <v>71.830720664056798</v>
      </c>
      <c r="M215" s="128"/>
      <c r="N215" s="128"/>
      <c r="O215" s="420"/>
      <c r="P215" s="5"/>
      <c r="Q215" s="5"/>
      <c r="R215" s="5"/>
      <c r="S215" s="5"/>
      <c r="T215" s="5"/>
      <c r="U215" s="5"/>
      <c r="V215" s="5"/>
      <c r="W215" s="466"/>
      <c r="X215" s="466"/>
      <c r="Y215" s="466"/>
      <c r="Z215" s="466"/>
      <c r="AA215" s="466"/>
      <c r="AB215" s="16"/>
      <c r="AC215" s="466"/>
      <c r="AD215" s="466"/>
      <c r="AE215" s="466"/>
      <c r="AF215" s="466"/>
      <c r="AG215" s="466"/>
      <c r="AH215" s="466"/>
      <c r="AI215" s="466"/>
      <c r="AJ215" s="16"/>
      <c r="AK215" s="466"/>
      <c r="AL215" s="466"/>
      <c r="AM215" s="466"/>
      <c r="AN215" s="466"/>
      <c r="AO215" s="466"/>
      <c r="AP215" s="466"/>
      <c r="AQ215" s="466"/>
    </row>
    <row r="216" spans="1:43" x14ac:dyDescent="0.2">
      <c r="E216" s="258" t="s">
        <v>595</v>
      </c>
      <c r="F216" s="3">
        <f t="shared" ref="F216:L216" ca="1" si="148">F213*1000/F214</f>
        <v>92.836308095638429</v>
      </c>
      <c r="G216" s="3">
        <f t="shared" ca="1" si="148"/>
        <v>106.44678661008281</v>
      </c>
      <c r="H216" s="3">
        <f t="shared" ca="1" si="148"/>
        <v>109.67621347216526</v>
      </c>
      <c r="I216" s="3">
        <f t="shared" ca="1" si="148"/>
        <v>114.65485209399472</v>
      </c>
      <c r="J216" s="3">
        <f t="shared" ca="1" si="148"/>
        <v>119.03636155499825</v>
      </c>
      <c r="K216" s="3">
        <f t="shared" ca="1" si="148"/>
        <v>119.28695403093568</v>
      </c>
      <c r="L216" s="3">
        <f t="shared" ca="1" si="148"/>
        <v>122.1118332616559</v>
      </c>
      <c r="M216" s="128"/>
      <c r="N216" s="128"/>
      <c r="O216" s="420"/>
      <c r="P216" s="3"/>
      <c r="Q216" s="3"/>
      <c r="R216" s="3"/>
      <c r="S216" s="3"/>
      <c r="T216" s="3"/>
      <c r="U216" s="3"/>
      <c r="V216" s="3"/>
      <c r="W216" s="467"/>
      <c r="X216" s="467"/>
      <c r="Y216" s="467"/>
      <c r="Z216" s="467"/>
      <c r="AA216" s="467"/>
      <c r="AB216" s="16"/>
      <c r="AC216" s="467"/>
      <c r="AD216" s="467"/>
      <c r="AE216" s="467"/>
      <c r="AF216" s="467"/>
      <c r="AG216" s="467"/>
      <c r="AH216" s="467"/>
      <c r="AI216" s="467"/>
      <c r="AJ216" s="16"/>
      <c r="AK216" s="467"/>
      <c r="AL216" s="467"/>
      <c r="AM216" s="467"/>
      <c r="AN216" s="467"/>
      <c r="AO216" s="467"/>
      <c r="AP216" s="467"/>
      <c r="AQ216" s="467"/>
    </row>
    <row r="217" spans="1:43" x14ac:dyDescent="0.2">
      <c r="E217" s="258" t="s">
        <v>718</v>
      </c>
      <c r="F217" s="3">
        <f t="shared" ref="F217:L217" ca="1" si="149">F213*1000/F215</f>
        <v>139.10774735557436</v>
      </c>
      <c r="G217" s="3">
        <f t="shared" ca="1" si="149"/>
        <v>166.98234226864389</v>
      </c>
      <c r="H217" s="3">
        <f t="shared" ca="1" si="149"/>
        <v>181.02264406670858</v>
      </c>
      <c r="I217" s="3">
        <f t="shared" ca="1" si="149"/>
        <v>194.67189511788948</v>
      </c>
      <c r="J217" s="3">
        <f t="shared" ca="1" si="149"/>
        <v>207.43781437723013</v>
      </c>
      <c r="K217" s="3">
        <f t="shared" ca="1" si="149"/>
        <v>213.98118384663132</v>
      </c>
      <c r="L217" s="3">
        <f t="shared" ca="1" si="149"/>
        <v>222.74592057665677</v>
      </c>
      <c r="M217" s="128"/>
      <c r="N217" s="128"/>
      <c r="O217" s="144"/>
      <c r="P217" s="3"/>
      <c r="Q217" s="3"/>
      <c r="R217" s="3"/>
      <c r="S217" s="3"/>
      <c r="T217" s="3"/>
      <c r="U217" s="3"/>
      <c r="V217" s="3"/>
      <c r="W217" s="467"/>
      <c r="X217" s="467"/>
      <c r="Y217" s="467"/>
      <c r="Z217" s="467"/>
      <c r="AA217" s="467"/>
      <c r="AB217" s="16"/>
      <c r="AC217" s="467"/>
      <c r="AD217" s="467"/>
      <c r="AE217" s="467"/>
      <c r="AF217" s="467"/>
      <c r="AG217" s="467"/>
      <c r="AH217" s="467"/>
      <c r="AI217" s="467"/>
      <c r="AJ217" s="16"/>
      <c r="AK217" s="467"/>
      <c r="AL217" s="467"/>
      <c r="AM217" s="467"/>
      <c r="AN217" s="467"/>
      <c r="AO217" s="467"/>
      <c r="AP217" s="467"/>
      <c r="AQ217" s="467"/>
    </row>
    <row r="218" spans="1:43" x14ac:dyDescent="0.2">
      <c r="E218" s="258" t="s">
        <v>433</v>
      </c>
      <c r="F218" s="3">
        <f t="shared" ref="F218:L218" ca="1" si="150">F219/F213</f>
        <v>562.40186719664916</v>
      </c>
      <c r="G218" s="3">
        <f t="shared" ca="1" si="150"/>
        <v>414.26852766372019</v>
      </c>
      <c r="H218" s="3">
        <f t="shared" ca="1" si="150"/>
        <v>346.74166336224113</v>
      </c>
      <c r="I218" s="3">
        <f t="shared" ca="1" si="150"/>
        <v>303.69106086047412</v>
      </c>
      <c r="J218" s="3">
        <f t="shared" ca="1" si="150"/>
        <v>274.36028059006469</v>
      </c>
      <c r="K218" s="3">
        <f t="shared" ca="1" si="150"/>
        <v>254.62935810858281</v>
      </c>
      <c r="L218" s="3">
        <f t="shared" ca="1" si="150"/>
        <v>238.2269487260875</v>
      </c>
      <c r="M218" s="128"/>
      <c r="N218" s="128"/>
      <c r="O218" s="144"/>
      <c r="P218" s="3"/>
      <c r="Q218" s="3"/>
      <c r="R218" s="3"/>
      <c r="S218" s="3"/>
      <c r="T218" s="3"/>
      <c r="U218" s="3"/>
      <c r="V218" s="3"/>
      <c r="W218" s="467"/>
      <c r="X218" s="467"/>
      <c r="Y218" s="467"/>
      <c r="Z218" s="467"/>
      <c r="AA218" s="467"/>
      <c r="AB218" s="16"/>
      <c r="AC218" s="467"/>
      <c r="AD218" s="467"/>
      <c r="AE218" s="467"/>
      <c r="AF218" s="467"/>
      <c r="AG218" s="467"/>
      <c r="AH218" s="467"/>
      <c r="AI218" s="467"/>
      <c r="AJ218" s="16"/>
      <c r="AK218" s="467"/>
      <c r="AL218" s="467"/>
      <c r="AM218" s="467"/>
      <c r="AN218" s="467"/>
      <c r="AO218" s="467"/>
      <c r="AP218" s="467"/>
      <c r="AQ218" s="467"/>
    </row>
    <row r="219" spans="1:43" x14ac:dyDescent="0.2">
      <c r="E219" s="258" t="s">
        <v>797</v>
      </c>
      <c r="F219" s="3">
        <f ca="1">'Summary of Results'!F72</f>
        <v>2249.6074687861869</v>
      </c>
      <c r="G219" s="3">
        <f ca="1">'Summary of Results'!G72</f>
        <v>2485.6111659821913</v>
      </c>
      <c r="H219" s="3">
        <f ca="1">'Summary of Results'!H72</f>
        <v>2773.9333068979004</v>
      </c>
      <c r="I219" s="3">
        <f ca="1">'Summary of Results'!I72</f>
        <v>3036.9106086047377</v>
      </c>
      <c r="J219" s="3">
        <f ca="1">'Summary of Results'!J72</f>
        <v>3292.3233670807795</v>
      </c>
      <c r="K219" s="3">
        <f ca="1">'Summary of Results'!K72</f>
        <v>3564.8110135201578</v>
      </c>
      <c r="L219" s="3">
        <f ca="1">'Summary of Results'!L72</f>
        <v>3811.6311796174032</v>
      </c>
      <c r="P219" s="3"/>
      <c r="Q219" s="3"/>
      <c r="R219" s="3"/>
      <c r="S219" s="3"/>
      <c r="T219" s="3"/>
      <c r="U219" s="3"/>
      <c r="V219" s="3"/>
      <c r="W219" s="467"/>
      <c r="X219" s="467"/>
      <c r="Y219" s="467"/>
      <c r="Z219" s="467"/>
      <c r="AA219" s="467"/>
      <c r="AB219" s="16"/>
      <c r="AC219" s="467"/>
      <c r="AD219" s="467"/>
      <c r="AE219" s="467"/>
      <c r="AF219" s="467"/>
      <c r="AG219" s="467"/>
      <c r="AH219" s="467"/>
      <c r="AI219" s="467"/>
      <c r="AJ219" s="16"/>
      <c r="AK219" s="467"/>
      <c r="AL219" s="467"/>
      <c r="AM219" s="467"/>
      <c r="AN219" s="467"/>
      <c r="AO219" s="467"/>
      <c r="AP219" s="467"/>
      <c r="AQ219" s="467"/>
    </row>
    <row r="220" spans="1:43" s="253" customFormat="1" x14ac:dyDescent="0.2">
      <c r="B220"/>
      <c r="C220"/>
      <c r="D220"/>
      <c r="E220"/>
      <c r="F220" s="5"/>
      <c r="G220" s="5"/>
      <c r="H220" s="5"/>
      <c r="I220" s="5"/>
      <c r="J220" s="5"/>
      <c r="K220" s="5"/>
      <c r="L220" s="5"/>
      <c r="M220" s="126"/>
      <c r="N220" s="126"/>
      <c r="O220"/>
      <c r="S220" s="400"/>
      <c r="T220" s="400"/>
      <c r="W220" s="400"/>
      <c r="Z220" s="400"/>
      <c r="AA220" s="400"/>
    </row>
    <row r="221" spans="1:43" x14ac:dyDescent="0.2">
      <c r="E221" s="258"/>
      <c r="F221" s="19"/>
      <c r="G221" s="19"/>
      <c r="H221" s="19"/>
      <c r="I221" s="19"/>
      <c r="J221" s="19"/>
      <c r="K221" s="19"/>
      <c r="L221" s="19"/>
      <c r="M221" s="95"/>
      <c r="N221" s="95"/>
    </row>
    <row r="222" spans="1:43" x14ac:dyDescent="0.2">
      <c r="E222" s="258"/>
      <c r="F222" s="5"/>
      <c r="G222" s="5"/>
      <c r="H222" s="5"/>
      <c r="I222" s="5"/>
      <c r="J222" s="5"/>
      <c r="K222" s="5"/>
      <c r="L222" s="5"/>
      <c r="M222" s="126"/>
      <c r="N222" s="126"/>
    </row>
    <row r="223" spans="1:43" x14ac:dyDescent="0.2">
      <c r="E223" s="258"/>
      <c r="F223" s="5"/>
      <c r="G223" s="5"/>
      <c r="H223" s="5"/>
      <c r="I223" s="5"/>
      <c r="J223" s="5"/>
      <c r="K223" s="5"/>
      <c r="L223" s="5"/>
      <c r="M223" s="126"/>
      <c r="N223" s="126"/>
    </row>
    <row r="224" spans="1:43" x14ac:dyDescent="0.2">
      <c r="E224" s="258"/>
      <c r="F224" s="3"/>
      <c r="G224" s="3"/>
      <c r="H224" s="3"/>
      <c r="I224" s="3"/>
      <c r="J224" s="3"/>
      <c r="K224" s="3"/>
      <c r="L224" s="3"/>
      <c r="M224" s="128"/>
      <c r="N224" s="128"/>
    </row>
    <row r="225" spans="5:23" x14ac:dyDescent="0.2">
      <c r="E225" s="258"/>
      <c r="F225" s="3"/>
      <c r="G225" s="3"/>
      <c r="H225" s="3"/>
      <c r="I225" s="3"/>
      <c r="J225" s="3"/>
      <c r="K225" s="3"/>
      <c r="L225" s="3"/>
      <c r="M225" s="128"/>
      <c r="N225" s="128"/>
    </row>
    <row r="226" spans="5:23" x14ac:dyDescent="0.2">
      <c r="E226" s="258"/>
      <c r="F226" s="3"/>
      <c r="G226" s="3"/>
      <c r="H226" s="3"/>
      <c r="I226" s="3"/>
      <c r="J226" s="3"/>
      <c r="K226" s="3"/>
      <c r="L226" s="3"/>
      <c r="M226" s="128"/>
      <c r="N226" s="128"/>
    </row>
    <row r="227" spans="5:23" x14ac:dyDescent="0.2">
      <c r="E227" s="258"/>
      <c r="F227" s="3"/>
      <c r="G227" s="3"/>
      <c r="H227" s="3"/>
      <c r="I227" s="3"/>
      <c r="J227" s="3"/>
      <c r="K227" s="3"/>
      <c r="L227" s="3"/>
      <c r="M227" s="128"/>
      <c r="N227" s="128"/>
    </row>
    <row r="228" spans="5:23" x14ac:dyDescent="0.2">
      <c r="E228" s="258"/>
    </row>
    <row r="230" spans="5:23" x14ac:dyDescent="0.2">
      <c r="F230" s="5"/>
      <c r="G230" s="5"/>
      <c r="H230" s="5"/>
      <c r="I230" s="5"/>
      <c r="J230" s="5"/>
      <c r="K230" s="5"/>
      <c r="L230" s="5"/>
      <c r="M230" s="126"/>
      <c r="N230" s="126"/>
    </row>
    <row r="231" spans="5:23" x14ac:dyDescent="0.2">
      <c r="F231" s="19"/>
      <c r="G231" s="19"/>
      <c r="H231" s="19"/>
      <c r="I231" s="19"/>
      <c r="J231" s="19"/>
      <c r="K231" s="19"/>
      <c r="L231" s="19"/>
      <c r="M231" s="95"/>
      <c r="N231" s="95"/>
    </row>
    <row r="232" spans="5:23" x14ac:dyDescent="0.2">
      <c r="F232" s="625"/>
      <c r="G232" s="625"/>
      <c r="H232" s="625"/>
      <c r="I232" s="625"/>
      <c r="J232" s="625"/>
      <c r="K232" s="625"/>
      <c r="L232" s="625"/>
      <c r="M232" s="242"/>
      <c r="N232" s="242"/>
      <c r="Q232" s="625"/>
      <c r="R232" s="625"/>
      <c r="S232" s="625"/>
      <c r="T232" s="625"/>
      <c r="U232" s="625"/>
      <c r="V232" s="625"/>
      <c r="W232" s="625"/>
    </row>
    <row r="233" spans="5:23" x14ac:dyDescent="0.2">
      <c r="F233" s="5"/>
      <c r="G233" s="5"/>
      <c r="H233" s="5"/>
      <c r="I233" s="5"/>
      <c r="J233" s="5"/>
      <c r="K233" s="5"/>
      <c r="L233" s="5"/>
      <c r="M233" s="126"/>
      <c r="N233" s="126"/>
    </row>
    <row r="234" spans="5:23" x14ac:dyDescent="0.2">
      <c r="E234" s="548"/>
      <c r="F234" s="3"/>
      <c r="G234" s="3"/>
      <c r="H234" s="3"/>
      <c r="I234" s="3"/>
      <c r="J234" s="3"/>
      <c r="K234" s="5"/>
      <c r="L234" s="5"/>
      <c r="M234" s="126"/>
      <c r="N234" s="126"/>
    </row>
    <row r="235" spans="5:23" x14ac:dyDescent="0.2">
      <c r="E235" s="400"/>
      <c r="F235" s="3"/>
      <c r="G235" s="3"/>
      <c r="H235" s="3"/>
      <c r="I235" s="3"/>
      <c r="J235" s="3"/>
      <c r="K235" s="3"/>
      <c r="L235" s="3"/>
      <c r="M235" s="128"/>
      <c r="N235" s="128"/>
    </row>
    <row r="236" spans="5:23" x14ac:dyDescent="0.2">
      <c r="E236" s="400"/>
    </row>
    <row r="237" spans="5:23" x14ac:dyDescent="0.2">
      <c r="F237" s="625"/>
      <c r="G237" s="625"/>
      <c r="H237" s="625"/>
      <c r="I237" s="625"/>
      <c r="J237" s="625"/>
      <c r="K237" s="625"/>
      <c r="L237" s="625"/>
      <c r="M237" s="242"/>
      <c r="N237" s="242"/>
    </row>
    <row r="238" spans="5:23" x14ac:dyDescent="0.2">
      <c r="F238" s="5"/>
      <c r="G238" s="5"/>
      <c r="H238" s="5"/>
      <c r="I238" s="5"/>
      <c r="J238" s="5"/>
      <c r="K238" s="5"/>
      <c r="L238" s="5"/>
      <c r="M238" s="126"/>
      <c r="N238" s="126"/>
    </row>
    <row r="239" spans="5:23" x14ac:dyDescent="0.2">
      <c r="E239" s="548"/>
      <c r="F239" s="3"/>
      <c r="G239" s="3"/>
      <c r="H239" s="3"/>
      <c r="I239" s="3"/>
      <c r="J239" s="3"/>
      <c r="K239" s="3"/>
      <c r="L239" s="3"/>
      <c r="M239" s="128"/>
      <c r="N239" s="128"/>
    </row>
    <row r="240" spans="5:23" x14ac:dyDescent="0.2">
      <c r="E240" s="400"/>
      <c r="F240" s="3"/>
      <c r="G240" s="3"/>
      <c r="H240" s="3"/>
      <c r="I240" s="3"/>
      <c r="J240" s="3"/>
      <c r="K240" s="3"/>
      <c r="L240" s="3"/>
      <c r="M240" s="128"/>
      <c r="N240" s="128"/>
    </row>
    <row r="241" spans="5:14" x14ac:dyDescent="0.2">
      <c r="E241" s="400"/>
      <c r="F241" s="3"/>
      <c r="G241" s="3"/>
      <c r="H241" s="3"/>
      <c r="I241" s="3"/>
      <c r="J241" s="3"/>
      <c r="K241" s="3"/>
      <c r="L241" s="3"/>
      <c r="M241" s="128"/>
      <c r="N241" s="128"/>
    </row>
    <row r="242" spans="5:14" x14ac:dyDescent="0.2">
      <c r="F242" s="3"/>
      <c r="G242" s="3"/>
      <c r="H242" s="3"/>
      <c r="I242" s="3"/>
      <c r="J242" s="3"/>
      <c r="K242" s="3"/>
      <c r="L242" s="3"/>
      <c r="M242" s="128"/>
      <c r="N242" s="128"/>
    </row>
  </sheetData>
  <mergeCells count="8">
    <mergeCell ref="A1:L1"/>
    <mergeCell ref="P210:Y210"/>
    <mergeCell ref="A2:L2"/>
    <mergeCell ref="AK210:AQ210"/>
    <mergeCell ref="F232:L232"/>
    <mergeCell ref="F237:L237"/>
    <mergeCell ref="Q212:W212"/>
    <mergeCell ref="Q232:W232"/>
  </mergeCells>
  <phoneticPr fontId="5" type="noConversion"/>
  <pageMargins left="0.5" right="0.5" top="0.75" bottom="0.5" header="0.5" footer="0.5"/>
  <pageSetup scale="90" orientation="landscape" verticalDpi="300" r:id="rId1"/>
  <headerFooter alignWithMargins="0">
    <oddFooter>&amp;C &amp;P&amp;R&amp;F, &amp;D</oddFooter>
  </headerFooter>
  <rowBreaks count="6" manualBreakCount="6">
    <brk id="41" max="11" man="1"/>
    <brk id="75" max="11" man="1"/>
    <brk id="109" max="11" man="1"/>
    <brk id="141" max="11" man="1"/>
    <brk id="182" max="11" man="1"/>
    <brk id="208" max="9"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pageSetUpPr fitToPage="1"/>
  </sheetPr>
  <dimension ref="A1:V50"/>
  <sheetViews>
    <sheetView workbookViewId="0">
      <selection activeCell="A26" sqref="A26"/>
    </sheetView>
  </sheetViews>
  <sheetFormatPr defaultRowHeight="12.75" x14ac:dyDescent="0.2"/>
  <cols>
    <col min="2" max="2" width="7.5703125" customWidth="1"/>
    <col min="3" max="3" width="16.42578125" customWidth="1"/>
    <col min="4" max="4" width="11" customWidth="1"/>
    <col min="5" max="5" width="18.7109375" customWidth="1"/>
    <col min="6" max="12" width="12.7109375" customWidth="1"/>
    <col min="14" max="14" width="9.5703125" bestFit="1" customWidth="1"/>
  </cols>
  <sheetData>
    <row r="1" spans="1:20" ht="18" x14ac:dyDescent="0.25">
      <c r="A1" s="620" t="s">
        <v>885</v>
      </c>
      <c r="B1" s="620"/>
      <c r="C1" s="620"/>
      <c r="D1" s="620"/>
      <c r="E1" s="620"/>
      <c r="F1" s="620"/>
      <c r="G1" s="620"/>
      <c r="H1" s="620"/>
      <c r="I1" s="620"/>
      <c r="J1" s="620"/>
      <c r="K1" s="620"/>
      <c r="L1" s="620"/>
    </row>
    <row r="2" spans="1:20" ht="18" x14ac:dyDescent="0.25">
      <c r="A2" s="371" t="s">
        <v>886</v>
      </c>
      <c r="F2" s="452" t="s">
        <v>0</v>
      </c>
      <c r="G2" s="452" t="s">
        <v>1</v>
      </c>
      <c r="H2" s="452" t="s">
        <v>2</v>
      </c>
      <c r="I2" s="452" t="s">
        <v>3</v>
      </c>
      <c r="J2" s="452" t="s">
        <v>4</v>
      </c>
      <c r="K2" s="452" t="s">
        <v>750</v>
      </c>
      <c r="L2" s="452" t="s">
        <v>752</v>
      </c>
    </row>
    <row r="3" spans="1:20" ht="15" x14ac:dyDescent="0.25">
      <c r="A3" s="400" t="s">
        <v>887</v>
      </c>
      <c r="F3" s="5">
        <f ca="1">'Battery Design'!F143</f>
        <v>10.603037711833156</v>
      </c>
      <c r="G3" s="5">
        <f ca="1">'Battery Design'!G143</f>
        <v>15.927717249004788</v>
      </c>
      <c r="H3" s="5">
        <f ca="1">'Battery Design'!H143</f>
        <v>21.238638051735272</v>
      </c>
      <c r="I3" s="5">
        <f ca="1">'Battery Design'!I143</f>
        <v>26.550369704422842</v>
      </c>
      <c r="J3" s="5">
        <f ca="1">'Battery Design'!J143</f>
        <v>31.862905039781463</v>
      </c>
      <c r="K3" s="5">
        <f ca="1">'Battery Design'!K143</f>
        <v>37.176238834191054</v>
      </c>
      <c r="L3" s="5">
        <f ca="1">'Battery Design'!L143</f>
        <v>42.49036715129558</v>
      </c>
      <c r="N3" s="332"/>
      <c r="O3" s="145"/>
      <c r="P3" s="145"/>
      <c r="Q3" s="145"/>
      <c r="R3" s="145"/>
      <c r="S3" s="468"/>
      <c r="T3" s="166"/>
    </row>
    <row r="4" spans="1:20" x14ac:dyDescent="0.2">
      <c r="A4" s="400" t="s">
        <v>888</v>
      </c>
      <c r="F4" s="24">
        <f ca="1">'Battery Design'!F144*1000</f>
        <v>4000.0000000000036</v>
      </c>
      <c r="G4" s="24">
        <f ca="1">'Battery Design'!G144*1000</f>
        <v>6000.0000000000027</v>
      </c>
      <c r="H4" s="24">
        <f ca="1">'Battery Design'!H144*1000</f>
        <v>8000.0000000000018</v>
      </c>
      <c r="I4" s="24">
        <f ca="1">'Battery Design'!I144*1000</f>
        <v>10000.000000000024</v>
      </c>
      <c r="J4" s="24">
        <f ca="1">'Battery Design'!J144*1000</f>
        <v>12000.000000000013</v>
      </c>
      <c r="K4" s="24">
        <f ca="1">'Battery Design'!K144*1000</f>
        <v>13999.999999999995</v>
      </c>
      <c r="L4" s="24">
        <f ca="1">'Battery Design'!L144*1000</f>
        <v>16000.000000000015</v>
      </c>
      <c r="N4" s="145"/>
      <c r="O4" s="145"/>
      <c r="P4" s="145"/>
      <c r="Q4" s="145"/>
      <c r="R4" s="468"/>
      <c r="S4" s="457"/>
      <c r="T4" s="166"/>
    </row>
    <row r="5" spans="1:20" x14ac:dyDescent="0.2">
      <c r="A5" s="400" t="s">
        <v>889</v>
      </c>
      <c r="F5" s="3">
        <f>'Battery Design'!F147/Chem!$E43</f>
        <v>96</v>
      </c>
      <c r="G5" s="3">
        <f>'Battery Design'!G147/Chem!$E43</f>
        <v>96</v>
      </c>
      <c r="H5" s="3">
        <f>'Battery Design'!H147/Chem!$E43</f>
        <v>96</v>
      </c>
      <c r="I5" s="3">
        <f>'Battery Design'!I147/Chem!$E43</f>
        <v>96</v>
      </c>
      <c r="J5" s="3">
        <f>'Battery Design'!J147/Chem!$E43</f>
        <v>96</v>
      </c>
      <c r="K5" s="3">
        <f>'Battery Design'!K147/Chem!$E43</f>
        <v>96</v>
      </c>
      <c r="L5" s="3">
        <f>'Battery Design'!L147/Chem!$E43</f>
        <v>96</v>
      </c>
      <c r="N5" s="145"/>
      <c r="O5" s="145"/>
      <c r="P5" s="145"/>
      <c r="Q5" s="145"/>
      <c r="R5" s="445"/>
      <c r="S5" s="458"/>
      <c r="T5" s="127"/>
    </row>
    <row r="6" spans="1:20" x14ac:dyDescent="0.2">
      <c r="A6" s="400" t="s">
        <v>905</v>
      </c>
      <c r="F6" s="5">
        <f>'Battery Design'!F147</f>
        <v>379.584</v>
      </c>
      <c r="G6" s="5">
        <f>'Battery Design'!G147</f>
        <v>379.584</v>
      </c>
      <c r="H6" s="5">
        <f>'Battery Design'!H147</f>
        <v>379.584</v>
      </c>
      <c r="I6" s="5">
        <f>'Battery Design'!I147</f>
        <v>379.584</v>
      </c>
      <c r="J6" s="5">
        <f>'Battery Design'!J147</f>
        <v>379.584</v>
      </c>
      <c r="K6" s="5">
        <f>'Battery Design'!K147</f>
        <v>379.584</v>
      </c>
      <c r="L6" s="5">
        <f>'Battery Design'!L147</f>
        <v>379.584</v>
      </c>
      <c r="N6" s="145"/>
      <c r="O6" s="145"/>
      <c r="P6" s="145"/>
      <c r="Q6" s="145"/>
      <c r="R6" s="445"/>
      <c r="S6" s="458"/>
    </row>
    <row r="7" spans="1:20" x14ac:dyDescent="0.2">
      <c r="A7" s="400" t="s">
        <v>906</v>
      </c>
      <c r="F7" s="5">
        <f>Chem!$E42*F5</f>
        <v>367.29599999999999</v>
      </c>
      <c r="G7" s="5">
        <f>Chem!$E42*G5</f>
        <v>367.29599999999999</v>
      </c>
      <c r="H7" s="5">
        <f>Chem!$E42*H5</f>
        <v>367.29599999999999</v>
      </c>
      <c r="I7" s="5">
        <f>Chem!$E42*I5</f>
        <v>367.29599999999999</v>
      </c>
      <c r="J7" s="5">
        <f>Chem!$E42*J5</f>
        <v>367.29599999999999</v>
      </c>
      <c r="K7" s="5">
        <f>Chem!$E42*K5</f>
        <v>367.29599999999999</v>
      </c>
      <c r="L7" s="5">
        <f>Chem!$E42*L5</f>
        <v>367.29599999999999</v>
      </c>
      <c r="N7" s="145"/>
      <c r="O7" s="145"/>
      <c r="P7" s="145"/>
      <c r="Q7" s="145"/>
      <c r="R7" s="445"/>
      <c r="S7" s="458"/>
    </row>
    <row r="8" spans="1:20" x14ac:dyDescent="0.2">
      <c r="A8" s="400" t="s">
        <v>890</v>
      </c>
      <c r="F8" s="459">
        <f t="shared" ref="F8" ca="1" si="0">3/F3*(F6-F4/F3)</f>
        <v>0.6602694314474763</v>
      </c>
      <c r="G8" s="459">
        <f t="shared" ref="G8:L8" ca="1" si="1">3/G3*(G6-G4/G3)</f>
        <v>0.54286211934187834</v>
      </c>
      <c r="H8" s="459">
        <f t="shared" ca="1" si="1"/>
        <v>0.41132762048082822</v>
      </c>
      <c r="I8" s="459">
        <f t="shared" ca="1" si="1"/>
        <v>0.33235813035369183</v>
      </c>
      <c r="J8" s="459">
        <f t="shared" ca="1" si="1"/>
        <v>0.2796831492407657</v>
      </c>
      <c r="K8" s="459">
        <f t="shared" ca="1" si="1"/>
        <v>0.24203959510816986</v>
      </c>
      <c r="L8" s="459">
        <f t="shared" ca="1" si="1"/>
        <v>0.21379410788587092</v>
      </c>
      <c r="N8" s="145"/>
      <c r="O8" s="145"/>
      <c r="P8" s="145"/>
      <c r="Q8" s="145"/>
      <c r="R8" s="445"/>
      <c r="S8" s="458"/>
    </row>
    <row r="9" spans="1:20" x14ac:dyDescent="0.2">
      <c r="A9" s="400" t="s">
        <v>891</v>
      </c>
      <c r="B9" s="400"/>
      <c r="C9" s="400"/>
      <c r="D9" s="400"/>
      <c r="E9" s="400"/>
      <c r="F9" s="271">
        <v>135</v>
      </c>
      <c r="G9" s="271">
        <v>135</v>
      </c>
      <c r="H9" s="271">
        <v>135</v>
      </c>
      <c r="I9" s="271">
        <v>135</v>
      </c>
      <c r="J9" s="271">
        <v>135</v>
      </c>
      <c r="K9" s="271">
        <v>135</v>
      </c>
      <c r="L9" s="271">
        <v>135</v>
      </c>
      <c r="N9" s="145"/>
      <c r="O9" s="145"/>
      <c r="P9" s="145"/>
      <c r="Q9" s="145"/>
      <c r="R9" s="445"/>
      <c r="S9" s="458"/>
    </row>
    <row r="10" spans="1:20" ht="14.25" x14ac:dyDescent="0.2">
      <c r="A10" s="400" t="s">
        <v>917</v>
      </c>
      <c r="B10" s="400"/>
      <c r="C10" s="400"/>
      <c r="D10" s="400"/>
      <c r="E10" s="400"/>
      <c r="F10" s="270">
        <v>4</v>
      </c>
      <c r="G10" s="270">
        <v>4</v>
      </c>
      <c r="H10" s="270">
        <v>4</v>
      </c>
      <c r="I10" s="270">
        <v>4</v>
      </c>
      <c r="J10" s="270">
        <v>4</v>
      </c>
      <c r="K10" s="270">
        <v>4</v>
      </c>
      <c r="L10" s="270">
        <v>4</v>
      </c>
      <c r="N10" s="145"/>
      <c r="O10" s="145"/>
      <c r="P10" s="145"/>
      <c r="Q10" s="145"/>
      <c r="R10" s="445"/>
      <c r="S10" s="458"/>
    </row>
    <row r="11" spans="1:20" s="99" customFormat="1" x14ac:dyDescent="0.2">
      <c r="A11" s="400" t="s">
        <v>892</v>
      </c>
      <c r="B11" s="266"/>
      <c r="C11" s="266"/>
      <c r="D11" s="266"/>
      <c r="E11" s="266"/>
      <c r="F11" s="296">
        <f ca="1">(-F7+(F7^2+4*1000*F9*F8)^0.5)/2/F5</f>
        <v>1.738230545955554</v>
      </c>
      <c r="G11" s="296">
        <f t="shared" ref="G11:L11" ca="1" si="2">(-G7+(G7^2+4*1000*G9*G8)^0.5)/2/G5</f>
        <v>1.4945872441211312</v>
      </c>
      <c r="H11" s="296">
        <f t="shared" ca="1" si="2"/>
        <v>1.1990533319075902</v>
      </c>
      <c r="I11" s="296">
        <f t="shared" ca="1" si="2"/>
        <v>1.0072904479011859</v>
      </c>
      <c r="J11" s="296">
        <f t="shared" ca="1" si="2"/>
        <v>0.87204759949565835</v>
      </c>
      <c r="K11" s="296">
        <f t="shared" ca="1" si="2"/>
        <v>0.77122630965932759</v>
      </c>
      <c r="L11" s="296">
        <f t="shared" ca="1" si="2"/>
        <v>0.69301585322009063</v>
      </c>
      <c r="N11" s="145"/>
      <c r="O11" s="145"/>
      <c r="P11" s="145"/>
      <c r="Q11" s="145"/>
      <c r="R11" s="445"/>
      <c r="S11" s="458"/>
    </row>
    <row r="12" spans="1:20" x14ac:dyDescent="0.2">
      <c r="A12" s="400" t="s">
        <v>904</v>
      </c>
      <c r="B12" s="400"/>
      <c r="C12" s="400"/>
      <c r="D12" s="400"/>
      <c r="E12" s="400"/>
      <c r="F12" s="296">
        <f ca="1">F10/1000*'Battery Design'!F109*F8*'Battery Design'!F67/F5^2</f>
        <v>0.18338449814842969</v>
      </c>
      <c r="G12" s="296">
        <f ca="1">G10/1000*'Battery Design'!G109*G8*'Battery Design'!G67/G5^2</f>
        <v>0.18460376597351225</v>
      </c>
      <c r="H12" s="296">
        <f ca="1">H10/1000*'Battery Design'!H109*H8*'Battery Design'!H67/H5^2</f>
        <v>0.18651424997065508</v>
      </c>
      <c r="I12" s="296">
        <f ca="1">I10/1000*'Battery Design'!I109*I8*'Battery Design'!I67/I5^2</f>
        <v>0.18839716416346897</v>
      </c>
      <c r="J12" s="296">
        <f ca="1">J10/1000*'Battery Design'!J109*J8*'Battery Design'!J67/J5^2</f>
        <v>0.1902607268885291</v>
      </c>
      <c r="K12" s="296">
        <f ca="1">K10/1000*'Battery Design'!K109*K8*'Battery Design'!K67/K5^2</f>
        <v>0.19210972421419403</v>
      </c>
      <c r="L12" s="296">
        <f ca="1">L10/1000*'Battery Design'!L109*L8*'Battery Design'!L67/L5^2</f>
        <v>0.19394728166941907</v>
      </c>
      <c r="N12" s="145"/>
      <c r="O12" s="145"/>
      <c r="P12" s="145"/>
      <c r="Q12" s="145"/>
      <c r="R12" s="445"/>
      <c r="S12" s="458"/>
    </row>
    <row r="13" spans="1:20" x14ac:dyDescent="0.2">
      <c r="A13" s="400" t="s">
        <v>909</v>
      </c>
      <c r="B13" s="400"/>
      <c r="C13" s="400"/>
      <c r="D13" s="400"/>
      <c r="E13" s="400"/>
      <c r="F13" s="460">
        <f t="shared" ref="F13" ca="1" si="3">(F8*(F16+(F15-F14)*F17/3600*F18)*1000)^0.5/F5</f>
        <v>0.668555784287443</v>
      </c>
      <c r="G13" s="460">
        <f t="shared" ref="G13:L13" ca="1" si="4">(G8*(G16+(G15-G14)*G17/3600*G18)*1000)^0.5/G5</f>
        <v>0.60990019894061276</v>
      </c>
      <c r="H13" s="460">
        <f t="shared" ca="1" si="4"/>
        <v>0.53461678413148783</v>
      </c>
      <c r="I13" s="460">
        <f t="shared" ca="1" si="4"/>
        <v>0.48361867602426428</v>
      </c>
      <c r="J13" s="460">
        <f t="shared" ca="1" si="4"/>
        <v>0.44629924761963791</v>
      </c>
      <c r="K13" s="460">
        <f t="shared" ca="1" si="4"/>
        <v>0.41790917482580742</v>
      </c>
      <c r="L13" s="460">
        <f t="shared" ca="1" si="4"/>
        <v>0.3950647369918272</v>
      </c>
      <c r="N13" s="145"/>
      <c r="O13" s="145"/>
      <c r="P13" s="145"/>
      <c r="Q13" s="145"/>
      <c r="R13" s="445"/>
      <c r="S13" s="458"/>
    </row>
    <row r="14" spans="1:20" ht="14.25" x14ac:dyDescent="0.2">
      <c r="A14" s="400" t="s">
        <v>910</v>
      </c>
      <c r="F14" s="273">
        <v>15</v>
      </c>
      <c r="G14" s="273">
        <v>15</v>
      </c>
      <c r="H14" s="273">
        <v>15</v>
      </c>
      <c r="I14" s="273">
        <v>15</v>
      </c>
      <c r="J14" s="273">
        <v>15</v>
      </c>
      <c r="K14" s="273">
        <v>15</v>
      </c>
      <c r="L14" s="273">
        <v>15</v>
      </c>
      <c r="N14" s="145"/>
      <c r="O14" s="145"/>
      <c r="P14" s="145"/>
      <c r="Q14" s="145"/>
      <c r="R14" s="445"/>
      <c r="S14" s="458"/>
    </row>
    <row r="15" spans="1:20" ht="14.25" x14ac:dyDescent="0.2">
      <c r="A15" s="400" t="s">
        <v>911</v>
      </c>
      <c r="F15" s="273">
        <v>40</v>
      </c>
      <c r="G15" s="273">
        <v>40</v>
      </c>
      <c r="H15" s="273">
        <v>40</v>
      </c>
      <c r="I15" s="273">
        <v>40</v>
      </c>
      <c r="J15" s="273">
        <v>40</v>
      </c>
      <c r="K15" s="273">
        <v>40</v>
      </c>
      <c r="L15" s="273">
        <v>40</v>
      </c>
      <c r="N15" s="145"/>
      <c r="O15" s="145"/>
      <c r="P15" s="145"/>
      <c r="Q15" s="145"/>
      <c r="R15" s="445"/>
      <c r="S15" s="458"/>
    </row>
    <row r="16" spans="1:20" x14ac:dyDescent="0.2">
      <c r="A16" s="400" t="s">
        <v>912</v>
      </c>
      <c r="F16" s="5">
        <f ca="1">IF('Battery Design'!F185="Refrig 2",1,IF('Battery Design'!F185="Refrig 3",3,IF('Battery Design'!F185="Refrig 4",6)))</f>
        <v>6</v>
      </c>
      <c r="G16" s="5">
        <f ca="1">IF('Battery Design'!G185="Refrig 2",1,IF('Battery Design'!G185="Refrig 3",3,IF('Battery Design'!G185="Refrig 4",6)))</f>
        <v>6</v>
      </c>
      <c r="H16" s="5">
        <f ca="1">IF('Battery Design'!H185="Refrig 2",1,IF('Battery Design'!H185="Refrig 3",3,IF('Battery Design'!H185="Refrig 4",6)))</f>
        <v>6</v>
      </c>
      <c r="I16" s="5">
        <f ca="1">IF('Battery Design'!I185="Refrig 2",1,IF('Battery Design'!I185="Refrig 3",3,IF('Battery Design'!I185="Refrig 4",6)))</f>
        <v>6</v>
      </c>
      <c r="J16" s="5">
        <f ca="1">IF('Battery Design'!J185="Refrig 2",1,IF('Battery Design'!J185="Refrig 3",3,IF('Battery Design'!J185="Refrig 4",6)))</f>
        <v>6</v>
      </c>
      <c r="K16" s="5">
        <f ca="1">IF('Battery Design'!K185="Refrig 2",1,IF('Battery Design'!K185="Refrig 3",3,IF('Battery Design'!K185="Refrig 4",6)))</f>
        <v>6</v>
      </c>
      <c r="L16" s="5">
        <f ca="1">IF('Battery Design'!L185="Refrig 2",1,IF('Battery Design'!L185="Refrig 3",3,IF('Battery Design'!L185="Refrig 4",6)))</f>
        <v>6</v>
      </c>
      <c r="N16" s="142"/>
      <c r="O16" s="145"/>
      <c r="P16" s="469"/>
      <c r="Q16" s="469"/>
      <c r="R16" s="445"/>
      <c r="S16" s="458"/>
    </row>
    <row r="17" spans="1:22" ht="14.25" x14ac:dyDescent="0.2">
      <c r="A17" s="400" t="s">
        <v>913</v>
      </c>
      <c r="B17" s="400"/>
      <c r="C17" s="400"/>
      <c r="D17" s="400"/>
      <c r="E17" s="400"/>
      <c r="F17" s="284">
        <f>Thermal!F61</f>
        <v>0.85</v>
      </c>
      <c r="G17" s="284">
        <f>Thermal!G61</f>
        <v>0.85</v>
      </c>
      <c r="H17" s="284">
        <f>Thermal!H61</f>
        <v>0.85</v>
      </c>
      <c r="I17" s="284">
        <f>Thermal!I61</f>
        <v>0.85</v>
      </c>
      <c r="J17" s="284">
        <f>Thermal!J61</f>
        <v>0.85</v>
      </c>
      <c r="K17" s="284">
        <f>Thermal!K61</f>
        <v>0.85</v>
      </c>
      <c r="L17" s="284">
        <f>Thermal!L61</f>
        <v>0.85</v>
      </c>
      <c r="M17" s="400"/>
      <c r="N17" s="73"/>
      <c r="O17" s="142"/>
      <c r="P17" s="142"/>
      <c r="Q17" s="142"/>
      <c r="R17" s="142"/>
      <c r="S17" s="474"/>
      <c r="T17" s="400"/>
      <c r="U17" s="400"/>
      <c r="V17" s="400"/>
    </row>
    <row r="18" spans="1:22" x14ac:dyDescent="0.2">
      <c r="A18" s="400" t="s">
        <v>914</v>
      </c>
      <c r="F18" s="5">
        <f ca="1">Thermal!F62</f>
        <v>40.444608904215066</v>
      </c>
      <c r="G18" s="5">
        <f ca="1">Thermal!G62</f>
        <v>53.357619658462447</v>
      </c>
      <c r="H18" s="5">
        <f ca="1">Thermal!H62</f>
        <v>68.413495231065241</v>
      </c>
      <c r="I18" s="5">
        <f ca="1">Thermal!I62</f>
        <v>82.246433395246981</v>
      </c>
      <c r="J18" s="5">
        <f ca="1">Thermal!J62</f>
        <v>95.445568242238323</v>
      </c>
      <c r="K18" s="5">
        <f ca="1">Thermal!K62</f>
        <v>110.11301566360883</v>
      </c>
      <c r="L18" s="5">
        <f ca="1">Thermal!L62</f>
        <v>123.32463899297193</v>
      </c>
      <c r="N18" s="142"/>
      <c r="O18" s="145"/>
      <c r="P18" s="145"/>
      <c r="Q18" s="145"/>
      <c r="R18" s="145"/>
      <c r="S18" s="470"/>
    </row>
    <row r="19" spans="1:22" x14ac:dyDescent="0.2">
      <c r="A19" s="400" t="s">
        <v>918</v>
      </c>
      <c r="F19" s="19">
        <f ca="1">MIN(F11:F13)/F8/F3*F5</f>
        <v>2.5146778529418214</v>
      </c>
      <c r="G19" s="19">
        <f t="shared" ref="G19:L19" ca="1" si="5">MIN(G11:G13)/G8/G3*G5</f>
        <v>2.0495981210948475</v>
      </c>
      <c r="H19" s="19">
        <f t="shared" ca="1" si="5"/>
        <v>2.0495981210948475</v>
      </c>
      <c r="I19" s="19">
        <f t="shared" ca="1" si="5"/>
        <v>2.0495981210948475</v>
      </c>
      <c r="J19" s="19">
        <f t="shared" ca="1" si="5"/>
        <v>2.049598121094848</v>
      </c>
      <c r="K19" s="19">
        <f t="shared" ca="1" si="5"/>
        <v>2.0495981210948475</v>
      </c>
      <c r="L19" s="19">
        <f t="shared" ca="1" si="5"/>
        <v>2.0495981210948484</v>
      </c>
      <c r="N19" s="142"/>
      <c r="O19" s="145"/>
      <c r="P19" s="145"/>
      <c r="Q19" s="145"/>
      <c r="R19" s="145"/>
      <c r="S19" s="470"/>
    </row>
    <row r="20" spans="1:22" x14ac:dyDescent="0.2">
      <c r="A20" s="400" t="s">
        <v>907</v>
      </c>
      <c r="B20" s="400"/>
      <c r="C20" s="400"/>
      <c r="D20" s="400"/>
      <c r="E20" s="400"/>
      <c r="F20" s="461" t="str">
        <f ca="1">IF(F11=MIN(F11:F13),"Charger",IF(F12=MIN(F11:F13),"Li deposition",IF(F13=MIN(F11:F13),"Temperature")))</f>
        <v>Li deposition</v>
      </c>
      <c r="G20" s="461" t="str">
        <f t="shared" ref="G20:L20" ca="1" si="6">IF(G11=MIN(G11:G13),"Charger",IF(G12=MIN(G11:G13),"Li deposition",IF(G13=MIN(G11:G13),"Temperature")))</f>
        <v>Li deposition</v>
      </c>
      <c r="H20" s="461" t="str">
        <f t="shared" ca="1" si="6"/>
        <v>Li deposition</v>
      </c>
      <c r="I20" s="461" t="str">
        <f t="shared" ca="1" si="6"/>
        <v>Li deposition</v>
      </c>
      <c r="J20" s="461" t="str">
        <f t="shared" ca="1" si="6"/>
        <v>Li deposition</v>
      </c>
      <c r="K20" s="461" t="str">
        <f t="shared" ca="1" si="6"/>
        <v>Li deposition</v>
      </c>
      <c r="L20" s="461" t="str">
        <f t="shared" ca="1" si="6"/>
        <v>Li deposition</v>
      </c>
      <c r="N20" s="142"/>
      <c r="O20" s="145"/>
      <c r="P20" s="145"/>
      <c r="Q20" s="145"/>
      <c r="R20" s="145"/>
      <c r="S20" s="471"/>
    </row>
    <row r="21" spans="1:22" x14ac:dyDescent="0.2">
      <c r="A21" s="399" t="s">
        <v>899</v>
      </c>
      <c r="B21" s="399"/>
      <c r="C21" s="399"/>
      <c r="D21" s="399"/>
      <c r="E21" s="399"/>
      <c r="F21" s="462">
        <f t="shared" ref="F21" ca="1" si="7">0.6*F3*F8/MIN(F11:F12)/F5*60</f>
        <v>14.315949042095006</v>
      </c>
      <c r="G21" s="462">
        <f t="shared" ref="G21:L21" ca="1" si="8">0.6*G3*G8/MIN(G11:G12)/G5*60</f>
        <v>17.56441891192291</v>
      </c>
      <c r="H21" s="462">
        <f t="shared" ca="1" si="8"/>
        <v>17.564418911922907</v>
      </c>
      <c r="I21" s="462">
        <f t="shared" ca="1" si="8"/>
        <v>17.564418911922907</v>
      </c>
      <c r="J21" s="462">
        <f t="shared" ca="1" si="8"/>
        <v>17.5644189119229</v>
      </c>
      <c r="K21" s="462">
        <f t="shared" ca="1" si="8"/>
        <v>17.564418911922903</v>
      </c>
      <c r="L21" s="462">
        <f t="shared" ca="1" si="8"/>
        <v>17.564418911922896</v>
      </c>
      <c r="N21" s="142"/>
      <c r="O21" s="145"/>
      <c r="P21" s="145"/>
      <c r="Q21" s="145"/>
      <c r="R21" s="145"/>
      <c r="S21" s="169"/>
    </row>
    <row r="22" spans="1:22" x14ac:dyDescent="0.2">
      <c r="A22" s="399" t="s">
        <v>900</v>
      </c>
      <c r="B22" s="399"/>
      <c r="C22" s="399"/>
      <c r="D22" s="399"/>
      <c r="E22" s="399"/>
      <c r="F22" s="462">
        <f ca="1">F21+4/3*F21*0.1/0.6</f>
        <v>17.497271051449452</v>
      </c>
      <c r="G22" s="462">
        <f t="shared" ref="G22:L22" ca="1" si="9">G21+4/3*G21*0.1/0.6</f>
        <v>21.467623114572447</v>
      </c>
      <c r="H22" s="462">
        <f t="shared" ca="1" si="9"/>
        <v>21.46762311457244</v>
      </c>
      <c r="I22" s="462">
        <f t="shared" ca="1" si="9"/>
        <v>21.46762311457244</v>
      </c>
      <c r="J22" s="462">
        <f t="shared" ca="1" si="9"/>
        <v>21.467623114572433</v>
      </c>
      <c r="K22" s="462">
        <f t="shared" ca="1" si="9"/>
        <v>21.467623114572437</v>
      </c>
      <c r="L22" s="462">
        <f t="shared" ca="1" si="9"/>
        <v>21.467623114572429</v>
      </c>
      <c r="N22" s="142"/>
      <c r="O22" s="145"/>
      <c r="P22" s="145"/>
      <c r="Q22" s="145"/>
      <c r="R22" s="145"/>
      <c r="S22" s="470"/>
    </row>
    <row r="23" spans="1:22" x14ac:dyDescent="0.2">
      <c r="A23" s="399" t="s">
        <v>893</v>
      </c>
      <c r="B23" s="399"/>
      <c r="C23" s="399"/>
      <c r="D23" s="399"/>
      <c r="E23" s="399"/>
      <c r="F23" s="462">
        <f ca="1">F22+2*F21*0.1/0.6</f>
        <v>22.269254065481121</v>
      </c>
      <c r="G23" s="462">
        <f t="shared" ref="G23:L23" ca="1" si="10">G22+2*G21*0.1/0.6</f>
        <v>27.322429418546751</v>
      </c>
      <c r="H23" s="462">
        <f t="shared" ca="1" si="10"/>
        <v>27.322429418546744</v>
      </c>
      <c r="I23" s="462">
        <f t="shared" ca="1" si="10"/>
        <v>27.322429418546744</v>
      </c>
      <c r="J23" s="462">
        <f t="shared" ca="1" si="10"/>
        <v>27.322429418546733</v>
      </c>
      <c r="K23" s="462">
        <f t="shared" ca="1" si="10"/>
        <v>27.32242941854674</v>
      </c>
      <c r="L23" s="462">
        <f t="shared" ca="1" si="10"/>
        <v>27.322429418546729</v>
      </c>
      <c r="N23" s="142"/>
      <c r="O23" s="145"/>
      <c r="P23" s="145"/>
      <c r="Q23" s="145"/>
      <c r="R23" s="145"/>
      <c r="S23" s="459"/>
    </row>
    <row r="24" spans="1:22" x14ac:dyDescent="0.2">
      <c r="A24" s="399" t="s">
        <v>765</v>
      </c>
      <c r="F24" s="463">
        <f ca="1">'Summary of Results'!F72</f>
        <v>2249.6074687861869</v>
      </c>
      <c r="G24" s="463">
        <f ca="1">'Summary of Results'!G72</f>
        <v>2485.6111659821913</v>
      </c>
      <c r="H24" s="463">
        <f ca="1">'Summary of Results'!H72</f>
        <v>2773.9333068979004</v>
      </c>
      <c r="I24" s="463">
        <f ca="1">'Summary of Results'!I72</f>
        <v>3036.9106086047377</v>
      </c>
      <c r="J24" s="463">
        <f ca="1">'Summary of Results'!J72</f>
        <v>3292.3233670807795</v>
      </c>
      <c r="K24" s="463">
        <f ca="1">'Summary of Results'!K72</f>
        <v>3564.8110135201578</v>
      </c>
      <c r="L24" s="463">
        <f ca="1">'Summary of Results'!L72</f>
        <v>3811.6311796174032</v>
      </c>
      <c r="N24" s="142"/>
      <c r="O24" s="145"/>
      <c r="P24" s="145"/>
      <c r="Q24" s="145"/>
      <c r="R24" s="145"/>
      <c r="S24" s="206"/>
    </row>
    <row r="25" spans="1:22" x14ac:dyDescent="0.2">
      <c r="A25" s="145"/>
      <c r="B25" s="145"/>
      <c r="C25" s="145"/>
      <c r="D25" s="145"/>
      <c r="E25" s="145"/>
      <c r="F25" s="145"/>
      <c r="G25" s="145"/>
      <c r="H25" s="145"/>
      <c r="I25" s="145"/>
      <c r="J25" s="145"/>
      <c r="K25" s="145"/>
      <c r="L25" s="145"/>
      <c r="N25" s="142"/>
      <c r="O25" s="142"/>
      <c r="P25" s="142"/>
      <c r="Q25" s="142"/>
      <c r="R25" s="142"/>
      <c r="S25" s="416"/>
    </row>
    <row r="26" spans="1:22" x14ac:dyDescent="0.2">
      <c r="A26" s="263"/>
      <c r="B26" s="145"/>
      <c r="C26" s="145"/>
      <c r="D26" s="145"/>
      <c r="E26" s="382"/>
      <c r="F26" s="445"/>
      <c r="G26" s="445"/>
      <c r="H26" s="445"/>
      <c r="I26" s="445"/>
      <c r="J26" s="445"/>
      <c r="K26" s="445"/>
      <c r="L26" s="445"/>
    </row>
    <row r="27" spans="1:22" ht="12.75" customHeight="1" x14ac:dyDescent="0.25">
      <c r="A27" s="479"/>
      <c r="B27" s="479"/>
      <c r="C27" s="479"/>
      <c r="D27" s="479"/>
      <c r="E27" s="479"/>
      <c r="F27" s="479"/>
      <c r="G27" s="479"/>
      <c r="H27" s="479"/>
      <c r="I27" s="479"/>
      <c r="J27" s="475"/>
      <c r="K27" s="475"/>
      <c r="L27" s="145"/>
    </row>
    <row r="28" spans="1:22" ht="12.75" customHeight="1" x14ac:dyDescent="0.25">
      <c r="A28" s="479"/>
      <c r="B28" s="479"/>
      <c r="C28" s="479"/>
      <c r="D28" s="479"/>
      <c r="E28" s="479"/>
      <c r="F28" s="479"/>
      <c r="G28" s="479"/>
      <c r="H28" s="479"/>
      <c r="I28" s="479"/>
      <c r="J28" s="145"/>
      <c r="K28" s="145"/>
      <c r="L28" s="145"/>
    </row>
    <row r="29" spans="1:22" ht="12.75" customHeight="1" x14ac:dyDescent="0.25">
      <c r="A29" s="479"/>
      <c r="B29" s="479"/>
      <c r="C29" s="479"/>
      <c r="D29" s="479"/>
      <c r="E29" s="479"/>
      <c r="F29" s="479"/>
      <c r="G29" s="479"/>
      <c r="H29" s="479"/>
      <c r="I29" s="479"/>
      <c r="J29" s="145"/>
      <c r="K29" s="145"/>
      <c r="L29" s="145"/>
    </row>
    <row r="30" spans="1:22" ht="12.75" customHeight="1" x14ac:dyDescent="0.25">
      <c r="A30" s="479"/>
      <c r="B30" s="479"/>
      <c r="C30" s="479"/>
      <c r="D30" s="479"/>
      <c r="E30" s="479"/>
      <c r="F30" s="479"/>
      <c r="G30" s="479"/>
      <c r="H30" s="479"/>
      <c r="I30" s="479"/>
      <c r="J30" s="145"/>
      <c r="K30" s="145"/>
      <c r="L30" s="145"/>
    </row>
    <row r="31" spans="1:22" ht="12.75" customHeight="1" x14ac:dyDescent="0.25">
      <c r="A31" s="479"/>
      <c r="B31" s="479"/>
      <c r="C31" s="479"/>
      <c r="D31" s="479"/>
      <c r="E31" s="479"/>
      <c r="F31" s="479"/>
      <c r="G31" s="479"/>
      <c r="H31" s="479"/>
      <c r="I31" s="479"/>
      <c r="J31" s="145"/>
      <c r="K31" s="145"/>
      <c r="L31" s="145"/>
    </row>
    <row r="32" spans="1:22" x14ac:dyDescent="0.2">
      <c r="A32" s="142"/>
      <c r="B32" s="145"/>
      <c r="C32" s="145"/>
      <c r="D32" s="145"/>
      <c r="E32" s="145"/>
      <c r="F32" s="470"/>
      <c r="G32" s="470"/>
      <c r="H32" s="470"/>
      <c r="I32" s="470"/>
      <c r="J32" s="145"/>
      <c r="K32" s="145"/>
      <c r="L32" s="145"/>
    </row>
    <row r="33" spans="1:12" x14ac:dyDescent="0.2">
      <c r="A33" s="142"/>
      <c r="B33" s="145"/>
      <c r="C33" s="145"/>
      <c r="D33" s="145"/>
      <c r="E33" s="145"/>
      <c r="F33" s="470"/>
      <c r="G33" s="470"/>
      <c r="H33" s="470"/>
      <c r="I33" s="470"/>
      <c r="J33" s="460"/>
      <c r="K33" s="460"/>
      <c r="L33" s="460"/>
    </row>
    <row r="34" spans="1:12" x14ac:dyDescent="0.2">
      <c r="A34" s="142"/>
      <c r="B34" s="145"/>
      <c r="C34" s="145"/>
      <c r="D34" s="145"/>
      <c r="E34" s="145"/>
      <c r="F34" s="459"/>
      <c r="G34" s="459"/>
      <c r="H34" s="459"/>
      <c r="I34" s="459"/>
      <c r="J34" s="145"/>
      <c r="K34" s="145"/>
      <c r="L34" s="145"/>
    </row>
    <row r="35" spans="1:12" x14ac:dyDescent="0.2">
      <c r="A35" s="142"/>
      <c r="B35" s="142"/>
      <c r="C35" s="142"/>
      <c r="D35" s="142"/>
      <c r="E35" s="142"/>
      <c r="F35" s="125"/>
      <c r="G35" s="125"/>
      <c r="H35" s="125"/>
      <c r="I35" s="125"/>
      <c r="J35" s="169"/>
      <c r="K35" s="169"/>
      <c r="L35" s="169"/>
    </row>
    <row r="36" spans="1:12" x14ac:dyDescent="0.2">
      <c r="A36" s="142"/>
      <c r="B36" s="142"/>
      <c r="C36" s="142"/>
      <c r="D36" s="142"/>
      <c r="E36" s="142"/>
      <c r="F36" s="368"/>
      <c r="G36" s="368"/>
      <c r="H36" s="368"/>
      <c r="I36" s="368"/>
      <c r="J36" s="145"/>
      <c r="K36" s="145"/>
      <c r="L36" s="145"/>
    </row>
    <row r="37" spans="1:12" x14ac:dyDescent="0.2">
      <c r="A37" s="142"/>
      <c r="B37" s="142"/>
      <c r="C37" s="142"/>
      <c r="D37" s="142"/>
      <c r="E37" s="142"/>
      <c r="F37" s="416"/>
      <c r="G37" s="416"/>
      <c r="H37" s="416"/>
      <c r="I37" s="416"/>
      <c r="J37" s="145"/>
      <c r="K37" s="145"/>
      <c r="L37" s="145"/>
    </row>
    <row r="38" spans="1:12" x14ac:dyDescent="0.2">
      <c r="A38" s="142"/>
      <c r="B38" s="142"/>
      <c r="C38" s="142"/>
      <c r="D38" s="142"/>
      <c r="E38" s="142"/>
      <c r="F38" s="416"/>
      <c r="G38" s="416"/>
      <c r="H38" s="416"/>
      <c r="I38" s="416"/>
      <c r="J38" s="145"/>
      <c r="K38" s="145"/>
      <c r="L38" s="145"/>
    </row>
    <row r="39" spans="1:12" x14ac:dyDescent="0.2">
      <c r="A39" s="142"/>
      <c r="B39" s="142"/>
      <c r="C39" s="142"/>
      <c r="D39" s="142"/>
      <c r="E39" s="142"/>
      <c r="F39" s="460"/>
      <c r="G39" s="460"/>
      <c r="H39" s="460"/>
      <c r="I39" s="460"/>
      <c r="J39" s="145"/>
      <c r="K39" s="145"/>
      <c r="L39" s="145"/>
    </row>
    <row r="40" spans="1:12" x14ac:dyDescent="0.2">
      <c r="A40" s="142"/>
      <c r="B40" s="145"/>
      <c r="C40" s="145"/>
      <c r="D40" s="145"/>
      <c r="E40" s="145"/>
      <c r="F40" s="445"/>
      <c r="G40" s="445"/>
      <c r="H40" s="445"/>
      <c r="I40" s="445"/>
      <c r="J40" s="145"/>
      <c r="K40" s="145"/>
      <c r="L40" s="145"/>
    </row>
    <row r="41" spans="1:12" x14ac:dyDescent="0.2">
      <c r="A41" s="142"/>
      <c r="B41" s="145"/>
      <c r="C41" s="145"/>
      <c r="D41" s="145"/>
      <c r="E41" s="145"/>
      <c r="F41" s="445"/>
      <c r="G41" s="445"/>
      <c r="H41" s="445"/>
      <c r="I41" s="445"/>
      <c r="J41" s="145"/>
      <c r="K41" s="145"/>
      <c r="L41" s="145"/>
    </row>
    <row r="42" spans="1:12" x14ac:dyDescent="0.2">
      <c r="A42" s="142"/>
      <c r="B42" s="145"/>
      <c r="C42" s="145"/>
      <c r="D42" s="145"/>
      <c r="E42" s="145"/>
      <c r="F42" s="470"/>
      <c r="G42" s="470"/>
      <c r="H42" s="470"/>
      <c r="I42" s="470"/>
      <c r="J42" s="145"/>
      <c r="K42" s="145"/>
      <c r="L42" s="145"/>
    </row>
    <row r="43" spans="1:12" x14ac:dyDescent="0.2">
      <c r="A43" s="145"/>
      <c r="B43" s="145"/>
      <c r="C43" s="145"/>
      <c r="D43" s="145"/>
      <c r="E43" s="145"/>
      <c r="F43" s="206"/>
      <c r="G43" s="206"/>
      <c r="H43" s="206"/>
      <c r="I43" s="206"/>
      <c r="J43" s="145"/>
      <c r="K43" s="145"/>
      <c r="L43" s="145"/>
    </row>
    <row r="44" spans="1:12" x14ac:dyDescent="0.2">
      <c r="A44" s="142"/>
      <c r="B44" s="145"/>
      <c r="C44" s="145"/>
      <c r="D44" s="145"/>
      <c r="E44" s="145"/>
      <c r="F44" s="470"/>
      <c r="G44" s="470"/>
      <c r="H44" s="470"/>
      <c r="I44" s="470"/>
      <c r="J44" s="145"/>
      <c r="K44" s="145"/>
      <c r="L44" s="145"/>
    </row>
    <row r="45" spans="1:12" x14ac:dyDescent="0.2">
      <c r="A45" s="142"/>
      <c r="B45" s="145"/>
      <c r="C45" s="145"/>
      <c r="D45" s="145"/>
      <c r="E45" s="145"/>
      <c r="F45" s="206"/>
      <c r="G45" s="206"/>
      <c r="H45" s="206"/>
      <c r="I45" s="206"/>
      <c r="J45" s="145"/>
      <c r="K45" s="145"/>
      <c r="L45" s="145"/>
    </row>
    <row r="46" spans="1:12" x14ac:dyDescent="0.2">
      <c r="A46" s="142"/>
      <c r="B46" s="142"/>
      <c r="C46" s="142"/>
      <c r="D46" s="142"/>
      <c r="E46" s="142"/>
      <c r="F46" s="476"/>
      <c r="G46" s="476"/>
      <c r="H46" s="476"/>
      <c r="I46" s="476"/>
      <c r="J46" s="145"/>
      <c r="K46" s="145"/>
      <c r="L46" s="145"/>
    </row>
    <row r="47" spans="1:12" x14ac:dyDescent="0.2">
      <c r="A47" s="73"/>
      <c r="B47" s="73"/>
      <c r="C47" s="73"/>
      <c r="D47" s="73"/>
      <c r="E47" s="73"/>
      <c r="F47" s="477"/>
      <c r="G47" s="477"/>
      <c r="H47" s="477"/>
      <c r="I47" s="477"/>
      <c r="J47" s="145"/>
      <c r="K47" s="145"/>
      <c r="L47" s="145"/>
    </row>
    <row r="48" spans="1:12" x14ac:dyDescent="0.2">
      <c r="A48" s="73"/>
      <c r="B48" s="73"/>
      <c r="C48" s="73"/>
      <c r="D48" s="73"/>
      <c r="E48" s="73"/>
      <c r="F48" s="477"/>
      <c r="G48" s="477"/>
      <c r="H48" s="477"/>
      <c r="I48" s="477"/>
      <c r="J48" s="145"/>
      <c r="K48" s="145"/>
      <c r="L48" s="145"/>
    </row>
    <row r="49" spans="1:12" x14ac:dyDescent="0.2">
      <c r="A49" s="73"/>
      <c r="B49" s="73"/>
      <c r="C49" s="73"/>
      <c r="D49" s="73"/>
      <c r="E49" s="73"/>
      <c r="F49" s="477"/>
      <c r="G49" s="477"/>
      <c r="H49" s="477"/>
      <c r="I49" s="477"/>
      <c r="J49" s="145"/>
      <c r="K49" s="145"/>
      <c r="L49" s="145"/>
    </row>
    <row r="50" spans="1:12" x14ac:dyDescent="0.2">
      <c r="A50" s="73"/>
      <c r="B50" s="145"/>
      <c r="C50" s="145"/>
      <c r="D50" s="145"/>
      <c r="E50" s="145"/>
      <c r="F50" s="478"/>
      <c r="G50" s="478"/>
      <c r="H50" s="478"/>
      <c r="I50" s="478"/>
      <c r="J50" s="145"/>
      <c r="K50" s="145"/>
      <c r="L50" s="145"/>
    </row>
  </sheetData>
  <mergeCells count="1">
    <mergeCell ref="A1:L1"/>
  </mergeCells>
  <pageMargins left="0.7" right="0.7" top="0.75" bottom="0.75" header="0.3" footer="0.3"/>
  <pageSetup scale="8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4"/>
  </sheetPr>
  <dimension ref="A1:O86"/>
  <sheetViews>
    <sheetView topLeftCell="A25" zoomScaleNormal="100" workbookViewId="0">
      <selection activeCell="N78" sqref="N78"/>
    </sheetView>
  </sheetViews>
  <sheetFormatPr defaultRowHeight="12.75" x14ac:dyDescent="0.2"/>
  <cols>
    <col min="1" max="1" width="9" customWidth="1"/>
    <col min="2" max="2" width="8.42578125" customWidth="1"/>
    <col min="3" max="3" width="8.5703125" customWidth="1"/>
    <col min="4" max="4" width="9.7109375" customWidth="1"/>
    <col min="5" max="5" width="12.5703125" customWidth="1"/>
    <col min="6" max="14" width="10.7109375" customWidth="1"/>
  </cols>
  <sheetData>
    <row r="1" spans="1:12" ht="15.75" customHeight="1" x14ac:dyDescent="0.25">
      <c r="A1" s="626" t="s">
        <v>176</v>
      </c>
      <c r="B1" s="626"/>
      <c r="C1" s="626"/>
      <c r="D1" s="626"/>
      <c r="E1" s="626"/>
      <c r="F1" s="626"/>
      <c r="G1" s="626"/>
      <c r="H1" s="626"/>
      <c r="I1" s="626"/>
      <c r="J1" s="626"/>
      <c r="K1" s="626"/>
      <c r="L1" s="626"/>
    </row>
    <row r="2" spans="1:12" ht="15.75" customHeight="1" x14ac:dyDescent="0.25">
      <c r="A2" s="628" t="str">
        <f>'Battery Design'!A2:J2</f>
        <v>Manganese-Spinel/Graphite</v>
      </c>
      <c r="B2" s="628"/>
      <c r="C2" s="628"/>
      <c r="D2" s="628"/>
      <c r="E2" s="628"/>
      <c r="F2" s="628"/>
      <c r="G2" s="628"/>
      <c r="H2" s="628"/>
      <c r="I2" s="628"/>
      <c r="J2" s="628"/>
      <c r="K2" s="628"/>
      <c r="L2" s="628"/>
    </row>
    <row r="3" spans="1:12" x14ac:dyDescent="0.2">
      <c r="A3" s="54"/>
      <c r="B3" s="54"/>
      <c r="C3" s="54"/>
      <c r="D3" s="54"/>
      <c r="E3" s="54"/>
      <c r="F3" s="55" t="s">
        <v>0</v>
      </c>
      <c r="G3" s="55" t="s">
        <v>1</v>
      </c>
      <c r="H3" s="55" t="s">
        <v>2</v>
      </c>
      <c r="I3" s="55" t="s">
        <v>3</v>
      </c>
      <c r="J3" s="55" t="s">
        <v>4</v>
      </c>
      <c r="K3" s="314" t="s">
        <v>750</v>
      </c>
      <c r="L3" s="316" t="s">
        <v>752</v>
      </c>
    </row>
    <row r="4" spans="1:12" ht="15.75" x14ac:dyDescent="0.25">
      <c r="A4" s="17" t="s">
        <v>35</v>
      </c>
      <c r="F4" s="2"/>
      <c r="G4" s="2"/>
      <c r="H4" s="2"/>
      <c r="I4" s="2"/>
      <c r="J4" s="51"/>
      <c r="K4" s="51"/>
      <c r="L4" s="51"/>
    </row>
    <row r="5" spans="1:12" x14ac:dyDescent="0.2">
      <c r="A5" t="s">
        <v>194</v>
      </c>
      <c r="D5" s="2"/>
      <c r="F5" s="118">
        <f ca="1">'Battery Design'!F193</f>
        <v>11.20000000000001</v>
      </c>
      <c r="G5" s="118">
        <f ca="1">'Battery Design'!G193</f>
        <v>16.800000000000008</v>
      </c>
      <c r="H5" s="118">
        <f ca="1">'Battery Design'!H193</f>
        <v>22.400000000000006</v>
      </c>
      <c r="I5" s="118">
        <f ca="1">'Battery Design'!I193</f>
        <v>28.000000000000064</v>
      </c>
      <c r="J5" s="118">
        <f ca="1">'Battery Design'!J193</f>
        <v>33.600000000000037</v>
      </c>
      <c r="K5" s="118">
        <f ca="1">'Battery Design'!K193</f>
        <v>39.199999999999989</v>
      </c>
      <c r="L5" s="118">
        <f ca="1">'Battery Design'!L193</f>
        <v>44.80000000000004</v>
      </c>
    </row>
    <row r="6" spans="1:12" x14ac:dyDescent="0.2">
      <c r="A6" s="253" t="s">
        <v>654</v>
      </c>
      <c r="F6" s="214">
        <f>'Battery Design'!F65</f>
        <v>1</v>
      </c>
      <c r="G6" s="214">
        <f>'Battery Design'!G65</f>
        <v>1</v>
      </c>
      <c r="H6" s="214">
        <f>'Battery Design'!H65</f>
        <v>1</v>
      </c>
      <c r="I6" s="214">
        <f>'Battery Design'!I65</f>
        <v>1</v>
      </c>
      <c r="J6" s="214">
        <f>'Battery Design'!J65</f>
        <v>1</v>
      </c>
      <c r="K6" s="214">
        <f>'Battery Design'!K65</f>
        <v>1</v>
      </c>
      <c r="L6" s="214">
        <f>'Battery Design'!L65</f>
        <v>1</v>
      </c>
    </row>
    <row r="7" spans="1:12" x14ac:dyDescent="0.2">
      <c r="A7" s="253" t="s">
        <v>658</v>
      </c>
      <c r="F7" s="286" t="str">
        <f>IF(F6=1," ",IF('Battery Design'!F66="P","parallel",IF('Battery Design'!F66="S","series"," ")))</f>
        <v xml:space="preserve"> </v>
      </c>
      <c r="G7" s="286" t="str">
        <f>IF(G6=1," ",IF('Battery Design'!G66="P","parallel",IF('Battery Design'!G66="S","series"," ")))</f>
        <v xml:space="preserve"> </v>
      </c>
      <c r="H7" s="286" t="str">
        <f>IF(H6=1," ",IF('Battery Design'!H66="P","parallel",IF('Battery Design'!H66="S","series"," ")))</f>
        <v xml:space="preserve"> </v>
      </c>
      <c r="I7" s="286" t="str">
        <f>IF(I6=1," ",IF('Battery Design'!I66="P","parallel",IF('Battery Design'!I66="S","series"," ")))</f>
        <v xml:space="preserve"> </v>
      </c>
      <c r="J7" s="286" t="str">
        <f>IF(J6=1," ",IF('Battery Design'!J66="P","parallel",IF('Battery Design'!J66="S","series"," ")))</f>
        <v xml:space="preserve"> </v>
      </c>
      <c r="K7" s="286" t="str">
        <f>IF(K6=1," ",IF('Battery Design'!K66="P","parallel",IF('Battery Design'!K66="S","series"," ")))</f>
        <v xml:space="preserve"> </v>
      </c>
      <c r="L7" s="286" t="str">
        <f>IF(L6=1," ",IF('Battery Design'!L66="P","parallel",IF('Battery Design'!L66="S","series"," ")))</f>
        <v xml:space="preserve"> </v>
      </c>
    </row>
    <row r="8" spans="1:12" x14ac:dyDescent="0.2">
      <c r="A8" t="s">
        <v>691</v>
      </c>
      <c r="F8" s="119">
        <f>'Battery Design'!F67</f>
        <v>96</v>
      </c>
      <c r="G8" s="119">
        <f>'Battery Design'!G67</f>
        <v>96</v>
      </c>
      <c r="H8" s="119">
        <f>'Battery Design'!H67</f>
        <v>96</v>
      </c>
      <c r="I8" s="119">
        <f>'Battery Design'!I67</f>
        <v>96</v>
      </c>
      <c r="J8" s="119">
        <f>'Battery Design'!J67</f>
        <v>96</v>
      </c>
      <c r="K8" s="119">
        <f>'Battery Design'!K67</f>
        <v>96</v>
      </c>
      <c r="L8" s="119">
        <f>'Battery Design'!L67</f>
        <v>96</v>
      </c>
    </row>
    <row r="9" spans="1:12" x14ac:dyDescent="0.2">
      <c r="A9" s="253" t="s">
        <v>655</v>
      </c>
      <c r="F9" s="118">
        <f ca="1">'Battery Design'!F144*F6</f>
        <v>4.0000000000000036</v>
      </c>
      <c r="G9" s="118">
        <f ca="1">'Battery Design'!G144*G6</f>
        <v>6.0000000000000027</v>
      </c>
      <c r="H9" s="118">
        <f ca="1">'Battery Design'!H144*H6</f>
        <v>8.0000000000000018</v>
      </c>
      <c r="I9" s="118">
        <f ca="1">'Battery Design'!I144*I6</f>
        <v>10.000000000000023</v>
      </c>
      <c r="J9" s="118">
        <f ca="1">'Battery Design'!J144*J6</f>
        <v>12.000000000000012</v>
      </c>
      <c r="K9" s="118">
        <f ca="1">'Battery Design'!K144*K6</f>
        <v>13.999999999999995</v>
      </c>
      <c r="L9" s="118">
        <f ca="1">'Battery Design'!L144*L6</f>
        <v>16.000000000000014</v>
      </c>
    </row>
    <row r="10" spans="1:12" x14ac:dyDescent="0.2">
      <c r="A10" s="253" t="s">
        <v>592</v>
      </c>
      <c r="F10" s="118">
        <f ca="1">'Battery Design'!F79</f>
        <v>10.603037711833156</v>
      </c>
      <c r="G10" s="118">
        <f ca="1">'Battery Design'!G79</f>
        <v>15.927717249004788</v>
      </c>
      <c r="H10" s="118">
        <f ca="1">'Battery Design'!H79</f>
        <v>21.238638051735272</v>
      </c>
      <c r="I10" s="118">
        <f ca="1">'Battery Design'!I79</f>
        <v>26.550369704422842</v>
      </c>
      <c r="J10" s="118">
        <f ca="1">'Battery Design'!J79</f>
        <v>31.862905039781463</v>
      </c>
      <c r="K10" s="118">
        <f ca="1">'Battery Design'!K79</f>
        <v>37.176238834191054</v>
      </c>
      <c r="L10" s="118">
        <f ca="1">'Battery Design'!L79</f>
        <v>42.49036715129558</v>
      </c>
    </row>
    <row r="11" spans="1:12" x14ac:dyDescent="0.2">
      <c r="A11" s="253" t="s">
        <v>689</v>
      </c>
      <c r="F11" s="118">
        <f ca="1">'Battery Design'!F78</f>
        <v>10.603037711833156</v>
      </c>
      <c r="G11" s="118">
        <f ca="1">'Battery Design'!G78</f>
        <v>15.927717249004788</v>
      </c>
      <c r="H11" s="118">
        <f ca="1">'Battery Design'!H78</f>
        <v>21.238638051735272</v>
      </c>
      <c r="I11" s="118">
        <f ca="1">'Battery Design'!I78</f>
        <v>26.550369704422842</v>
      </c>
      <c r="J11" s="118">
        <f ca="1">'Battery Design'!J78</f>
        <v>31.862905039781463</v>
      </c>
      <c r="K11" s="118">
        <f ca="1">'Battery Design'!K78</f>
        <v>37.176238834191054</v>
      </c>
      <c r="L11" s="118">
        <f ca="1">'Battery Design'!L78</f>
        <v>42.49036715129558</v>
      </c>
    </row>
    <row r="12" spans="1:12" x14ac:dyDescent="0.2">
      <c r="A12" s="253" t="s">
        <v>685</v>
      </c>
      <c r="F12" s="118">
        <f ca="1">'Battery Design'!F121</f>
        <v>10.603037711833156</v>
      </c>
      <c r="G12" s="118">
        <f ca="1">'Battery Design'!G121</f>
        <v>15.927717249004788</v>
      </c>
      <c r="H12" s="118">
        <f ca="1">'Battery Design'!H121</f>
        <v>21.238638051735272</v>
      </c>
      <c r="I12" s="118">
        <f ca="1">'Battery Design'!I121</f>
        <v>26.550369704422842</v>
      </c>
      <c r="J12" s="118">
        <f ca="1">'Battery Design'!J121</f>
        <v>31.862905039781463</v>
      </c>
      <c r="K12" s="118">
        <f ca="1">'Battery Design'!K121</f>
        <v>37.176238834191054</v>
      </c>
      <c r="L12" s="118">
        <f ca="1">'Battery Design'!L121</f>
        <v>42.49036715129558</v>
      </c>
    </row>
    <row r="13" spans="1:12" x14ac:dyDescent="0.2">
      <c r="A13" s="253" t="s">
        <v>670</v>
      </c>
      <c r="F13" s="118">
        <f ca="1">'Battery Design'!F143</f>
        <v>10.603037711833156</v>
      </c>
      <c r="G13" s="118">
        <f ca="1">'Battery Design'!G143</f>
        <v>15.927717249004788</v>
      </c>
      <c r="H13" s="118">
        <f ca="1">'Battery Design'!H143</f>
        <v>21.238638051735272</v>
      </c>
      <c r="I13" s="118">
        <f ca="1">'Battery Design'!I143</f>
        <v>26.550369704422842</v>
      </c>
      <c r="J13" s="118">
        <f ca="1">'Battery Design'!J143</f>
        <v>31.862905039781463</v>
      </c>
      <c r="K13" s="118">
        <f ca="1">'Battery Design'!K143</f>
        <v>37.176238834191054</v>
      </c>
      <c r="L13" s="118">
        <f ca="1">'Battery Design'!L143</f>
        <v>42.49036715129558</v>
      </c>
    </row>
    <row r="14" spans="1:12" x14ac:dyDescent="0.2">
      <c r="A14" s="253" t="s">
        <v>668</v>
      </c>
      <c r="F14" s="118">
        <f t="shared" ref="F14:K14" ca="1" si="0">IF(F7="parallel",F6*F13,F13)</f>
        <v>10.603037711833156</v>
      </c>
      <c r="G14" s="118">
        <f t="shared" ca="1" si="0"/>
        <v>15.927717249004788</v>
      </c>
      <c r="H14" s="118">
        <f t="shared" ca="1" si="0"/>
        <v>21.238638051735272</v>
      </c>
      <c r="I14" s="118">
        <f t="shared" ca="1" si="0"/>
        <v>26.550369704422842</v>
      </c>
      <c r="J14" s="118">
        <f t="shared" ca="1" si="0"/>
        <v>31.862905039781463</v>
      </c>
      <c r="K14" s="118">
        <f t="shared" ca="1" si="0"/>
        <v>37.176238834191054</v>
      </c>
      <c r="L14" s="118">
        <f t="shared" ref="L14" ca="1" si="1">IF(L7="parallel",L6*L13,L13)</f>
        <v>42.49036715129558</v>
      </c>
    </row>
    <row r="15" spans="1:12" x14ac:dyDescent="0.2">
      <c r="A15" s="253" t="s">
        <v>659</v>
      </c>
      <c r="F15" s="119">
        <f>'Battery Design'!F147*IF('Battery Design'!F66="S",'Battery Design'!F65,1)</f>
        <v>379.584</v>
      </c>
      <c r="G15" s="119">
        <f>'Battery Design'!G147*IF('Battery Design'!G66="S",'Battery Design'!G65,1)</f>
        <v>379.584</v>
      </c>
      <c r="H15" s="119">
        <f>'Battery Design'!H147*IF('Battery Design'!H66="S",'Battery Design'!H65,1)</f>
        <v>379.584</v>
      </c>
      <c r="I15" s="119">
        <f>'Battery Design'!I147*IF('Battery Design'!I66="S",'Battery Design'!I65,1)</f>
        <v>379.584</v>
      </c>
      <c r="J15" s="119">
        <f>'Battery Design'!J147*IF('Battery Design'!J66="S",'Battery Design'!J65,1)</f>
        <v>379.584</v>
      </c>
      <c r="K15" s="119">
        <f>'Battery Design'!K147*IF('Battery Design'!K66="S",'Battery Design'!K65,1)</f>
        <v>379.584</v>
      </c>
      <c r="L15" s="119">
        <f>'Battery Design'!L147*IF('Battery Design'!L66="S",'Battery Design'!L65,1)</f>
        <v>379.584</v>
      </c>
    </row>
    <row r="16" spans="1:12" x14ac:dyDescent="0.2">
      <c r="A16" s="253" t="s">
        <v>656</v>
      </c>
      <c r="F16" s="118">
        <f ca="1">'Battery Design'!F148*F6</f>
        <v>60.000000000000007</v>
      </c>
      <c r="G16" s="118">
        <f ca="1">'Battery Design'!G148*G6</f>
        <v>72.744106133087698</v>
      </c>
      <c r="H16" s="118">
        <f ca="1">'Battery Design'!H148*H6</f>
        <v>95.293204855200543</v>
      </c>
      <c r="I16" s="118">
        <f ca="1">'Battery Design'!I148*I6</f>
        <v>117.03719608035212</v>
      </c>
      <c r="J16" s="118">
        <f ca="1">'Battery Design'!J148*J6</f>
        <v>138.03400841597346</v>
      </c>
      <c r="K16" s="118">
        <f ca="1">'Battery Design'!K148*K6</f>
        <v>158.32920265404357</v>
      </c>
      <c r="L16" s="118">
        <f ca="1">'Battery Design'!L148*L6</f>
        <v>177.96225181488037</v>
      </c>
    </row>
    <row r="17" spans="1:12" x14ac:dyDescent="0.2">
      <c r="A17" s="266" t="s">
        <v>657</v>
      </c>
      <c r="B17" s="99"/>
      <c r="C17" s="99"/>
      <c r="D17" s="99"/>
      <c r="E17" s="99"/>
      <c r="F17" s="324">
        <f>'Battery Design'!F56*F6</f>
        <v>60</v>
      </c>
      <c r="G17" s="324">
        <f>'Battery Design'!G56*G6</f>
        <v>60</v>
      </c>
      <c r="H17" s="324">
        <f>'Battery Design'!H56*H6</f>
        <v>60</v>
      </c>
      <c r="I17" s="324">
        <f>'Battery Design'!I56*I6</f>
        <v>60</v>
      </c>
      <c r="J17" s="324">
        <f>'Battery Design'!J56*J6</f>
        <v>60</v>
      </c>
      <c r="K17" s="324">
        <f>'Battery Design'!K56*K6</f>
        <v>60</v>
      </c>
      <c r="L17" s="324">
        <f>'Battery Design'!L56*L6</f>
        <v>60</v>
      </c>
    </row>
    <row r="18" spans="1:12" x14ac:dyDescent="0.2">
      <c r="A18" s="138" t="s">
        <v>184</v>
      </c>
      <c r="B18" s="99"/>
      <c r="C18" s="99"/>
      <c r="D18" s="99"/>
      <c r="E18" s="99"/>
      <c r="F18" s="324">
        <f>'Battery Design'!F49</f>
        <v>80</v>
      </c>
      <c r="G18" s="324">
        <f>'Battery Design'!G49</f>
        <v>80</v>
      </c>
      <c r="H18" s="324">
        <f>'Battery Design'!H49</f>
        <v>80</v>
      </c>
      <c r="I18" s="324">
        <f>'Battery Design'!I49</f>
        <v>80</v>
      </c>
      <c r="J18" s="324">
        <f>'Battery Design'!J49</f>
        <v>80</v>
      </c>
      <c r="K18" s="324">
        <f>'Battery Design'!K49</f>
        <v>80</v>
      </c>
      <c r="L18" s="324">
        <f>'Battery Design'!L49</f>
        <v>80</v>
      </c>
    </row>
    <row r="19" spans="1:12" x14ac:dyDescent="0.2">
      <c r="A19" s="99" t="s">
        <v>186</v>
      </c>
      <c r="B19" s="99"/>
      <c r="C19" s="99"/>
      <c r="D19" s="99"/>
      <c r="E19" s="99"/>
      <c r="F19" s="324">
        <f ca="1">'Battery Design'!F50</f>
        <v>80</v>
      </c>
      <c r="G19" s="324">
        <f ca="1">'Battery Design'!G50</f>
        <v>84.355573865313175</v>
      </c>
      <c r="H19" s="324">
        <f ca="1">'Battery Design'!H50</f>
        <v>88.633961004108571</v>
      </c>
      <c r="I19" s="324">
        <f ca="1">'Battery Design'!I50</f>
        <v>90.984728254501832</v>
      </c>
      <c r="J19" s="324">
        <f ca="1">'Battery Design'!J50</f>
        <v>92.479632988509437</v>
      </c>
      <c r="K19" s="324">
        <f ca="1">'Battery Design'!K50</f>
        <v>93.516300305100557</v>
      </c>
      <c r="L19" s="324">
        <f ca="1">'Battery Design'!L50</f>
        <v>94.278208625061993</v>
      </c>
    </row>
    <row r="20" spans="1:12" x14ac:dyDescent="0.2">
      <c r="A20" s="253" t="s">
        <v>773</v>
      </c>
      <c r="D20" s="2"/>
      <c r="F20" s="118">
        <f ca="1">'Battery Design'!F175</f>
        <v>28.754688908703073</v>
      </c>
      <c r="G20" s="118">
        <f ca="1">'Battery Design'!G175</f>
        <v>35.931942973629546</v>
      </c>
      <c r="H20" s="118">
        <f ca="1">'Battery Design'!H175</f>
        <v>44.193366201478781</v>
      </c>
      <c r="I20" s="118">
        <f ca="1">'Battery Design'!I175</f>
        <v>51.368483334197883</v>
      </c>
      <c r="J20" s="118">
        <f ca="1">'Battery Design'!J175</f>
        <v>57.848661952144148</v>
      </c>
      <c r="K20" s="118">
        <f ca="1">'Battery Design'!K175</f>
        <v>65.426313418446838</v>
      </c>
      <c r="L20" s="118">
        <f ca="1">'Battery Design'!L175</f>
        <v>71.830720664056798</v>
      </c>
    </row>
    <row r="21" spans="1:12" x14ac:dyDescent="0.2">
      <c r="A21" s="253" t="s">
        <v>794</v>
      </c>
      <c r="D21" s="2"/>
      <c r="F21" s="118">
        <f ca="1">'Battery Design'!F176</f>
        <v>43.086590602884272</v>
      </c>
      <c r="G21" s="118">
        <f ca="1">'Battery Design'!G176</f>
        <v>56.366191888705387</v>
      </c>
      <c r="H21" s="118">
        <f ca="1">'Battery Design'!H176</f>
        <v>72.941978453972823</v>
      </c>
      <c r="I21" s="118">
        <f ca="1">'Battery Design'!I176</f>
        <v>87.218288780329729</v>
      </c>
      <c r="J21" s="118">
        <f ca="1">'Battery Design'!J176</f>
        <v>100.80953284560587</v>
      </c>
      <c r="K21" s="118">
        <f ca="1">'Battery Design'!K176</f>
        <v>117.36404968785823</v>
      </c>
      <c r="L21" s="118">
        <f ca="1">'Battery Design'!L176</f>
        <v>131.02743258072223</v>
      </c>
    </row>
    <row r="22" spans="1:12" x14ac:dyDescent="0.2">
      <c r="A22" t="s">
        <v>424</v>
      </c>
      <c r="D22" s="2"/>
      <c r="F22" s="119">
        <f ca="1">Thermal!F38</f>
        <v>1068.0180877012604</v>
      </c>
      <c r="G22" s="119">
        <f ca="1">Thermal!G38</f>
        <v>1228.3937048122498</v>
      </c>
      <c r="H22" s="119">
        <f ca="1">Thermal!H38</f>
        <v>1381.1631302531625</v>
      </c>
      <c r="I22" s="119">
        <f ca="1">Thermal!I38</f>
        <v>1510.0339323865496</v>
      </c>
      <c r="J22" s="119">
        <f ca="1">Thermal!J38</f>
        <v>1231.4962605384633</v>
      </c>
      <c r="K22" s="119">
        <f ca="1">Thermal!K38</f>
        <v>1040.3391441399376</v>
      </c>
      <c r="L22" s="119">
        <f ca="1">Thermal!L38</f>
        <v>902.97520630957672</v>
      </c>
    </row>
    <row r="23" spans="1:12" ht="15.75" x14ac:dyDescent="0.25">
      <c r="A23" s="17" t="s">
        <v>84</v>
      </c>
      <c r="B23" s="4"/>
      <c r="C23" s="4"/>
      <c r="D23" s="69"/>
      <c r="E23" s="19"/>
      <c r="F23" s="69"/>
      <c r="G23" s="69"/>
      <c r="H23" s="69"/>
      <c r="I23" s="69"/>
      <c r="J23" s="69"/>
      <c r="K23" s="69"/>
      <c r="L23" s="69"/>
    </row>
    <row r="24" spans="1:12" x14ac:dyDescent="0.2">
      <c r="A24" s="6" t="s">
        <v>171</v>
      </c>
      <c r="B24" s="6"/>
      <c r="C24" s="6"/>
      <c r="D24" s="69"/>
      <c r="E24" s="19"/>
      <c r="F24" s="69">
        <f ca="1">'Manufacturing Cost Calculations'!F257</f>
        <v>117.76658383149076</v>
      </c>
      <c r="G24" s="69">
        <f ca="1">'Manufacturing Cost Calculations'!G257</f>
        <v>129.57333241722137</v>
      </c>
      <c r="H24" s="69">
        <f ca="1">'Manufacturing Cost Calculations'!H257</f>
        <v>141.83015145398576</v>
      </c>
      <c r="I24" s="69">
        <f ca="1">'Manufacturing Cost Calculations'!I257</f>
        <v>152.9439026037503</v>
      </c>
      <c r="J24" s="69">
        <f ca="1">'Manufacturing Cost Calculations'!J257</f>
        <v>163.24297498450841</v>
      </c>
      <c r="K24" s="69">
        <f ca="1">'Manufacturing Cost Calculations'!K257</f>
        <v>172.92199207736701</v>
      </c>
      <c r="L24" s="69">
        <f ca="1">'Manufacturing Cost Calculations'!L257</f>
        <v>182.1077101816368</v>
      </c>
    </row>
    <row r="25" spans="1:12" x14ac:dyDescent="0.2">
      <c r="A25" s="6" t="s">
        <v>179</v>
      </c>
      <c r="B25" s="6"/>
      <c r="C25" s="6"/>
      <c r="D25" s="69"/>
      <c r="E25" s="19"/>
      <c r="F25" s="69"/>
      <c r="G25" s="69"/>
      <c r="H25" s="69"/>
      <c r="I25" s="69"/>
      <c r="J25" s="69"/>
      <c r="K25" s="69"/>
      <c r="L25" s="69"/>
    </row>
    <row r="26" spans="1:12" ht="14.25" x14ac:dyDescent="0.2">
      <c r="A26" s="6" t="s">
        <v>142</v>
      </c>
      <c r="B26" s="6"/>
      <c r="C26" s="6"/>
      <c r="D26" s="69"/>
      <c r="E26" s="19"/>
      <c r="F26" s="69">
        <f ca="1">'Manufacturing Cost Calculations'!F258</f>
        <v>15914.830426575772</v>
      </c>
      <c r="G26" s="69">
        <f ca="1">'Manufacturing Cost Calculations'!G258</f>
        <v>17253.146539358742</v>
      </c>
      <c r="H26" s="69">
        <f ca="1">'Manufacturing Cost Calculations'!H258</f>
        <v>18758.387147347989</v>
      </c>
      <c r="I26" s="69">
        <f ca="1">'Manufacturing Cost Calculations'!I258</f>
        <v>20119.892378726334</v>
      </c>
      <c r="J26" s="69">
        <f ca="1">'Manufacturing Cost Calculations'!J258</f>
        <v>21378.240900866862</v>
      </c>
      <c r="K26" s="69">
        <f ca="1">'Manufacturing Cost Calculations'!K258</f>
        <v>22557.694089861769</v>
      </c>
      <c r="L26" s="69">
        <f ca="1">'Manufacturing Cost Calculations'!L258</f>
        <v>23674.156786636253</v>
      </c>
    </row>
    <row r="27" spans="1:12" ht="14.25" x14ac:dyDescent="0.2">
      <c r="A27" s="6" t="s">
        <v>170</v>
      </c>
      <c r="B27" s="6"/>
      <c r="C27" s="6"/>
      <c r="D27" s="69"/>
      <c r="E27" s="19"/>
      <c r="F27" s="69">
        <f>'Cost Input'!$J32</f>
        <v>3000</v>
      </c>
      <c r="G27" s="69">
        <f>'Cost Input'!$J32</f>
        <v>3000</v>
      </c>
      <c r="H27" s="69">
        <f>'Cost Input'!$J32</f>
        <v>3000</v>
      </c>
      <c r="I27" s="69">
        <f>'Cost Input'!$J32</f>
        <v>3000</v>
      </c>
      <c r="J27" s="69">
        <f>'Cost Input'!$J32</f>
        <v>3000</v>
      </c>
      <c r="K27" s="69">
        <f>'Cost Input'!$J32</f>
        <v>3000</v>
      </c>
      <c r="L27" s="69">
        <f>'Cost Input'!$J32</f>
        <v>3000</v>
      </c>
    </row>
    <row r="28" spans="1:12" x14ac:dyDescent="0.2">
      <c r="A28" s="6" t="s">
        <v>180</v>
      </c>
      <c r="B28" s="6"/>
      <c r="C28" s="6"/>
      <c r="D28" s="69"/>
      <c r="E28" s="19"/>
      <c r="F28" s="77">
        <f t="shared" ref="F28:K28" ca="1" si="2">F26*F27/1000000</f>
        <v>47.74449127972732</v>
      </c>
      <c r="G28" s="77">
        <f t="shared" ca="1" si="2"/>
        <v>51.759439618076229</v>
      </c>
      <c r="H28" s="77">
        <f t="shared" ca="1" si="2"/>
        <v>56.275161442043967</v>
      </c>
      <c r="I28" s="77">
        <f t="shared" ca="1" si="2"/>
        <v>60.359677136179002</v>
      </c>
      <c r="J28" s="77">
        <f t="shared" ca="1" si="2"/>
        <v>64.134722702600584</v>
      </c>
      <c r="K28" s="77">
        <f t="shared" ca="1" si="2"/>
        <v>67.673082269585308</v>
      </c>
      <c r="L28" s="77">
        <f t="shared" ref="L28" ca="1" si="3">L26*L27/1000000</f>
        <v>71.022470359908766</v>
      </c>
    </row>
    <row r="29" spans="1:12" x14ac:dyDescent="0.2">
      <c r="A29" s="6" t="s">
        <v>143</v>
      </c>
      <c r="B29" s="6"/>
      <c r="C29" s="6"/>
      <c r="D29" s="69"/>
      <c r="E29" s="19"/>
      <c r="F29" s="69"/>
      <c r="G29" s="69"/>
      <c r="H29" s="69"/>
      <c r="I29" s="69"/>
      <c r="J29" s="69"/>
      <c r="K29" s="69"/>
      <c r="L29" s="69"/>
    </row>
    <row r="30" spans="1:12" x14ac:dyDescent="0.2">
      <c r="A30" s="6" t="s">
        <v>144</v>
      </c>
      <c r="B30" s="6"/>
      <c r="C30" s="6"/>
      <c r="D30" s="69"/>
      <c r="E30" s="19"/>
      <c r="F30" s="69"/>
      <c r="G30" s="69"/>
      <c r="H30" s="69"/>
      <c r="I30" s="69"/>
      <c r="J30" s="69"/>
      <c r="K30" s="69"/>
      <c r="L30" s="69"/>
    </row>
    <row r="31" spans="1:12" x14ac:dyDescent="0.2">
      <c r="A31" s="6" t="s">
        <v>145</v>
      </c>
      <c r="B31" s="6"/>
      <c r="C31" s="6"/>
      <c r="D31" s="69"/>
      <c r="E31" s="19"/>
      <c r="F31" s="170">
        <f ca="1">('Cost Input'!$J34/100*F41+'Cost Input'!$J35/100*(F50+F51))*'Manufacturing Cost Calculations'!F5/1000000</f>
        <v>7.2937825907274716</v>
      </c>
      <c r="G31" s="170">
        <f ca="1">('Cost Input'!$J34/100*G41+'Cost Input'!$J35/100*(G50+G51))*'Manufacturing Cost Calculations'!G5/1000000</f>
        <v>8.2307943254953422</v>
      </c>
      <c r="H31" s="170">
        <f ca="1">('Cost Input'!$J34/100*H41+'Cost Input'!$J35/100*(H50+H51))*'Manufacturing Cost Calculations'!H5/1000000</f>
        <v>9.4099786529498086</v>
      </c>
      <c r="I31" s="170">
        <f ca="1">('Cost Input'!$J34/100*I41+'Cost Input'!$J35/100*(I50+I51))*'Manufacturing Cost Calculations'!I5/1000000</f>
        <v>10.48575622896011</v>
      </c>
      <c r="J31" s="170">
        <f ca="1">('Cost Input'!$J34/100*J41+'Cost Input'!$J35/100*(J50+J51))*'Manufacturing Cost Calculations'!J5/1000000</f>
        <v>11.537068461504658</v>
      </c>
      <c r="K31" s="170">
        <f ca="1">('Cost Input'!$J34/100*K41+'Cost Input'!$J35/100*(K50+K51))*'Manufacturing Cost Calculations'!K5/1000000</f>
        <v>12.676808614779533</v>
      </c>
      <c r="L31" s="170">
        <f ca="1">('Cost Input'!$J34/100*L41+'Cost Input'!$J35/100*(L50+L51))*'Manufacturing Cost Calculations'!L5/1000000</f>
        <v>13.702897409847257</v>
      </c>
    </row>
    <row r="32" spans="1:12" x14ac:dyDescent="0.2">
      <c r="A32" s="253" t="s">
        <v>724</v>
      </c>
      <c r="B32" s="6"/>
      <c r="C32" s="6"/>
      <c r="D32" s="69"/>
      <c r="E32" s="19"/>
      <c r="F32" s="170">
        <f ca="1">F52*'Manufacturing Cost Calculations'!F5/1000000*'Cost Input'!$J$36/100</f>
        <v>18.651845613553814</v>
      </c>
      <c r="G32" s="170">
        <f ca="1">G52*'Manufacturing Cost Calculations'!G5/1000000*'Cost Input'!$J$36/100</f>
        <v>21.275162792954134</v>
      </c>
      <c r="H32" s="170">
        <f ca="1">H52*'Manufacturing Cost Calculations'!H5/1000000*'Cost Input'!$J$36/100</f>
        <v>24.595272269982111</v>
      </c>
      <c r="I32" s="170">
        <f ca="1">I52*'Manufacturing Cost Calculations'!I5/1000000*'Cost Input'!$J$36/100</f>
        <v>27.62840283606624</v>
      </c>
      <c r="J32" s="170">
        <f ca="1">J52*'Manufacturing Cost Calculations'!J5/1000000*'Cost Input'!$J$36/100</f>
        <v>30.604698957646022</v>
      </c>
      <c r="K32" s="170">
        <f ca="1">K52*'Manufacturing Cost Calculations'!K5/1000000*'Cost Input'!$J$36/100</f>
        <v>33.85886795285905</v>
      </c>
      <c r="L32" s="170">
        <f ca="1">L52*'Manufacturing Cost Calculations'!L5/1000000*'Cost Input'!$J$36/100</f>
        <v>36.782080045644058</v>
      </c>
    </row>
    <row r="33" spans="1:13" x14ac:dyDescent="0.2">
      <c r="A33" s="6" t="s">
        <v>182</v>
      </c>
      <c r="B33" s="6"/>
      <c r="C33" s="6"/>
      <c r="D33" s="69"/>
      <c r="E33" s="19"/>
      <c r="F33" s="170">
        <f t="shared" ref="F33:K33" ca="1" si="4">F24+F28+F31+F32</f>
        <v>191.45670331549934</v>
      </c>
      <c r="G33" s="170">
        <f t="shared" ca="1" si="4"/>
        <v>210.83872915374707</v>
      </c>
      <c r="H33" s="170">
        <f t="shared" ca="1" si="4"/>
        <v>232.11056381896162</v>
      </c>
      <c r="I33" s="170">
        <f t="shared" ca="1" si="4"/>
        <v>251.41773880495566</v>
      </c>
      <c r="J33" s="170">
        <f t="shared" ca="1" si="4"/>
        <v>269.51946510625964</v>
      </c>
      <c r="K33" s="170">
        <f t="shared" ca="1" si="4"/>
        <v>287.13075091459092</v>
      </c>
      <c r="L33" s="170">
        <f t="shared" ref="L33" ca="1" si="5">L24+L28+L31+L32</f>
        <v>303.61515799703693</v>
      </c>
    </row>
    <row r="34" spans="1:13" ht="15.75" x14ac:dyDescent="0.25">
      <c r="A34" s="17" t="s">
        <v>173</v>
      </c>
      <c r="B34" s="4"/>
      <c r="C34" s="4"/>
      <c r="D34" s="69"/>
      <c r="E34" s="19"/>
      <c r="F34" s="78"/>
      <c r="G34" s="78"/>
      <c r="H34" s="78"/>
      <c r="I34" s="78"/>
      <c r="J34" s="78"/>
      <c r="K34" s="78"/>
      <c r="L34" s="78"/>
    </row>
    <row r="35" spans="1:13" x14ac:dyDescent="0.2">
      <c r="A35" s="72" t="s">
        <v>89</v>
      </c>
      <c r="B35" s="72"/>
      <c r="C35" s="72"/>
      <c r="D35" s="69"/>
      <c r="E35" s="19"/>
      <c r="F35" s="69"/>
      <c r="G35" s="69"/>
      <c r="H35" s="69"/>
      <c r="I35" s="69"/>
      <c r="J35" s="69"/>
      <c r="K35" s="69"/>
      <c r="L35" s="69"/>
    </row>
    <row r="36" spans="1:13" x14ac:dyDescent="0.2">
      <c r="A36" s="6" t="s">
        <v>146</v>
      </c>
      <c r="B36" s="6"/>
      <c r="C36" s="6"/>
      <c r="D36" s="69"/>
      <c r="E36" s="19"/>
      <c r="F36" s="69"/>
      <c r="G36" s="69"/>
      <c r="H36" s="69"/>
      <c r="I36" s="69"/>
      <c r="J36" s="69"/>
      <c r="K36" s="69"/>
      <c r="L36" s="69"/>
    </row>
    <row r="37" spans="1:13" x14ac:dyDescent="0.2">
      <c r="A37" s="6" t="s">
        <v>147</v>
      </c>
      <c r="B37" s="6"/>
      <c r="C37" s="6"/>
      <c r="D37" s="69"/>
      <c r="E37" s="19"/>
      <c r="F37" s="69">
        <f ca="1">SUM('Cost Breakdown'!F21:F27)</f>
        <v>416.0589158546926</v>
      </c>
      <c r="G37" s="69">
        <f ca="1">SUM('Cost Breakdown'!G21:G27)</f>
        <v>564.09949930148696</v>
      </c>
      <c r="H37" s="69">
        <f ca="1">SUM('Cost Breakdown'!H21:H27)</f>
        <v>738.36038231914904</v>
      </c>
      <c r="I37" s="69">
        <f ca="1">SUM('Cost Breakdown'!I21:I27)</f>
        <v>910.31139211428535</v>
      </c>
      <c r="J37" s="69">
        <f ca="1">SUM('Cost Breakdown'!J21:J27)</f>
        <v>1080.4935345124982</v>
      </c>
      <c r="K37" s="69">
        <f ca="1">SUM('Cost Breakdown'!K21:K27)</f>
        <v>1249.2510615146175</v>
      </c>
      <c r="L37" s="69">
        <f ca="1">SUM('Cost Breakdown'!L21:L27)</f>
        <v>1416.8213805320058</v>
      </c>
    </row>
    <row r="38" spans="1:13" x14ac:dyDescent="0.2">
      <c r="A38" s="6" t="s">
        <v>148</v>
      </c>
      <c r="B38" s="6"/>
      <c r="C38" s="6"/>
      <c r="D38" s="69"/>
      <c r="E38" s="19"/>
      <c r="F38" s="69">
        <f ca="1">'Cost Breakdown'!F28</f>
        <v>72.694346666458273</v>
      </c>
      <c r="G38" s="69">
        <f ca="1">'Cost Breakdown'!G28</f>
        <v>75.7535266498612</v>
      </c>
      <c r="H38" s="69">
        <f ca="1">'Cost Breakdown'!H28</f>
        <v>78.725152058643602</v>
      </c>
      <c r="I38" s="69">
        <f ca="1">'Cost Breakdown'!I28</f>
        <v>81.465347243170058</v>
      </c>
      <c r="J38" s="69">
        <f ca="1">'Cost Breakdown'!J28</f>
        <v>84.041213612723141</v>
      </c>
      <c r="K38" s="69">
        <f ca="1">'Cost Breakdown'!K28</f>
        <v>86.492604632888572</v>
      </c>
      <c r="L38" s="69">
        <f ca="1">'Cost Breakdown'!L28</f>
        <v>88.845503256705811</v>
      </c>
      <c r="M38" s="38"/>
    </row>
    <row r="39" spans="1:13" x14ac:dyDescent="0.2">
      <c r="A39" s="6" t="s">
        <v>360</v>
      </c>
      <c r="B39" s="6"/>
      <c r="C39" s="6"/>
      <c r="D39" s="69"/>
      <c r="E39" s="19"/>
      <c r="F39" s="69">
        <f ca="1">'Manufacturing Cost Calculations'!F97*'Battery Design'!F63</f>
        <v>281.23498699781061</v>
      </c>
      <c r="G39" s="69">
        <f ca="1">'Manufacturing Cost Calculations'!G97*'Battery Design'!G63</f>
        <v>289.28190880305641</v>
      </c>
      <c r="H39" s="69">
        <f ca="1">'Manufacturing Cost Calculations'!H97*'Battery Design'!H63</f>
        <v>297.47572514289487</v>
      </c>
      <c r="I39" s="69">
        <f ca="1">'Manufacturing Cost Calculations'!I97*'Battery Design'!I63</f>
        <v>305.61133588040116</v>
      </c>
      <c r="J39" s="69">
        <f ca="1">'Manufacturing Cost Calculations'!J97*'Battery Design'!J63</f>
        <v>313.70221058954303</v>
      </c>
      <c r="K39" s="69">
        <f ca="1">'Manufacturing Cost Calculations'!K97*'Battery Design'!K63</f>
        <v>321.75821088239314</v>
      </c>
      <c r="L39" s="69">
        <f ca="1">'Manufacturing Cost Calculations'!L97*'Battery Design'!L63</f>
        <v>329.78633371397217</v>
      </c>
    </row>
    <row r="40" spans="1:13" x14ac:dyDescent="0.2">
      <c r="A40" s="6" t="s">
        <v>490</v>
      </c>
      <c r="B40" s="6"/>
      <c r="C40" s="6"/>
      <c r="D40" s="69"/>
      <c r="E40" s="19"/>
      <c r="F40" s="69">
        <f ca="1">'Manufacturing Cost Calculations'!F108</f>
        <v>258.16798080963173</v>
      </c>
      <c r="G40" s="69">
        <f ca="1">'Manufacturing Cost Calculations'!G108</f>
        <v>261.39457254048881</v>
      </c>
      <c r="H40" s="69">
        <f ca="1">'Manufacturing Cost Calculations'!H108</f>
        <v>282.8126458869819</v>
      </c>
      <c r="I40" s="69">
        <f ca="1">'Manufacturing Cost Calculations'!I108</f>
        <v>289.24772377895954</v>
      </c>
      <c r="J40" s="69">
        <f ca="1">'Manufacturing Cost Calculations'!J108</f>
        <v>294.97587667044053</v>
      </c>
      <c r="K40" s="69">
        <f ca="1">'Manufacturing Cost Calculations'!K108</f>
        <v>321.65212706206734</v>
      </c>
      <c r="L40" s="69">
        <f ca="1">'Manufacturing Cost Calculations'!L108</f>
        <v>328.24463994707344</v>
      </c>
    </row>
    <row r="41" spans="1:13" x14ac:dyDescent="0.2">
      <c r="A41" s="6" t="s">
        <v>102</v>
      </c>
      <c r="B41" s="6"/>
      <c r="C41" s="6"/>
      <c r="D41" s="69"/>
      <c r="E41" s="19"/>
      <c r="F41" s="69">
        <f t="shared" ref="F41:K41" ca="1" si="6">SUM(F37:F40)</f>
        <v>1028.1562303285932</v>
      </c>
      <c r="G41" s="69">
        <f t="shared" ca="1" si="6"/>
        <v>1190.5295072948934</v>
      </c>
      <c r="H41" s="69">
        <f t="shared" ca="1" si="6"/>
        <v>1397.3739054076696</v>
      </c>
      <c r="I41" s="69">
        <f t="shared" ca="1" si="6"/>
        <v>1586.6357990168162</v>
      </c>
      <c r="J41" s="69">
        <f t="shared" ca="1" si="6"/>
        <v>1773.2128353852049</v>
      </c>
      <c r="K41" s="69">
        <f t="shared" ca="1" si="6"/>
        <v>1979.1540040919665</v>
      </c>
      <c r="L41" s="69">
        <f t="shared" ref="L41" ca="1" si="7">SUM(L37:L40)</f>
        <v>2163.6978574497571</v>
      </c>
    </row>
    <row r="42" spans="1:13" x14ac:dyDescent="0.2">
      <c r="A42" s="253" t="s">
        <v>725</v>
      </c>
      <c r="B42" s="6"/>
      <c r="C42" s="6">
        <f>'Cost Input'!J39</f>
        <v>18</v>
      </c>
      <c r="D42" s="40" t="s">
        <v>726</v>
      </c>
      <c r="E42" s="19"/>
      <c r="F42" s="69"/>
      <c r="G42" s="69"/>
      <c r="H42" s="69"/>
      <c r="I42" s="69"/>
      <c r="J42" s="69"/>
      <c r="K42" s="69"/>
      <c r="L42" s="69"/>
    </row>
    <row r="43" spans="1:13" x14ac:dyDescent="0.2">
      <c r="A43" s="6" t="s">
        <v>150</v>
      </c>
      <c r="B43" s="6"/>
      <c r="C43" s="6"/>
      <c r="D43" s="69"/>
      <c r="E43" s="19"/>
      <c r="F43" s="69">
        <f ca="1">'Cost Input'!$J$39/'Manufacturing Cost Calculations'!F$5*('Manufacturing Cost Calculations'!F134+'Manufacturing Cost Calculations'!F139+'Manufacturing Cost Calculations'!F146+'Manufacturing Cost Calculations'!F152+'Manufacturing Cost Calculations'!F157+'Manufacturing Cost Calculations'!F163+'Manufacturing Cost Calculations'!F168+'Manufacturing Cost Calculations'!F173+'Manufacturing Cost Calculations'!F178+'Manufacturing Cost Calculations'!F183)</f>
        <v>29.770820260244779</v>
      </c>
      <c r="G43" s="69">
        <f ca="1">'Cost Input'!$J$39/'Manufacturing Cost Calculations'!G$5*('Manufacturing Cost Calculations'!G134+'Manufacturing Cost Calculations'!G139+'Manufacturing Cost Calculations'!G146+'Manufacturing Cost Calculations'!G152+'Manufacturing Cost Calculations'!G157+'Manufacturing Cost Calculations'!G163+'Manufacturing Cost Calculations'!G168+'Manufacturing Cost Calculations'!G173+'Manufacturing Cost Calculations'!G178+'Manufacturing Cost Calculations'!G183)</f>
        <v>33.691789131019846</v>
      </c>
      <c r="H43" s="69">
        <f ca="1">'Cost Input'!$J$39/'Manufacturing Cost Calculations'!H$5*('Manufacturing Cost Calculations'!H134+'Manufacturing Cost Calculations'!H139+'Manufacturing Cost Calculations'!H146+'Manufacturing Cost Calculations'!H152+'Manufacturing Cost Calculations'!H157+'Manufacturing Cost Calculations'!H163+'Manufacturing Cost Calculations'!H168+'Manufacturing Cost Calculations'!H173+'Manufacturing Cost Calculations'!H178+'Manufacturing Cost Calculations'!H183)</f>
        <v>39.192269692666876</v>
      </c>
      <c r="I43" s="69">
        <f ca="1">'Cost Input'!$J$39/'Manufacturing Cost Calculations'!I$5*('Manufacturing Cost Calculations'!I134+'Manufacturing Cost Calculations'!I139+'Manufacturing Cost Calculations'!I146+'Manufacturing Cost Calculations'!I152+'Manufacturing Cost Calculations'!I157+'Manufacturing Cost Calculations'!I163+'Manufacturing Cost Calculations'!I168+'Manufacturing Cost Calculations'!I173+'Manufacturing Cost Calculations'!I178+'Manufacturing Cost Calculations'!I183)</f>
        <v>44.086811196870926</v>
      </c>
      <c r="J43" s="69">
        <f ca="1">'Cost Input'!$J$39/'Manufacturing Cost Calculations'!J$5*('Manufacturing Cost Calculations'!J134+'Manufacturing Cost Calculations'!J139+'Manufacturing Cost Calculations'!J146+'Manufacturing Cost Calculations'!J152+'Manufacturing Cost Calculations'!J157+'Manufacturing Cost Calculations'!J163+'Manufacturing Cost Calculations'!J168+'Manufacturing Cost Calculations'!J173+'Manufacturing Cost Calculations'!J178+'Manufacturing Cost Calculations'!J183)</f>
        <v>48.548698995569872</v>
      </c>
      <c r="K43" s="69">
        <f ca="1">'Cost Input'!$J$39/'Manufacturing Cost Calculations'!K$5*('Manufacturing Cost Calculations'!K134+'Manufacturing Cost Calculations'!K139+'Manufacturing Cost Calculations'!K146+'Manufacturing Cost Calculations'!K152+'Manufacturing Cost Calculations'!K157+'Manufacturing Cost Calculations'!K163+'Manufacturing Cost Calculations'!K168+'Manufacturing Cost Calculations'!K173+'Manufacturing Cost Calculations'!K178+'Manufacturing Cost Calculations'!K183)</f>
        <v>52.681301532040237</v>
      </c>
      <c r="L43" s="69">
        <f ca="1">'Cost Input'!$J$39/'Manufacturing Cost Calculations'!L$5*('Manufacturing Cost Calculations'!L134+'Manufacturing Cost Calculations'!L139+'Manufacturing Cost Calculations'!L146+'Manufacturing Cost Calculations'!L152+'Manufacturing Cost Calculations'!L157+'Manufacturing Cost Calculations'!L163+'Manufacturing Cost Calculations'!L168+'Manufacturing Cost Calculations'!L173+'Manufacturing Cost Calculations'!L178+'Manufacturing Cost Calculations'!L183)</f>
        <v>56.552209879413709</v>
      </c>
    </row>
    <row r="44" spans="1:13" x14ac:dyDescent="0.2">
      <c r="A44" s="6" t="s">
        <v>151</v>
      </c>
      <c r="B44" s="6"/>
      <c r="C44" s="6"/>
      <c r="D44" s="69"/>
      <c r="E44" s="19"/>
      <c r="F44" s="69">
        <f ca="1">'Cost Input'!$J$39/'Manufacturing Cost Calculations'!F$5*('Manufacturing Cost Calculations'!F195+'Manufacturing Cost Calculations'!F200+'Manufacturing Cost Calculations'!F205+'Manufacturing Cost Calculations'!F210+'Manufacturing Cost Calculations'!F215)</f>
        <v>32.578040251729384</v>
      </c>
      <c r="G44" s="69">
        <f ca="1">'Cost Input'!$J$39/'Manufacturing Cost Calculations'!G$5*('Manufacturing Cost Calculations'!G195+'Manufacturing Cost Calculations'!G200+'Manufacturing Cost Calculations'!G205+'Manufacturing Cost Calculations'!G210+'Manufacturing Cost Calculations'!G215)</f>
        <v>32.583028039548125</v>
      </c>
      <c r="H44" s="69">
        <f ca="1">'Cost Input'!$J$39/'Manufacturing Cost Calculations'!H$5*('Manufacturing Cost Calculations'!H195+'Manufacturing Cost Calculations'!H200+'Manufacturing Cost Calculations'!H205+'Manufacturing Cost Calculations'!H210+'Manufacturing Cost Calculations'!H215)</f>
        <v>32.591191828134178</v>
      </c>
      <c r="I44" s="69">
        <f ca="1">'Cost Input'!$J$39/'Manufacturing Cost Calculations'!I$5*('Manufacturing Cost Calculations'!I195+'Manufacturing Cost Calculations'!I200+'Manufacturing Cost Calculations'!I205+'Manufacturing Cost Calculations'!I210+'Manufacturing Cost Calculations'!I215)</f>
        <v>32.598511963489806</v>
      </c>
      <c r="J44" s="69">
        <f ca="1">'Cost Input'!$J$39/'Manufacturing Cost Calculations'!J$5*('Manufacturing Cost Calculations'!J195+'Manufacturing Cost Calculations'!J200+'Manufacturing Cost Calculations'!J205+'Manufacturing Cost Calculations'!J210+'Manufacturing Cost Calculations'!J215)</f>
        <v>32.605217707358257</v>
      </c>
      <c r="K44" s="69">
        <f ca="1">'Cost Input'!$J$39/'Manufacturing Cost Calculations'!K$5*('Manufacturing Cost Calculations'!K195+'Manufacturing Cost Calculations'!K200+'Manufacturing Cost Calculations'!K205+'Manufacturing Cost Calculations'!K210+'Manufacturing Cost Calculations'!K215)</f>
        <v>32.611448436880025</v>
      </c>
      <c r="L44" s="69">
        <f ca="1">'Cost Input'!$J$39/'Manufacturing Cost Calculations'!L$5*('Manufacturing Cost Calculations'!L195+'Manufacturing Cost Calculations'!L200+'Manufacturing Cost Calculations'!L205+'Manufacturing Cost Calculations'!L210+'Manufacturing Cost Calculations'!L215)</f>
        <v>32.617296702351197</v>
      </c>
    </row>
    <row r="45" spans="1:13" x14ac:dyDescent="0.2">
      <c r="A45" s="6" t="s">
        <v>338</v>
      </c>
      <c r="B45" s="6"/>
      <c r="C45" s="6"/>
      <c r="D45" s="69"/>
      <c r="E45" s="19"/>
      <c r="F45" s="69">
        <f>'Cost Input'!$J$39/'Manufacturing Cost Calculations'!F$5*('Manufacturing Cost Calculations'!F221+'Manufacturing Cost Calculations'!F226+'Manufacturing Cost Calculations'!F231)</f>
        <v>22.378004805083066</v>
      </c>
      <c r="G45" s="69">
        <f>'Cost Input'!$J$39/'Manufacturing Cost Calculations'!G$5*('Manufacturing Cost Calculations'!G221+'Manufacturing Cost Calculations'!G226+'Manufacturing Cost Calculations'!G231)</f>
        <v>22.378004805083066</v>
      </c>
      <c r="H45" s="69">
        <f>'Cost Input'!$J$39/'Manufacturing Cost Calculations'!H$5*('Manufacturing Cost Calculations'!H221+'Manufacturing Cost Calculations'!H226+'Manufacturing Cost Calculations'!H231)</f>
        <v>22.378004805083066</v>
      </c>
      <c r="I45" s="69">
        <f>'Cost Input'!$J$39/'Manufacturing Cost Calculations'!I$5*('Manufacturing Cost Calculations'!I221+'Manufacturing Cost Calculations'!I226+'Manufacturing Cost Calculations'!I231)</f>
        <v>22.378004805083066</v>
      </c>
      <c r="J45" s="69">
        <f>'Cost Input'!$J$39/'Manufacturing Cost Calculations'!J$5*('Manufacturing Cost Calculations'!J221+'Manufacturing Cost Calculations'!J226+'Manufacturing Cost Calculations'!J231)</f>
        <v>22.378004805083066</v>
      </c>
      <c r="K45" s="69">
        <f>'Cost Input'!$J$39/'Manufacturing Cost Calculations'!K$5*('Manufacturing Cost Calculations'!K221+'Manufacturing Cost Calculations'!K226+'Manufacturing Cost Calculations'!K231)</f>
        <v>22.378004805083066</v>
      </c>
      <c r="L45" s="69">
        <f>'Cost Input'!$J$39/'Manufacturing Cost Calculations'!L$5*('Manufacturing Cost Calculations'!L221+'Manufacturing Cost Calculations'!L226+'Manufacturing Cost Calculations'!L231)</f>
        <v>22.378004805083066</v>
      </c>
    </row>
    <row r="46" spans="1:13" x14ac:dyDescent="0.2">
      <c r="A46" s="6" t="s">
        <v>152</v>
      </c>
      <c r="B46" s="6"/>
      <c r="C46" s="6"/>
      <c r="D46" s="69"/>
      <c r="E46" s="19"/>
      <c r="F46" s="69">
        <f>'Cost Input'!$J$39/'Manufacturing Cost Calculations'!F$5*('Manufacturing Cost Calculations'!F236+'Manufacturing Cost Calculations'!F242)</f>
        <v>19.671896868375455</v>
      </c>
      <c r="G46" s="69">
        <f>'Cost Input'!$J$39/'Manufacturing Cost Calculations'!G$5*('Manufacturing Cost Calculations'!G236+'Manufacturing Cost Calculations'!G242)</f>
        <v>19.671896868375455</v>
      </c>
      <c r="H46" s="69">
        <f>'Cost Input'!$J$39/'Manufacturing Cost Calculations'!H$5*('Manufacturing Cost Calculations'!H236+'Manufacturing Cost Calculations'!H242)</f>
        <v>19.671896868375455</v>
      </c>
      <c r="I46" s="69">
        <f>'Cost Input'!$J$39/'Manufacturing Cost Calculations'!I$5*('Manufacturing Cost Calculations'!I236+'Manufacturing Cost Calculations'!I242)</f>
        <v>19.671896868375455</v>
      </c>
      <c r="J46" s="69">
        <f>'Cost Input'!$J$39/'Manufacturing Cost Calculations'!J$5*('Manufacturing Cost Calculations'!J236+'Manufacturing Cost Calculations'!J242)</f>
        <v>19.671896868375455</v>
      </c>
      <c r="K46" s="69">
        <f>'Cost Input'!$J$39/'Manufacturing Cost Calculations'!K$5*('Manufacturing Cost Calculations'!K236+'Manufacturing Cost Calculations'!K242)</f>
        <v>19.671896868375455</v>
      </c>
      <c r="L46" s="69">
        <f>'Cost Input'!$J$39/'Manufacturing Cost Calculations'!L$5*('Manufacturing Cost Calculations'!L236+'Manufacturing Cost Calculations'!L242)</f>
        <v>19.671896868375455</v>
      </c>
    </row>
    <row r="47" spans="1:13" x14ac:dyDescent="0.2">
      <c r="A47" s="6" t="s">
        <v>506</v>
      </c>
      <c r="B47" s="6"/>
      <c r="C47" s="6"/>
      <c r="D47" s="69"/>
      <c r="E47" s="19"/>
      <c r="F47" s="69">
        <f>'Cost Input'!$J$39/'Manufacturing Cost Calculations'!F$5*('Manufacturing Cost Calculations'!F247)</f>
        <v>9.0044873798268625</v>
      </c>
      <c r="G47" s="69">
        <f>'Cost Input'!$J$39/'Manufacturing Cost Calculations'!G$5*('Manufacturing Cost Calculations'!G247)</f>
        <v>9.0044873798268625</v>
      </c>
      <c r="H47" s="69">
        <f>'Cost Input'!$J$39/'Manufacturing Cost Calculations'!H$5*('Manufacturing Cost Calculations'!H247)</f>
        <v>9.0044873798268625</v>
      </c>
      <c r="I47" s="69">
        <f>'Cost Input'!$J$39/'Manufacturing Cost Calculations'!I$5*('Manufacturing Cost Calculations'!I247)</f>
        <v>9.0044873798268625</v>
      </c>
      <c r="J47" s="69">
        <f>'Cost Input'!$J$39/'Manufacturing Cost Calculations'!J$5*('Manufacturing Cost Calculations'!J247)</f>
        <v>9.0044873798268625</v>
      </c>
      <c r="K47" s="69">
        <f>'Cost Input'!$J$39/'Manufacturing Cost Calculations'!K$5*('Manufacturing Cost Calculations'!K247)</f>
        <v>9.0044873798268625</v>
      </c>
      <c r="L47" s="69">
        <f>'Cost Input'!$J$39/'Manufacturing Cost Calculations'!L$5*('Manufacturing Cost Calculations'!L247)</f>
        <v>9.0044873798268625</v>
      </c>
    </row>
    <row r="48" spans="1:13" x14ac:dyDescent="0.2">
      <c r="A48" s="6" t="s">
        <v>154</v>
      </c>
      <c r="B48" s="6"/>
      <c r="C48" s="6"/>
      <c r="D48" s="69"/>
      <c r="E48" s="19"/>
      <c r="F48" s="69">
        <f ca="1">'Cost Input'!$J$39/'Manufacturing Cost Calculations'!F$5*('Manufacturing Cost Calculations'!F127+'Manufacturing Cost Calculations'!F252)</f>
        <v>5.4163231391381004</v>
      </c>
      <c r="G48" s="69">
        <f ca="1">'Cost Input'!$J$39/'Manufacturing Cost Calculations'!G$5*('Manufacturing Cost Calculations'!G127+'Manufacturing Cost Calculations'!G252)</f>
        <v>6.5411458374128095</v>
      </c>
      <c r="H48" s="69">
        <f ca="1">'Cost Input'!$J$39/'Manufacturing Cost Calculations'!H$5*('Manufacturing Cost Calculations'!H127+'Manufacturing Cost Calculations'!H252)</f>
        <v>7.4798909949614796</v>
      </c>
      <c r="I48" s="69">
        <f ca="1">'Cost Input'!$J$39/'Manufacturing Cost Calculations'!I$5*('Manufacturing Cost Calculations'!I127+'Manufacturing Cost Calculations'!I252)</f>
        <v>8.3009162386140289</v>
      </c>
      <c r="J48" s="69">
        <f ca="1">'Cost Input'!$J$39/'Manufacturing Cost Calculations'!J$5*('Manufacturing Cost Calculations'!J127+'Manufacturing Cost Calculations'!J252)</f>
        <v>9.0389456804862576</v>
      </c>
      <c r="K48" s="69">
        <f ca="1">'Cost Input'!$J$39/'Manufacturing Cost Calculations'!K$5*('Manufacturing Cost Calculations'!K127+'Manufacturing Cost Calculations'!K252)</f>
        <v>9.7144588861740484</v>
      </c>
      <c r="L48" s="69">
        <f ca="1">'Cost Input'!$J$39/'Manufacturing Cost Calculations'!L$5*('Manufacturing Cost Calculations'!L127+'Manufacturing Cost Calculations'!L252)</f>
        <v>10.340722266437414</v>
      </c>
    </row>
    <row r="49" spans="1:12" x14ac:dyDescent="0.2">
      <c r="A49" s="6" t="s">
        <v>339</v>
      </c>
      <c r="B49" s="6"/>
      <c r="C49" s="6"/>
      <c r="D49" s="69"/>
      <c r="E49" s="19"/>
      <c r="F49" s="69">
        <f ca="1">'Cost Input'!$J$39/'Manufacturing Cost Calculations'!F$5*('Manufacturing Cost Calculations'!F188)</f>
        <v>3.5162607504384322</v>
      </c>
      <c r="G49" s="69">
        <f ca="1">'Cost Input'!$J$39/'Manufacturing Cost Calculations'!G$5*('Manufacturing Cost Calculations'!G188)</f>
        <v>4.3065223205750094</v>
      </c>
      <c r="H49" s="69">
        <f ca="1">'Cost Input'!$J$39/'Manufacturing Cost Calculations'!H$5*('Manufacturing Cost Calculations'!H188)</f>
        <v>4.9727436421102267</v>
      </c>
      <c r="I49" s="69">
        <f ca="1">'Cost Input'!$J$39/'Manufacturing Cost Calculations'!I$5*('Manufacturing Cost Calculations'!I188)</f>
        <v>5.5596964092191818</v>
      </c>
      <c r="J49" s="69">
        <f ca="1">'Cost Input'!$J$39/'Manufacturing Cost Calculations'!J$5*('Manufacturing Cost Calculations'!J188)</f>
        <v>6.0903422724196332</v>
      </c>
      <c r="K49" s="69">
        <f ca="1">'Cost Input'!$J$39/'Manufacturing Cost Calculations'!K$5*('Manufacturing Cost Calculations'!K188)</f>
        <v>6.5783215053506172</v>
      </c>
      <c r="L49" s="69">
        <f ca="1">'Cost Input'!$J$39/'Manufacturing Cost Calculations'!L$5*('Manufacturing Cost Calculations'!L188)</f>
        <v>7.0325215008768645</v>
      </c>
    </row>
    <row r="50" spans="1:12" x14ac:dyDescent="0.2">
      <c r="A50" s="82" t="s">
        <v>155</v>
      </c>
      <c r="B50" s="82"/>
      <c r="C50" s="82"/>
      <c r="E50" s="19"/>
      <c r="F50" s="69">
        <f t="shared" ref="F50:K50" ca="1" si="8">SUM(F43:F49)</f>
        <v>122.33583345483609</v>
      </c>
      <c r="G50" s="69">
        <f t="shared" ca="1" si="8"/>
        <v>128.17687438184117</v>
      </c>
      <c r="H50" s="69">
        <f t="shared" ca="1" si="8"/>
        <v>135.29048521115817</v>
      </c>
      <c r="I50" s="69">
        <f t="shared" ca="1" si="8"/>
        <v>141.60032486147932</v>
      </c>
      <c r="J50" s="69">
        <f t="shared" ca="1" si="8"/>
        <v>147.3375937091194</v>
      </c>
      <c r="K50" s="69">
        <f t="shared" ca="1" si="8"/>
        <v>152.63991941373033</v>
      </c>
      <c r="L50" s="69">
        <f t="shared" ref="L50" ca="1" si="9">SUM(L43:L49)</f>
        <v>157.59713940236455</v>
      </c>
    </row>
    <row r="51" spans="1:12" x14ac:dyDescent="0.2">
      <c r="A51" s="6" t="s">
        <v>156</v>
      </c>
      <c r="B51" s="6"/>
      <c r="C51" s="6"/>
      <c r="D51" s="83"/>
      <c r="E51" s="69"/>
      <c r="F51" s="117">
        <f ca="1">F50*'Cost Input'!$J41/100+'Cost Input'!$J42/100*'Summary of Results'!F56</f>
        <v>92.964310453737426</v>
      </c>
      <c r="G51" s="117">
        <f ca="1">G50*'Cost Input'!$J41/100+'Cost Input'!$J42/100*'Summary of Results'!G56</f>
        <v>99.637804520284561</v>
      </c>
      <c r="H51" s="117">
        <f ca="1">H50*'Cost Input'!$J41/100+'Cost Input'!$J42/100*'Summary of Results'!H56</f>
        <v>107.02042737999625</v>
      </c>
      <c r="I51" s="117">
        <f ca="1">I50*'Cost Input'!$J41/100+'Cost Input'!$J42/100*'Summary of Results'!I56</f>
        <v>113.6573985261264</v>
      </c>
      <c r="J51" s="117">
        <f ca="1">J50*'Cost Input'!$J41/100+'Cost Input'!$J42/100*'Summary of Results'!J56</f>
        <v>119.76283474874396</v>
      </c>
      <c r="K51" s="117">
        <f ca="1">K50*'Cost Input'!$J41/100+'Cost Input'!$J42/100*'Summary of Results'!K56</f>
        <v>125.46394001823967</v>
      </c>
      <c r="L51" s="117">
        <f ca="1">L50*'Cost Input'!$J41/100+'Cost Input'!$J42/100*'Summary of Results'!L56</f>
        <v>130.84367285748232</v>
      </c>
    </row>
    <row r="52" spans="1:12" x14ac:dyDescent="0.2">
      <c r="A52" s="6" t="s">
        <v>157</v>
      </c>
      <c r="B52" s="6"/>
      <c r="C52" s="6"/>
      <c r="D52" s="83"/>
      <c r="E52" s="69"/>
      <c r="F52" s="117">
        <f t="shared" ref="F52:K52" ca="1" si="10">F41+F50+F51</f>
        <v>1243.4563742371668</v>
      </c>
      <c r="G52" s="117">
        <f t="shared" ca="1" si="10"/>
        <v>1418.3441861970191</v>
      </c>
      <c r="H52" s="117">
        <f t="shared" ca="1" si="10"/>
        <v>1639.6848179988242</v>
      </c>
      <c r="I52" s="117">
        <f t="shared" ca="1" si="10"/>
        <v>1841.8935224044219</v>
      </c>
      <c r="J52" s="117">
        <f t="shared" ca="1" si="10"/>
        <v>2040.3132638430682</v>
      </c>
      <c r="K52" s="117">
        <f t="shared" ca="1" si="10"/>
        <v>2257.2578635239365</v>
      </c>
      <c r="L52" s="117">
        <f t="shared" ref="L52" ca="1" si="11">L41+L50+L51</f>
        <v>2452.1386697096041</v>
      </c>
    </row>
    <row r="53" spans="1:12" x14ac:dyDescent="0.2">
      <c r="A53" s="72" t="s">
        <v>91</v>
      </c>
      <c r="B53" s="72"/>
      <c r="C53" s="72"/>
      <c r="D53" s="69"/>
      <c r="E53" s="69"/>
      <c r="F53" s="216"/>
      <c r="G53" s="216"/>
      <c r="H53" s="216"/>
      <c r="I53" s="216"/>
      <c r="J53" s="216"/>
      <c r="K53" s="216"/>
      <c r="L53" s="216"/>
    </row>
    <row r="54" spans="1:12" x14ac:dyDescent="0.2">
      <c r="A54" s="6" t="s">
        <v>158</v>
      </c>
      <c r="B54" s="6"/>
      <c r="C54" s="6"/>
      <c r="D54" s="69"/>
      <c r="E54" s="69"/>
      <c r="F54" s="117">
        <f ca="1">'Cost Input'!$J45/100*(F50+F51)+'Cost Input'!$J46/100*F56</f>
        <v>108.86250731689711</v>
      </c>
      <c r="G54" s="117">
        <f ca="1">'Cost Input'!$J45/100*(G50+G51)+'Cost Input'!$J46/100*G56</f>
        <v>117.41248818496655</v>
      </c>
      <c r="H54" s="117">
        <f ca="1">'Cost Input'!$J45/100*(H50+H51)+'Cost Input'!$J46/100*H56</f>
        <v>126.70801976720483</v>
      </c>
      <c r="I54" s="117">
        <f ca="1">'Cost Input'!$J45/100*(I50+I51)+'Cost Input'!$J46/100*I56</f>
        <v>135.08601657381976</v>
      </c>
      <c r="J54" s="117">
        <f ca="1">'Cost Input'!$J45/100*(J50+J51)+'Cost Input'!$J46/100*J56</f>
        <v>142.8098536958361</v>
      </c>
      <c r="K54" s="117">
        <f ca="1">'Cost Input'!$J45/100*(K50+K51)+'Cost Input'!$J46/100*K56</f>
        <v>150.03593017392694</v>
      </c>
      <c r="L54" s="117">
        <f ca="1">'Cost Input'!$J45/100*(L50+L51)+'Cost Input'!$J46/100*L56</f>
        <v>156.86622443563232</v>
      </c>
    </row>
    <row r="55" spans="1:12" x14ac:dyDescent="0.2">
      <c r="A55" s="6" t="s">
        <v>159</v>
      </c>
      <c r="B55" s="6"/>
      <c r="C55" s="6"/>
      <c r="D55" s="69"/>
      <c r="E55" s="69"/>
      <c r="F55" s="117">
        <f ca="1">F56*'Cost Input'!$J47/100</f>
        <v>88.059954143605978</v>
      </c>
      <c r="G55" s="117">
        <f ca="1">G56*'Cost Input'!$J47/100</f>
        <v>96.734109535096181</v>
      </c>
      <c r="H55" s="117">
        <f ca="1">H56*'Cost Input'!$J47/100</f>
        <v>105.80846659106595</v>
      </c>
      <c r="I55" s="117">
        <f ca="1">I56*'Cost Input'!$J47/100</f>
        <v>114.03453716306933</v>
      </c>
      <c r="J55" s="117">
        <f ca="1">J56*'Cost Input'!$J47/100</f>
        <v>121.65559453019242</v>
      </c>
      <c r="K55" s="117">
        <f ca="1">K56*'Cost Input'!$J47/100</f>
        <v>128.81594450549508</v>
      </c>
      <c r="L55" s="117">
        <f ca="1">L56*'Cost Input'!$J47/100</f>
        <v>135.60963419307299</v>
      </c>
    </row>
    <row r="56" spans="1:12" x14ac:dyDescent="0.2">
      <c r="A56" s="6" t="s">
        <v>160</v>
      </c>
      <c r="B56" s="6"/>
      <c r="C56" s="6"/>
      <c r="D56" s="69"/>
      <c r="E56" s="69"/>
      <c r="F56" s="117">
        <f ca="1">('Cost Input'!$J49/100*F24+'Cost Input'!$J50/100*F28)*1000000/'Manufacturing Cost Calculations'!F5</f>
        <v>220.14988535901495</v>
      </c>
      <c r="G56" s="117">
        <f ca="1">('Cost Input'!$J49/100*G24+'Cost Input'!$J50/100*G28)*1000000/'Manufacturing Cost Calculations'!G5</f>
        <v>241.83527383774043</v>
      </c>
      <c r="H56" s="117">
        <f ca="1">('Cost Input'!$J49/100*H24+'Cost Input'!$J50/100*H28)*1000000/'Manufacturing Cost Calculations'!H5</f>
        <v>264.52116647766491</v>
      </c>
      <c r="I56" s="117">
        <f ca="1">('Cost Input'!$J49/100*I24+'Cost Input'!$J50/100*I28)*1000000/'Manufacturing Cost Calculations'!I5</f>
        <v>285.08634290767333</v>
      </c>
      <c r="J56" s="117">
        <f ca="1">('Cost Input'!$J49/100*J24+'Cost Input'!$J50/100*J28)*1000000/'Manufacturing Cost Calculations'!J5</f>
        <v>304.13898632548103</v>
      </c>
      <c r="K56" s="117">
        <f ca="1">('Cost Input'!$J49/100*K24+'Cost Input'!$J50/100*K28)*1000000/'Manufacturing Cost Calculations'!K5</f>
        <v>322.03986126373769</v>
      </c>
      <c r="L56" s="117">
        <f ca="1">('Cost Input'!$J49/100*L24+'Cost Input'!$J50/100*L28)*1000000/'Manufacturing Cost Calculations'!L5</f>
        <v>339.02408548268244</v>
      </c>
    </row>
    <row r="57" spans="1:12" x14ac:dyDescent="0.2">
      <c r="A57" s="6" t="s">
        <v>161</v>
      </c>
      <c r="B57" s="6"/>
      <c r="C57" s="6"/>
      <c r="D57" s="69"/>
      <c r="E57" s="69"/>
      <c r="F57" s="86">
        <f t="shared" ref="F57:K57" ca="1" si="12">F54+F55+F56</f>
        <v>417.07234681951803</v>
      </c>
      <c r="G57" s="86">
        <f t="shared" ca="1" si="12"/>
        <v>455.98187155780317</v>
      </c>
      <c r="H57" s="86">
        <f t="shared" ca="1" si="12"/>
        <v>497.03765283593566</v>
      </c>
      <c r="I57" s="86">
        <f t="shared" ca="1" si="12"/>
        <v>534.20689664456245</v>
      </c>
      <c r="J57" s="86">
        <f t="shared" ca="1" si="12"/>
        <v>568.60443455150948</v>
      </c>
      <c r="K57" s="86">
        <f t="shared" ca="1" si="12"/>
        <v>600.8917359431598</v>
      </c>
      <c r="L57" s="86">
        <f t="shared" ref="L57" ca="1" si="13">L54+L55+L56</f>
        <v>631.49994411138778</v>
      </c>
    </row>
    <row r="58" spans="1:12" x14ac:dyDescent="0.2">
      <c r="A58" s="6" t="s">
        <v>162</v>
      </c>
      <c r="B58" s="6"/>
      <c r="C58" s="6"/>
      <c r="D58" s="60"/>
      <c r="E58" s="69"/>
      <c r="F58" s="117">
        <f ca="1">'Cost Input'!$J51/100*F33*1000000/'Manufacturing Cost Calculations'!F5</f>
        <v>95.72835165774967</v>
      </c>
      <c r="G58" s="117">
        <f ca="1">'Cost Input'!$J51/100*G33*1000000/'Manufacturing Cost Calculations'!G5</f>
        <v>105.41936457687353</v>
      </c>
      <c r="H58" s="117">
        <f ca="1">'Cost Input'!$J51/100*H33*1000000/'Manufacturing Cost Calculations'!H5</f>
        <v>116.05528190948083</v>
      </c>
      <c r="I58" s="117">
        <f ca="1">'Cost Input'!$J51/100*I33*1000000/'Manufacturing Cost Calculations'!I5</f>
        <v>125.70886940247783</v>
      </c>
      <c r="J58" s="117">
        <f ca="1">'Cost Input'!$J51/100*J33*1000000/'Manufacturing Cost Calculations'!J5</f>
        <v>134.75973255312982</v>
      </c>
      <c r="K58" s="117">
        <f ca="1">'Cost Input'!$J51/100*K33*1000000/'Manufacturing Cost Calculations'!K5</f>
        <v>143.56537545729546</v>
      </c>
      <c r="L58" s="117">
        <f ca="1">'Cost Input'!$J51/100*L33*1000000/'Manufacturing Cost Calculations'!L5</f>
        <v>151.80757899851847</v>
      </c>
    </row>
    <row r="59" spans="1:12" x14ac:dyDescent="0.2">
      <c r="A59" s="253" t="s">
        <v>639</v>
      </c>
      <c r="B59" s="6"/>
      <c r="C59" s="6"/>
      <c r="D59" s="69"/>
      <c r="E59" s="69"/>
      <c r="F59" s="86">
        <f t="shared" ref="F59:K59" ca="1" si="14">F52+F57+F58</f>
        <v>1756.2570727144346</v>
      </c>
      <c r="G59" s="86">
        <f t="shared" ca="1" si="14"/>
        <v>1979.7454223316956</v>
      </c>
      <c r="H59" s="86">
        <f t="shared" ca="1" si="14"/>
        <v>2252.7777527442408</v>
      </c>
      <c r="I59" s="86">
        <f t="shared" ca="1" si="14"/>
        <v>2501.8092884514622</v>
      </c>
      <c r="J59" s="86">
        <f t="shared" ca="1" si="14"/>
        <v>2743.6774309477073</v>
      </c>
      <c r="K59" s="86">
        <f t="shared" ca="1" si="14"/>
        <v>3001.7149749243918</v>
      </c>
      <c r="L59" s="86">
        <f t="shared" ref="L59" ca="1" si="15">L52+L57+L58</f>
        <v>3235.4461928195105</v>
      </c>
    </row>
    <row r="60" spans="1:12" ht="15.75" x14ac:dyDescent="0.25">
      <c r="A60" s="17" t="s">
        <v>174</v>
      </c>
      <c r="B60" s="4"/>
      <c r="C60" s="4"/>
      <c r="D60" s="69"/>
      <c r="E60" s="69"/>
      <c r="F60" s="64"/>
      <c r="G60" s="64"/>
      <c r="H60" s="64"/>
      <c r="I60" s="64"/>
      <c r="J60" s="64"/>
      <c r="K60" s="64"/>
      <c r="L60" s="64"/>
    </row>
    <row r="61" spans="1:12" x14ac:dyDescent="0.2">
      <c r="A61" s="6" t="s">
        <v>225</v>
      </c>
      <c r="B61" s="6"/>
      <c r="C61" s="6"/>
      <c r="E61" s="166"/>
      <c r="F61" s="86">
        <f t="shared" ref="F61:K61" ca="1" si="16">F37</f>
        <v>416.0589158546926</v>
      </c>
      <c r="G61" s="86">
        <f t="shared" ca="1" si="16"/>
        <v>564.09949930148696</v>
      </c>
      <c r="H61" s="86">
        <f t="shared" ca="1" si="16"/>
        <v>738.36038231914904</v>
      </c>
      <c r="I61" s="86">
        <f t="shared" ca="1" si="16"/>
        <v>910.31139211428535</v>
      </c>
      <c r="J61" s="86">
        <f t="shared" ca="1" si="16"/>
        <v>1080.4935345124982</v>
      </c>
      <c r="K61" s="86">
        <f t="shared" ca="1" si="16"/>
        <v>1249.2510615146175</v>
      </c>
      <c r="L61" s="86">
        <f t="shared" ref="L61" ca="1" si="17">L37</f>
        <v>1416.8213805320058</v>
      </c>
    </row>
    <row r="62" spans="1:12" x14ac:dyDescent="0.2">
      <c r="A62" s="253" t="s">
        <v>775</v>
      </c>
      <c r="B62" s="6"/>
      <c r="C62" s="6"/>
      <c r="E62" s="166"/>
      <c r="F62" s="86">
        <f t="shared" ref="F62:K62" ca="1" si="18">F38+F39+F40</f>
        <v>612.09731447390061</v>
      </c>
      <c r="G62" s="86">
        <f t="shared" ca="1" si="18"/>
        <v>626.43000799340643</v>
      </c>
      <c r="H62" s="86">
        <f t="shared" ca="1" si="18"/>
        <v>659.01352308852029</v>
      </c>
      <c r="I62" s="86">
        <f t="shared" ca="1" si="18"/>
        <v>676.32440690253077</v>
      </c>
      <c r="J62" s="86">
        <f t="shared" ca="1" si="18"/>
        <v>692.71930087270675</v>
      </c>
      <c r="K62" s="86">
        <f t="shared" ca="1" si="18"/>
        <v>729.90294257734899</v>
      </c>
      <c r="L62" s="86">
        <f t="shared" ref="L62" ca="1" si="19">L38+L39+L40</f>
        <v>746.87647691775146</v>
      </c>
    </row>
    <row r="63" spans="1:12" x14ac:dyDescent="0.2">
      <c r="A63" s="6" t="s">
        <v>163</v>
      </c>
      <c r="B63" s="6"/>
      <c r="C63" s="6"/>
      <c r="E63" s="166"/>
      <c r="F63" s="86">
        <f t="shared" ref="F63:J64" ca="1" si="20">F50</f>
        <v>122.33583345483609</v>
      </c>
      <c r="G63" s="86">
        <f t="shared" ca="1" si="20"/>
        <v>128.17687438184117</v>
      </c>
      <c r="H63" s="86">
        <f t="shared" ca="1" si="20"/>
        <v>135.29048521115817</v>
      </c>
      <c r="I63" s="86">
        <f t="shared" ca="1" si="20"/>
        <v>141.60032486147932</v>
      </c>
      <c r="J63" s="86">
        <f t="shared" ca="1" si="20"/>
        <v>147.3375937091194</v>
      </c>
      <c r="K63" s="86">
        <f t="shared" ref="K63:L63" ca="1" si="21">K50</f>
        <v>152.63991941373033</v>
      </c>
      <c r="L63" s="86">
        <f t="shared" ca="1" si="21"/>
        <v>157.59713940236455</v>
      </c>
    </row>
    <row r="64" spans="1:12" x14ac:dyDescent="0.2">
      <c r="A64" s="6" t="s">
        <v>164</v>
      </c>
      <c r="B64" s="6"/>
      <c r="C64" s="6"/>
      <c r="E64" s="166"/>
      <c r="F64" s="86">
        <f t="shared" ca="1" si="20"/>
        <v>92.964310453737426</v>
      </c>
      <c r="G64" s="86">
        <f t="shared" ca="1" si="20"/>
        <v>99.637804520284561</v>
      </c>
      <c r="H64" s="86">
        <f t="shared" ca="1" si="20"/>
        <v>107.02042737999625</v>
      </c>
      <c r="I64" s="86">
        <f t="shared" ca="1" si="20"/>
        <v>113.6573985261264</v>
      </c>
      <c r="J64" s="86">
        <f t="shared" ca="1" si="20"/>
        <v>119.76283474874396</v>
      </c>
      <c r="K64" s="86">
        <f t="shared" ref="K64:L64" ca="1" si="22">K51</f>
        <v>125.46394001823967</v>
      </c>
      <c r="L64" s="86">
        <f t="shared" ca="1" si="22"/>
        <v>130.84367285748232</v>
      </c>
    </row>
    <row r="65" spans="1:15" x14ac:dyDescent="0.2">
      <c r="A65" s="6" t="s">
        <v>158</v>
      </c>
      <c r="B65" s="6"/>
      <c r="C65" s="6"/>
      <c r="E65" s="166"/>
      <c r="F65" s="69">
        <f t="shared" ref="F65:J67" ca="1" si="23">F54</f>
        <v>108.86250731689711</v>
      </c>
      <c r="G65" s="69">
        <f t="shared" ca="1" si="23"/>
        <v>117.41248818496655</v>
      </c>
      <c r="H65" s="69">
        <f t="shared" ca="1" si="23"/>
        <v>126.70801976720483</v>
      </c>
      <c r="I65" s="69">
        <f t="shared" ca="1" si="23"/>
        <v>135.08601657381976</v>
      </c>
      <c r="J65" s="69">
        <f t="shared" ca="1" si="23"/>
        <v>142.8098536958361</v>
      </c>
      <c r="K65" s="69">
        <f t="shared" ref="K65:L65" ca="1" si="24">K54</f>
        <v>150.03593017392694</v>
      </c>
      <c r="L65" s="69">
        <f t="shared" ca="1" si="24"/>
        <v>156.86622443563232</v>
      </c>
    </row>
    <row r="66" spans="1:15" x14ac:dyDescent="0.2">
      <c r="A66" s="6" t="s">
        <v>159</v>
      </c>
      <c r="B66" s="6"/>
      <c r="C66" s="6"/>
      <c r="E66" s="166"/>
      <c r="F66" s="86">
        <f t="shared" ca="1" si="23"/>
        <v>88.059954143605978</v>
      </c>
      <c r="G66" s="86">
        <f t="shared" ca="1" si="23"/>
        <v>96.734109535096181</v>
      </c>
      <c r="H66" s="86">
        <f t="shared" ca="1" si="23"/>
        <v>105.80846659106595</v>
      </c>
      <c r="I66" s="86">
        <f t="shared" ca="1" si="23"/>
        <v>114.03453716306933</v>
      </c>
      <c r="J66" s="86">
        <f t="shared" ca="1" si="23"/>
        <v>121.65559453019242</v>
      </c>
      <c r="K66" s="86">
        <f t="shared" ref="K66:L66" ca="1" si="25">K55</f>
        <v>128.81594450549508</v>
      </c>
      <c r="L66" s="86">
        <f t="shared" ca="1" si="25"/>
        <v>135.60963419307299</v>
      </c>
    </row>
    <row r="67" spans="1:15" x14ac:dyDescent="0.2">
      <c r="A67" s="6" t="s">
        <v>160</v>
      </c>
      <c r="B67" s="6"/>
      <c r="C67" s="6"/>
      <c r="E67" s="166"/>
      <c r="F67" s="86">
        <f t="shared" ca="1" si="23"/>
        <v>220.14988535901495</v>
      </c>
      <c r="G67" s="86">
        <f t="shared" ca="1" si="23"/>
        <v>241.83527383774043</v>
      </c>
      <c r="H67" s="86">
        <f t="shared" ca="1" si="23"/>
        <v>264.52116647766491</v>
      </c>
      <c r="I67" s="86">
        <f t="shared" ca="1" si="23"/>
        <v>285.08634290767333</v>
      </c>
      <c r="J67" s="86">
        <f t="shared" ca="1" si="23"/>
        <v>304.13898632548103</v>
      </c>
      <c r="K67" s="86">
        <f t="shared" ref="K67:L67" ca="1" si="26">K56</f>
        <v>322.03986126373769</v>
      </c>
      <c r="L67" s="86">
        <f t="shared" ca="1" si="26"/>
        <v>339.02408548268244</v>
      </c>
    </row>
    <row r="68" spans="1:15" x14ac:dyDescent="0.2">
      <c r="A68" s="6" t="s">
        <v>165</v>
      </c>
      <c r="B68" s="6"/>
      <c r="C68" s="6"/>
      <c r="E68" s="166"/>
      <c r="F68" s="176">
        <f t="shared" ref="F68:K68" ca="1" si="27">F58</f>
        <v>95.72835165774967</v>
      </c>
      <c r="G68" s="176">
        <f t="shared" ca="1" si="27"/>
        <v>105.41936457687353</v>
      </c>
      <c r="H68" s="176">
        <f t="shared" ca="1" si="27"/>
        <v>116.05528190948083</v>
      </c>
      <c r="I68" s="176">
        <f t="shared" ca="1" si="27"/>
        <v>125.70886940247783</v>
      </c>
      <c r="J68" s="176">
        <f t="shared" ca="1" si="27"/>
        <v>134.75973255312982</v>
      </c>
      <c r="K68" s="176">
        <f t="shared" ca="1" si="27"/>
        <v>143.56537545729546</v>
      </c>
      <c r="L68" s="176">
        <f t="shared" ref="L68" ca="1" si="28">L58</f>
        <v>151.80757899851847</v>
      </c>
    </row>
    <row r="69" spans="1:15" x14ac:dyDescent="0.2">
      <c r="A69" s="253" t="s">
        <v>702</v>
      </c>
      <c r="B69" s="6"/>
      <c r="C69" s="6"/>
      <c r="E69" s="166"/>
      <c r="F69" s="87">
        <f ca="1">'Cost Input'!$J52/100*(SUM(F61:F68))</f>
        <v>98.350396072008309</v>
      </c>
      <c r="G69" s="87">
        <f ca="1">'Cost Input'!$J52/100*(SUM(G61:G68))</f>
        <v>110.86574365057496</v>
      </c>
      <c r="H69" s="87">
        <f ca="1">'Cost Input'!$J52/100*(SUM(H61:H68))</f>
        <v>126.15555415367744</v>
      </c>
      <c r="I69" s="87">
        <f ca="1">'Cost Input'!$J52/100*(SUM(I61:I68))</f>
        <v>140.10132015328188</v>
      </c>
      <c r="J69" s="87">
        <f ca="1">'Cost Input'!$J52/100*(SUM(J61:J68))</f>
        <v>153.64593613307161</v>
      </c>
      <c r="K69" s="87">
        <f ca="1">'Cost Input'!$J52/100*(SUM(K61:K68))</f>
        <v>168.09603859576592</v>
      </c>
      <c r="L69" s="87">
        <f ca="1">'Cost Input'!$J52/100*(SUM(L61:L68))</f>
        <v>181.18498679789258</v>
      </c>
    </row>
    <row r="70" spans="1:15" x14ac:dyDescent="0.2">
      <c r="A70" s="6" t="s">
        <v>491</v>
      </c>
      <c r="E70" s="166"/>
      <c r="F70" s="86">
        <f ca="1">SUM(F61:F69)</f>
        <v>1854.6074687864427</v>
      </c>
      <c r="G70" s="86">
        <f t="shared" ref="G70:L70" ca="1" si="29">SUM(G61:G69)</f>
        <v>2090.6111659822709</v>
      </c>
      <c r="H70" s="86">
        <f t="shared" ca="1" si="29"/>
        <v>2378.9333068979176</v>
      </c>
      <c r="I70" s="86">
        <f t="shared" ca="1" si="29"/>
        <v>2641.9106086047441</v>
      </c>
      <c r="J70" s="86">
        <f t="shared" ca="1" si="29"/>
        <v>2897.3233670807795</v>
      </c>
      <c r="K70" s="86">
        <f t="shared" ca="1" si="29"/>
        <v>3169.8110135201578</v>
      </c>
      <c r="L70" s="86">
        <f t="shared" ca="1" si="29"/>
        <v>3416.6311796174032</v>
      </c>
    </row>
    <row r="71" spans="1:15" x14ac:dyDescent="0.2">
      <c r="A71" s="253" t="s">
        <v>812</v>
      </c>
      <c r="F71" s="87">
        <f>'Manufacturing Cost Calculations'!F116</f>
        <v>395</v>
      </c>
      <c r="G71" s="87">
        <f>'Manufacturing Cost Calculations'!G116</f>
        <v>395</v>
      </c>
      <c r="H71" s="87">
        <f>'Manufacturing Cost Calculations'!H116</f>
        <v>395</v>
      </c>
      <c r="I71" s="87">
        <f>'Manufacturing Cost Calculations'!I116</f>
        <v>395</v>
      </c>
      <c r="J71" s="87">
        <f>'Manufacturing Cost Calculations'!J116</f>
        <v>395</v>
      </c>
      <c r="K71" s="87">
        <f>'Manufacturing Cost Calculations'!K116</f>
        <v>395</v>
      </c>
      <c r="L71" s="87">
        <f>'Manufacturing Cost Calculations'!L116</f>
        <v>395</v>
      </c>
    </row>
    <row r="72" spans="1:15" x14ac:dyDescent="0.2">
      <c r="A72" s="253" t="s">
        <v>765</v>
      </c>
      <c r="F72" s="86">
        <f ca="1">(F70+F71)*'Battery Design'!F65</f>
        <v>2249.607468786443</v>
      </c>
      <c r="G72" s="86">
        <f ca="1">(G70+G71)*'Battery Design'!G65</f>
        <v>2485.6111659822709</v>
      </c>
      <c r="H72" s="86">
        <f ca="1">(H70+H71)*'Battery Design'!H65</f>
        <v>2773.9333068979176</v>
      </c>
      <c r="I72" s="86">
        <f ca="1">(I70+I71)*'Battery Design'!I65</f>
        <v>3036.9106086047441</v>
      </c>
      <c r="J72" s="86">
        <f ca="1">(J70+J71)*'Battery Design'!J65</f>
        <v>3292.3233670807795</v>
      </c>
      <c r="K72" s="86">
        <f ca="1">(K70+K71)*'Battery Design'!K65</f>
        <v>3564.8110135201578</v>
      </c>
      <c r="L72" s="86">
        <f ca="1">(L70+L71)*'Battery Design'!L65</f>
        <v>3811.6311796174032</v>
      </c>
      <c r="M72" s="86"/>
      <c r="N72" s="86"/>
      <c r="O72" s="86"/>
    </row>
    <row r="73" spans="1:15" x14ac:dyDescent="0.2">
      <c r="A73" s="253" t="s">
        <v>766</v>
      </c>
      <c r="F73" s="87">
        <f ca="1">'Manufacturing Cost Calculations'!F120</f>
        <v>120</v>
      </c>
      <c r="G73" s="87">
        <f ca="1">'Manufacturing Cost Calculations'!G120</f>
        <v>160</v>
      </c>
      <c r="H73" s="87">
        <f ca="1">'Manufacturing Cost Calculations'!H120</f>
        <v>160</v>
      </c>
      <c r="I73" s="87">
        <f ca="1">'Manufacturing Cost Calculations'!I120</f>
        <v>160</v>
      </c>
      <c r="J73" s="87">
        <f ca="1">'Manufacturing Cost Calculations'!J120</f>
        <v>160</v>
      </c>
      <c r="K73" s="87">
        <f ca="1">'Manufacturing Cost Calculations'!K120</f>
        <v>120</v>
      </c>
      <c r="L73" s="87">
        <f ca="1">'Manufacturing Cost Calculations'!L120</f>
        <v>120</v>
      </c>
      <c r="M73" s="86"/>
      <c r="N73" s="86"/>
      <c r="O73" s="86"/>
    </row>
    <row r="74" spans="1:15" x14ac:dyDescent="0.2">
      <c r="A74" s="253" t="s">
        <v>767</v>
      </c>
      <c r="F74" s="86">
        <f ca="1">F72+F73</f>
        <v>2369.607468786443</v>
      </c>
      <c r="G74" s="86">
        <f t="shared" ref="G74:L74" ca="1" si="30">G72+G73</f>
        <v>2645.6111659822709</v>
      </c>
      <c r="H74" s="86">
        <f t="shared" ca="1" si="30"/>
        <v>2933.9333068979176</v>
      </c>
      <c r="I74" s="86">
        <f t="shared" ca="1" si="30"/>
        <v>3196.9106086047441</v>
      </c>
      <c r="J74" s="86">
        <f t="shared" ca="1" si="30"/>
        <v>3452.3233670807795</v>
      </c>
      <c r="K74" s="86">
        <f t="shared" ca="1" si="30"/>
        <v>3684.8110135201578</v>
      </c>
      <c r="L74" s="86">
        <f t="shared" ca="1" si="30"/>
        <v>3931.6311796174032</v>
      </c>
      <c r="M74" s="86"/>
      <c r="N74" s="86"/>
      <c r="O74" s="86"/>
    </row>
    <row r="75" spans="1:15" x14ac:dyDescent="0.2">
      <c r="A75" s="6" t="s">
        <v>494</v>
      </c>
      <c r="F75" s="86">
        <f ca="1">'Prices of Cells and Modules'!F58</f>
        <v>1554.2336614266937</v>
      </c>
      <c r="G75" s="86">
        <f ca="1">'Prices of Cells and Modules'!G58</f>
        <v>1786.7960049460571</v>
      </c>
      <c r="H75" s="86">
        <f ca="1">'Prices of Cells and Modules'!H58</f>
        <v>2052.2744855532678</v>
      </c>
      <c r="I75" s="86">
        <f ca="1">'Prices of Cells and Modules'!I58</f>
        <v>2308.3883905836265</v>
      </c>
      <c r="J75" s="86">
        <f ca="1">'Prices of Cells and Modules'!J58</f>
        <v>2557.6917303117229</v>
      </c>
      <c r="K75" s="86">
        <f ca="1">'Prices of Cells and Modules'!K58</f>
        <v>2801.7275551334087</v>
      </c>
      <c r="L75" s="86">
        <f ca="1">'Prices of Cells and Modules'!L58</f>
        <v>3041.516410688022</v>
      </c>
      <c r="M75" s="86"/>
      <c r="N75" s="86"/>
      <c r="O75" s="86"/>
    </row>
    <row r="76" spans="1:15" x14ac:dyDescent="0.2">
      <c r="A76" s="400" t="s">
        <v>846</v>
      </c>
      <c r="B76" s="400"/>
      <c r="C76" s="400"/>
      <c r="D76" s="400"/>
      <c r="E76" s="400"/>
      <c r="F76" s="402">
        <f ca="1">'Prices of Cells and Modules'!F117</f>
        <v>1149.19196641229</v>
      </c>
      <c r="G76" s="402">
        <f ca="1">'Prices of Cells and Modules'!G117</f>
        <v>1369.6226606147923</v>
      </c>
      <c r="H76" s="402">
        <f ca="1">'Prices of Cells and Modules'!H117</f>
        <v>1622.3701475263665</v>
      </c>
      <c r="I76" s="402">
        <f ca="1">'Prices of Cells and Modules'!I117</f>
        <v>1866.1963151880664</v>
      </c>
      <c r="J76" s="402">
        <f ca="1">'Prices of Cells and Modules'!J117</f>
        <v>2103.5331958666852</v>
      </c>
      <c r="K76" s="402">
        <f ca="1">'Prices of Cells and Modules'!K117</f>
        <v>2335.8489824180683</v>
      </c>
      <c r="L76" s="402">
        <f ca="1">'Prices of Cells and Modules'!L117</f>
        <v>2564.1145792398793</v>
      </c>
      <c r="M76" s="86"/>
      <c r="N76" s="533"/>
      <c r="O76" s="86"/>
    </row>
    <row r="77" spans="1:15" x14ac:dyDescent="0.2">
      <c r="A77" s="401" t="s">
        <v>920</v>
      </c>
      <c r="B77" s="400"/>
      <c r="C77" s="400"/>
      <c r="D77" s="400"/>
      <c r="E77" s="400"/>
      <c r="F77" s="402"/>
      <c r="G77" s="402"/>
      <c r="H77" s="402"/>
      <c r="I77" s="402"/>
      <c r="J77" s="402"/>
      <c r="K77" s="402"/>
      <c r="L77" s="402"/>
    </row>
    <row r="78" spans="1:15" x14ac:dyDescent="0.2">
      <c r="A78" s="400" t="s">
        <v>922</v>
      </c>
      <c r="B78" s="400"/>
      <c r="C78" s="400"/>
      <c r="D78" s="400"/>
      <c r="E78" s="400"/>
      <c r="F78" s="488">
        <v>10</v>
      </c>
      <c r="G78" s="488">
        <v>10</v>
      </c>
      <c r="H78" s="488">
        <v>10</v>
      </c>
      <c r="I78" s="488">
        <v>10</v>
      </c>
      <c r="J78" s="488">
        <v>10</v>
      </c>
      <c r="K78" s="488">
        <v>10</v>
      </c>
      <c r="L78" s="488">
        <v>10</v>
      </c>
      <c r="N78" s="372"/>
    </row>
    <row r="79" spans="1:15" x14ac:dyDescent="0.2">
      <c r="A79" s="400" t="s">
        <v>921</v>
      </c>
      <c r="B79" s="400"/>
      <c r="C79" s="400"/>
      <c r="D79" s="400"/>
      <c r="E79" s="400"/>
      <c r="F79" s="488">
        <v>5</v>
      </c>
      <c r="G79" s="488">
        <v>5</v>
      </c>
      <c r="H79" s="488">
        <v>5</v>
      </c>
      <c r="I79" s="488">
        <v>5</v>
      </c>
      <c r="J79" s="488">
        <v>5</v>
      </c>
      <c r="K79" s="488">
        <v>5</v>
      </c>
      <c r="L79" s="488">
        <v>5</v>
      </c>
    </row>
    <row r="80" spans="1:15" x14ac:dyDescent="0.2">
      <c r="A80" s="400" t="s">
        <v>923</v>
      </c>
      <c r="B80" s="400"/>
      <c r="C80" s="400"/>
      <c r="D80" s="400"/>
      <c r="E80" s="400"/>
      <c r="F80" s="489">
        <f ca="1">F70*(100+F78+F79)/100</f>
        <v>2132.7985891044091</v>
      </c>
      <c r="G80" s="489">
        <f t="shared" ref="G80:L80" ca="1" si="31">G70*(100+G78+G79)/100</f>
        <v>2404.2028408796118</v>
      </c>
      <c r="H80" s="489">
        <f t="shared" ca="1" si="31"/>
        <v>2735.773302932605</v>
      </c>
      <c r="I80" s="489">
        <f t="shared" ca="1" si="31"/>
        <v>3038.1971998954559</v>
      </c>
      <c r="J80" s="489">
        <f t="shared" ca="1" si="31"/>
        <v>3331.9218721428961</v>
      </c>
      <c r="K80" s="489">
        <f t="shared" ca="1" si="31"/>
        <v>3645.2826655481813</v>
      </c>
      <c r="L80" s="489">
        <f t="shared" ca="1" si="31"/>
        <v>3929.1258565600133</v>
      </c>
    </row>
    <row r="81" spans="1:12" x14ac:dyDescent="0.2">
      <c r="A81" s="400" t="s">
        <v>924</v>
      </c>
      <c r="B81" s="400"/>
      <c r="C81" s="400"/>
      <c r="D81" s="400"/>
      <c r="E81" s="400"/>
      <c r="F81" s="489">
        <f ca="1">F70*(100-F78-F79)/100</f>
        <v>1576.4163484684761</v>
      </c>
      <c r="G81" s="489">
        <f t="shared" ref="G81:L81" ca="1" si="32">G70*(100-G78-G79)/100</f>
        <v>1777.0194910849302</v>
      </c>
      <c r="H81" s="489">
        <f t="shared" ca="1" si="32"/>
        <v>2022.09331086323</v>
      </c>
      <c r="I81" s="489">
        <f t="shared" ca="1" si="32"/>
        <v>2245.6240173140327</v>
      </c>
      <c r="J81" s="489">
        <f t="shared" ca="1" si="32"/>
        <v>2462.7248620186629</v>
      </c>
      <c r="K81" s="489">
        <f t="shared" ca="1" si="32"/>
        <v>2694.3393614921342</v>
      </c>
      <c r="L81" s="489">
        <f t="shared" ca="1" si="32"/>
        <v>2904.1365026747926</v>
      </c>
    </row>
    <row r="82" spans="1:12" x14ac:dyDescent="0.2">
      <c r="A82" s="399" t="s">
        <v>751</v>
      </c>
      <c r="B82" s="400"/>
      <c r="C82" s="400"/>
      <c r="D82" s="400"/>
      <c r="E82" s="400"/>
      <c r="F82" s="403" t="str">
        <f ca="1">'Battery Design'!F77</f>
        <v xml:space="preserve"> </v>
      </c>
      <c r="G82" s="403" t="str">
        <f ca="1">'Battery Design'!G77</f>
        <v xml:space="preserve"> </v>
      </c>
      <c r="H82" s="403" t="str">
        <f ca="1">'Battery Design'!H77</f>
        <v xml:space="preserve"> </v>
      </c>
      <c r="I82" s="403" t="str">
        <f ca="1">'Battery Design'!I77</f>
        <v xml:space="preserve"> </v>
      </c>
      <c r="J82" s="403" t="str">
        <f ca="1">'Battery Design'!J77</f>
        <v xml:space="preserve"> </v>
      </c>
      <c r="K82" s="403" t="str">
        <f ca="1">'Battery Design'!K77</f>
        <v xml:space="preserve"> </v>
      </c>
      <c r="L82" s="403" t="str">
        <f ca="1">'Battery Design'!L77</f>
        <v xml:space="preserve"> </v>
      </c>
    </row>
    <row r="83" spans="1:12" x14ac:dyDescent="0.2">
      <c r="A83" s="400"/>
      <c r="B83" s="400"/>
      <c r="C83" s="400"/>
      <c r="D83" s="400"/>
      <c r="E83" s="400"/>
      <c r="F83" s="402"/>
      <c r="G83" s="402"/>
      <c r="H83" s="402"/>
      <c r="I83" s="402"/>
      <c r="J83" s="402"/>
      <c r="K83" s="402"/>
      <c r="L83" s="402"/>
    </row>
    <row r="84" spans="1:12" x14ac:dyDescent="0.2">
      <c r="F84" s="86"/>
      <c r="G84" s="86"/>
      <c r="H84" s="86"/>
      <c r="I84" s="86"/>
      <c r="J84" s="86"/>
      <c r="K84" s="86"/>
      <c r="L84" s="86"/>
    </row>
    <row r="85" spans="1:12" x14ac:dyDescent="0.2">
      <c r="F85" s="86"/>
      <c r="G85" s="86"/>
      <c r="H85" s="86"/>
      <c r="I85" s="86"/>
      <c r="J85" s="86"/>
      <c r="K85" s="86"/>
      <c r="L85" s="86"/>
    </row>
    <row r="86" spans="1:12" x14ac:dyDescent="0.2">
      <c r="F86" s="86"/>
      <c r="G86" s="86"/>
      <c r="H86" s="86"/>
      <c r="I86" s="86"/>
      <c r="J86" s="86"/>
      <c r="K86" s="86"/>
      <c r="L86" s="86"/>
    </row>
  </sheetData>
  <mergeCells count="2">
    <mergeCell ref="A1:L1"/>
    <mergeCell ref="A2:L2"/>
  </mergeCells>
  <phoneticPr fontId="5" type="noConversion"/>
  <pageMargins left="0.5" right="0.5" top="0.5" bottom="0.5" header="0.5" footer="0.5"/>
  <pageSetup orientation="landscape" r:id="rId1"/>
  <headerFooter alignWithMargins="0">
    <oddFooter>&amp;C &amp;P&amp;R&amp;F, &amp;D</oddFooter>
  </headerFooter>
  <rowBreaks count="2" manualBreakCount="2">
    <brk id="33" max="11" man="1"/>
    <brk id="59" max="11"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AC31"/>
  <sheetViews>
    <sheetView zoomScaleNormal="100" workbookViewId="0">
      <selection activeCell="D13" sqref="D13"/>
    </sheetView>
  </sheetViews>
  <sheetFormatPr defaultRowHeight="12.75" x14ac:dyDescent="0.2"/>
  <cols>
    <col min="3" max="3" width="12.28515625" customWidth="1"/>
    <col min="8" max="8" width="11" customWidth="1"/>
    <col min="9" max="29" width="10.7109375" customWidth="1"/>
  </cols>
  <sheetData>
    <row r="1" spans="1:29" ht="18" x14ac:dyDescent="0.25">
      <c r="A1" s="371" t="s">
        <v>798</v>
      </c>
    </row>
    <row r="3" spans="1:29" ht="15.75" x14ac:dyDescent="0.25">
      <c r="D3" s="17" t="s">
        <v>835</v>
      </c>
      <c r="L3" s="626"/>
      <c r="M3" s="626"/>
      <c r="N3" s="626"/>
    </row>
    <row r="4" spans="1:29" x14ac:dyDescent="0.2">
      <c r="D4" t="s">
        <v>820</v>
      </c>
      <c r="I4">
        <f>'Battery Design'!F$68</f>
        <v>96</v>
      </c>
      <c r="L4">
        <f>'Battery Design'!G$68</f>
        <v>96</v>
      </c>
      <c r="O4">
        <f>'Battery Design'!H$68</f>
        <v>96</v>
      </c>
      <c r="R4">
        <f>'Battery Design'!I$68</f>
        <v>96</v>
      </c>
      <c r="U4">
        <f>'Battery Design'!J$68</f>
        <v>96</v>
      </c>
      <c r="X4">
        <f>'Battery Design'!K$68</f>
        <v>96</v>
      </c>
      <c r="AA4">
        <f>'Battery Design'!L$68</f>
        <v>96</v>
      </c>
    </row>
    <row r="5" spans="1:29" x14ac:dyDescent="0.2">
      <c r="D5" t="s">
        <v>821</v>
      </c>
      <c r="I5" s="166">
        <f>'Battery Design'!F$63*I6</f>
        <v>4</v>
      </c>
      <c r="L5" s="166">
        <f>'Battery Design'!G$63*L6</f>
        <v>4</v>
      </c>
      <c r="O5" s="166">
        <f>'Battery Design'!H$63*O6</f>
        <v>4</v>
      </c>
      <c r="R5" s="166">
        <f>'Battery Design'!I$63*R6</f>
        <v>4</v>
      </c>
      <c r="U5" s="166">
        <f>'Battery Design'!J$63*U6</f>
        <v>4</v>
      </c>
      <c r="X5" s="166">
        <f>'Battery Design'!K$63*X6</f>
        <v>4</v>
      </c>
      <c r="AA5" s="166">
        <f>'Battery Design'!L$63*AA6</f>
        <v>4</v>
      </c>
    </row>
    <row r="6" spans="1:29" x14ac:dyDescent="0.2">
      <c r="D6" t="s">
        <v>822</v>
      </c>
      <c r="I6" s="166">
        <f>'Battery Design'!F$65</f>
        <v>1</v>
      </c>
      <c r="L6" s="166">
        <f>'Battery Design'!G$65</f>
        <v>1</v>
      </c>
      <c r="O6" s="166">
        <f>'Battery Design'!H$65</f>
        <v>1</v>
      </c>
      <c r="R6" s="166">
        <f>'Battery Design'!I$65</f>
        <v>1</v>
      </c>
      <c r="U6" s="166">
        <f>'Battery Design'!J$65</f>
        <v>1</v>
      </c>
      <c r="X6" s="166">
        <f>'Battery Design'!K$65</f>
        <v>1</v>
      </c>
      <c r="AA6" s="166">
        <f>'Battery Design'!L$65</f>
        <v>1</v>
      </c>
    </row>
    <row r="7" spans="1:29" x14ac:dyDescent="0.2">
      <c r="D7" s="253" t="s">
        <v>655</v>
      </c>
      <c r="I7" s="127">
        <f ca="1">'Summary of Results'!F$9</f>
        <v>4.0000000000000036</v>
      </c>
      <c r="L7" s="127">
        <f ca="1">'Summary of Results'!G$9</f>
        <v>6.0000000000000027</v>
      </c>
      <c r="O7" s="127">
        <f ca="1">'Summary of Results'!H$9</f>
        <v>8.0000000000000018</v>
      </c>
      <c r="R7" s="127">
        <f ca="1">'Summary of Results'!I$9</f>
        <v>10.000000000000023</v>
      </c>
      <c r="U7" s="127">
        <f ca="1">'Summary of Results'!J$9</f>
        <v>12.000000000000012</v>
      </c>
      <c r="X7" s="127">
        <f ca="1">'Summary of Results'!K$9</f>
        <v>13.999999999999995</v>
      </c>
      <c r="AA7" s="127">
        <f ca="1">'Summary of Results'!L$9</f>
        <v>16.000000000000014</v>
      </c>
    </row>
    <row r="8" spans="1:29" x14ac:dyDescent="0.2">
      <c r="D8" s="253" t="s">
        <v>799</v>
      </c>
      <c r="I8">
        <f>'Summary of Results'!F$17</f>
        <v>60</v>
      </c>
      <c r="L8">
        <f>'Summary of Results'!G$17</f>
        <v>60</v>
      </c>
      <c r="O8">
        <f>'Summary of Results'!H$17</f>
        <v>60</v>
      </c>
      <c r="R8">
        <f>'Summary of Results'!I$17</f>
        <v>60</v>
      </c>
      <c r="U8">
        <f>'Summary of Results'!J$17</f>
        <v>60</v>
      </c>
      <c r="X8">
        <f>'Summary of Results'!K$17</f>
        <v>60</v>
      </c>
      <c r="AA8">
        <f>'Summary of Results'!L$17</f>
        <v>60</v>
      </c>
    </row>
    <row r="9" spans="1:29" x14ac:dyDescent="0.2">
      <c r="D9" t="s">
        <v>659</v>
      </c>
      <c r="I9" s="166">
        <f>'Summary of Results'!F$15</f>
        <v>379.584</v>
      </c>
      <c r="L9" s="166">
        <f>'Summary of Results'!G$15</f>
        <v>379.584</v>
      </c>
      <c r="O9" s="166">
        <f>'Summary of Results'!H$15</f>
        <v>379.584</v>
      </c>
      <c r="R9" s="166">
        <f>'Summary of Results'!I$15</f>
        <v>379.584</v>
      </c>
      <c r="U9" s="166">
        <f>'Summary of Results'!J$15</f>
        <v>379.584</v>
      </c>
      <c r="X9" s="166">
        <f>'Summary of Results'!K$15</f>
        <v>379.584</v>
      </c>
      <c r="AA9" s="166">
        <f>'Summary of Results'!L$15</f>
        <v>379.584</v>
      </c>
    </row>
    <row r="10" spans="1:29" x14ac:dyDescent="0.2">
      <c r="D10" s="253" t="s">
        <v>800</v>
      </c>
      <c r="I10" s="127">
        <f ca="1">'Summary of Results'!F$11</f>
        <v>10.603037711833156</v>
      </c>
      <c r="L10" s="127">
        <f ca="1">'Summary of Results'!G$11</f>
        <v>15.927717249004788</v>
      </c>
      <c r="O10" s="127">
        <f ca="1">'Summary of Results'!H$11</f>
        <v>21.238638051735272</v>
      </c>
      <c r="R10" s="127">
        <f ca="1">'Summary of Results'!I$11</f>
        <v>26.550369704422842</v>
      </c>
      <c r="U10" s="127">
        <f ca="1">'Summary of Results'!J$11</f>
        <v>31.862905039781463</v>
      </c>
      <c r="X10" s="127">
        <f ca="1">'Summary of Results'!K$11</f>
        <v>37.176238834191054</v>
      </c>
      <c r="AA10" s="127">
        <f ca="1">'Summary of Results'!L$11</f>
        <v>42.49036715129558</v>
      </c>
    </row>
    <row r="11" spans="1:29" x14ac:dyDescent="0.2">
      <c r="D11" s="253" t="s">
        <v>185</v>
      </c>
      <c r="I11" s="166">
        <f ca="1">'Battery Design'!F$149</f>
        <v>204.19498170412967</v>
      </c>
      <c r="L11" s="166">
        <f ca="1">'Battery Design'!G$149</f>
        <v>193.65167928811323</v>
      </c>
      <c r="O11" s="166">
        <f ca="1">'Battery Design'!H$149</f>
        <v>184.30405626995667</v>
      </c>
      <c r="R11" s="166">
        <f ca="1">'Battery Design'!I$149</f>
        <v>179.542202847895</v>
      </c>
      <c r="U11" s="166">
        <f ca="1">'Battery Design'!J$149</f>
        <v>176.6399585340057</v>
      </c>
      <c r="X11" s="166">
        <f ca="1">'Battery Design'!K$149</f>
        <v>174.68183068657385</v>
      </c>
      <c r="AA11" s="166">
        <f ca="1">'Battery Design'!L$149</f>
        <v>173.27014136740689</v>
      </c>
    </row>
    <row r="12" spans="1:29" x14ac:dyDescent="0.2">
      <c r="D12" s="253" t="s">
        <v>801</v>
      </c>
      <c r="I12" s="166">
        <f ca="1">'Summary of Results'!F$22</f>
        <v>1068.0180877012604</v>
      </c>
      <c r="L12" s="166">
        <f ca="1">'Summary of Results'!G$22</f>
        <v>1228.3937048122498</v>
      </c>
      <c r="O12" s="166">
        <f ca="1">'Summary of Results'!H$22</f>
        <v>1381.1631302531625</v>
      </c>
      <c r="R12" s="166">
        <f ca="1">'Summary of Results'!I$22</f>
        <v>1510.0339323865496</v>
      </c>
      <c r="U12" s="166">
        <f ca="1">'Summary of Results'!J$22</f>
        <v>1231.4962605384633</v>
      </c>
      <c r="X12" s="166">
        <f ca="1">'Summary of Results'!K$22</f>
        <v>1040.3391441399376</v>
      </c>
      <c r="AA12" s="166">
        <f ca="1">'Summary of Results'!L$22</f>
        <v>902.97520630957672</v>
      </c>
    </row>
    <row r="13" spans="1:29" x14ac:dyDescent="0.2">
      <c r="D13" s="400" t="s">
        <v>945</v>
      </c>
      <c r="E13" s="372"/>
      <c r="F13" s="372"/>
      <c r="G13" s="372"/>
      <c r="H13" s="372"/>
      <c r="I13" s="534" t="str">
        <f>IF('Battery Design'!F53="EV",'EV Charging'!F21," ")</f>
        <v xml:space="preserve"> </v>
      </c>
      <c r="J13" s="372"/>
      <c r="K13" s="372"/>
      <c r="L13" s="534" t="str">
        <f>IF('Battery Design'!G53="EV",'EV Charging'!G21," ")</f>
        <v xml:space="preserve"> </v>
      </c>
      <c r="M13" s="372"/>
      <c r="N13" s="372"/>
      <c r="O13" s="534" t="str">
        <f>IF('Battery Design'!H53="EV",'EV Charging'!H21," ")</f>
        <v xml:space="preserve"> </v>
      </c>
      <c r="P13" s="372"/>
      <c r="Q13" s="372"/>
      <c r="R13" s="534" t="str">
        <f>IF('Battery Design'!I53="EV",'EV Charging'!I21," ")</f>
        <v xml:space="preserve"> </v>
      </c>
      <c r="S13" s="372"/>
      <c r="T13" s="372"/>
      <c r="U13" s="534" t="str">
        <f>IF('Battery Design'!J53="EV",'EV Charging'!J21," ")</f>
        <v xml:space="preserve"> </v>
      </c>
      <c r="V13" s="372"/>
      <c r="W13" s="372"/>
      <c r="X13" s="534" t="str">
        <f>IF('Battery Design'!K53="EV",'EV Charging'!K21," ")</f>
        <v xml:space="preserve"> </v>
      </c>
      <c r="Y13" s="372"/>
      <c r="Z13" s="372"/>
      <c r="AA13" s="534" t="str">
        <f>IF('Battery Design'!L53="EV",'EV Charging'!L21," ")</f>
        <v xml:space="preserve"> </v>
      </c>
    </row>
    <row r="14" spans="1:29" x14ac:dyDescent="0.2">
      <c r="D14" s="400"/>
    </row>
    <row r="15" spans="1:29" ht="15.75" x14ac:dyDescent="0.25">
      <c r="A15" s="378" t="s">
        <v>802</v>
      </c>
      <c r="J15" s="376" t="s">
        <v>0</v>
      </c>
      <c r="K15" s="318"/>
      <c r="L15" s="318"/>
      <c r="M15" s="376" t="s">
        <v>1</v>
      </c>
      <c r="P15" s="376" t="s">
        <v>2</v>
      </c>
      <c r="S15" s="376" t="s">
        <v>3</v>
      </c>
      <c r="T15" s="318"/>
      <c r="U15" s="318"/>
      <c r="V15" s="376" t="s">
        <v>4</v>
      </c>
      <c r="Y15" s="376" t="s">
        <v>750</v>
      </c>
      <c r="AB15" s="376" t="s">
        <v>752</v>
      </c>
    </row>
    <row r="16" spans="1:29" ht="15.75" x14ac:dyDescent="0.25">
      <c r="A16" s="626" t="s">
        <v>803</v>
      </c>
      <c r="B16" s="626"/>
      <c r="C16" s="626"/>
      <c r="D16" s="626" t="s">
        <v>804</v>
      </c>
      <c r="E16" s="626"/>
      <c r="F16" s="626"/>
      <c r="G16" s="626"/>
      <c r="H16" s="626"/>
      <c r="I16" s="380" t="s">
        <v>781</v>
      </c>
      <c r="J16" s="381" t="s">
        <v>829</v>
      </c>
      <c r="K16" s="379" t="s">
        <v>805</v>
      </c>
      <c r="L16" s="380" t="s">
        <v>781</v>
      </c>
      <c r="M16" s="381" t="s">
        <v>829</v>
      </c>
      <c r="N16" s="379" t="s">
        <v>805</v>
      </c>
      <c r="O16" s="380" t="s">
        <v>781</v>
      </c>
      <c r="P16" s="381" t="s">
        <v>829</v>
      </c>
      <c r="Q16" s="379" t="s">
        <v>805</v>
      </c>
      <c r="R16" s="380" t="s">
        <v>781</v>
      </c>
      <c r="S16" s="381" t="s">
        <v>829</v>
      </c>
      <c r="T16" s="379" t="s">
        <v>805</v>
      </c>
      <c r="U16" s="380" t="s">
        <v>781</v>
      </c>
      <c r="V16" s="381" t="s">
        <v>829</v>
      </c>
      <c r="W16" s="379" t="s">
        <v>805</v>
      </c>
      <c r="X16" s="380" t="s">
        <v>781</v>
      </c>
      <c r="Y16" s="381" t="s">
        <v>829</v>
      </c>
      <c r="Z16" s="379" t="s">
        <v>805</v>
      </c>
      <c r="AA16" s="380" t="s">
        <v>781</v>
      </c>
      <c r="AB16" s="381" t="s">
        <v>829</v>
      </c>
      <c r="AC16" s="379" t="s">
        <v>805</v>
      </c>
    </row>
    <row r="17" spans="1:29" x14ac:dyDescent="0.2">
      <c r="A17" s="4" t="s">
        <v>816</v>
      </c>
      <c r="I17" s="127">
        <f ca="1">'Battery Design'!F$28/1000*I4</f>
        <v>26.917407265039039</v>
      </c>
      <c r="J17" s="127">
        <f ca="1">'Battery Design'!F$119/1000*I4</f>
        <v>11.334382929135531</v>
      </c>
      <c r="K17" s="36">
        <f ca="1">'Prices of Cells and Modules'!F$117</f>
        <v>1149.19196641229</v>
      </c>
      <c r="L17" s="127">
        <f ca="1">'Battery Design'!G$28/1000*L4</f>
        <v>38.026160427371103</v>
      </c>
      <c r="M17" s="127">
        <f ca="1">'Battery Design'!G$119/1000*L4</f>
        <v>15.949903807227205</v>
      </c>
      <c r="N17" s="36">
        <f ca="1">'Prices of Cells and Modules'!G$117</f>
        <v>1369.6226606147923</v>
      </c>
      <c r="O17" s="127">
        <f ca="1">'Battery Design'!H$28/1000*O4</f>
        <v>50.134657604350267</v>
      </c>
      <c r="P17" s="127">
        <f ca="1">'Battery Design'!H$119/1000*O4</f>
        <v>20.869124214578424</v>
      </c>
      <c r="Q17" s="36">
        <f ca="1">'Prices of Cells and Modules'!H$117</f>
        <v>1622.3701475263665</v>
      </c>
      <c r="R17" s="127">
        <f ca="1">'Battery Design'!I$28/1000*R4</f>
        <v>62.179759207253412</v>
      </c>
      <c r="S17" s="127">
        <f ca="1">'Battery Design'!I$119/1000*R4</f>
        <v>25.749554998208147</v>
      </c>
      <c r="T17" s="36">
        <f ca="1">'Prices of Cells and Modules'!I$117</f>
        <v>1866.1963151880664</v>
      </c>
      <c r="U17" s="127">
        <f ca="1">'Battery Design'!J$28/1000*U4</f>
        <v>74.180329985850321</v>
      </c>
      <c r="V17" s="127">
        <f ca="1">'Battery Design'!J$119/1000*U4</f>
        <v>30.60263163167054</v>
      </c>
      <c r="W17" s="36">
        <f ca="1">'Prices of Cells and Modules'!J$117</f>
        <v>2103.5331958666852</v>
      </c>
      <c r="X17" s="127">
        <f ca="1">'Battery Design'!K$28/1000*X4</f>
        <v>86.147572152928745</v>
      </c>
      <c r="Y17" s="127">
        <f ca="1">'Battery Design'!K$119/1000*X4</f>
        <v>35.435146767899816</v>
      </c>
      <c r="Z17" s="36">
        <f ca="1">'Prices of Cells and Modules'!K$117</f>
        <v>2335.8489824180683</v>
      </c>
      <c r="AA17" s="127">
        <f ca="1">'Battery Design'!L$28/1000*AA4</f>
        <v>98.088788485752616</v>
      </c>
      <c r="AB17" s="127">
        <f ca="1">'Battery Design'!L$119/1000*AA4</f>
        <v>40.25152467654452</v>
      </c>
      <c r="AC17" s="36">
        <f ca="1">'Prices of Cells and Modules'!L$117</f>
        <v>2564.1145792398793</v>
      </c>
    </row>
    <row r="18" spans="1:29" x14ac:dyDescent="0.2">
      <c r="A18" s="4" t="s">
        <v>806</v>
      </c>
    </row>
    <row r="19" spans="1:29" x14ac:dyDescent="0.2">
      <c r="A19" s="4" t="s">
        <v>807</v>
      </c>
      <c r="D19" s="253" t="s">
        <v>832</v>
      </c>
      <c r="I19" s="127">
        <f ca="1">'Battery Design'!F$141*'USABC Data'!I5-'USABC Data'!I17-'USABC Data'!I20</f>
        <v>2.7208893960056715</v>
      </c>
      <c r="J19" s="127">
        <f ca="1">'Battery Design'!F$140*'USABC Data'!I5-'USABC Data'!J17-'Battery Design'!F$119/1000</f>
        <v>1.8005921515950145</v>
      </c>
      <c r="K19" s="38">
        <f ca="1">'Prices of Cells and Modules'!F$58-'USABC Data'!K17-'USABC Data'!K20</f>
        <v>154.86277881104394</v>
      </c>
      <c r="L19" s="127">
        <f ca="1">'Battery Design'!G$141*'USABC Data'!L5-'USABC Data'!L17-'USABC Data'!L20</f>
        <v>3.5622882268600771</v>
      </c>
      <c r="M19" s="127">
        <f ca="1">'Battery Design'!G$140*'USABC Data'!L5-'USABC Data'!M17-'Battery Design'!G$119/1000</f>
        <v>2.3530777405533954</v>
      </c>
      <c r="N19" s="38">
        <f ca="1">'Prices of Cells and Modules'!G$58-'USABC Data'!N17-'USABC Data'!N20</f>
        <v>161.88273577222026</v>
      </c>
      <c r="O19" s="127">
        <f ca="1">'Battery Design'!H$141*'USABC Data'!O5-'USABC Data'!O17-'USABC Data'!O20</f>
        <v>4.4458928781650124</v>
      </c>
      <c r="P19" s="127">
        <f ca="1">'Battery Design'!H$140*'USABC Data'!O5-'USABC Data'!P17-'Battery Design'!H$119/1000</f>
        <v>2.9217680644801733</v>
      </c>
      <c r="Q19" s="38">
        <f ca="1">'Prices of Cells and Modules'!H$58-'USABC Data'!Q17-'USABC Data'!Q20</f>
        <v>169.51524549723547</v>
      </c>
      <c r="R19" s="127">
        <f ca="1">'Battery Design'!I$141*'USABC Data'!R5-'USABC Data'!R17-'USABC Data'!R20</f>
        <v>5.3099631100556914</v>
      </c>
      <c r="S19" s="127">
        <f ca="1">'Battery Design'!I$140*'USABC Data'!R5-'USABC Data'!S17-'Battery Design'!I$119/1000</f>
        <v>3.4708987756617851</v>
      </c>
      <c r="T19" s="38">
        <f ca="1">'Prices of Cells and Modules'!I$58-'USABC Data'!T17-'USABC Data'!T20</f>
        <v>176.70372047931414</v>
      </c>
      <c r="U19" s="127">
        <f ca="1">'Battery Design'!J$141*'USABC Data'!U5-'USABC Data'!U17-'USABC Data'!U20</f>
        <v>6.1594449420634172</v>
      </c>
      <c r="V19" s="127">
        <f ca="1">'Battery Design'!J$140*'USABC Data'!U5-'USABC Data'!V17-'Battery Design'!J$119/1000</f>
        <v>4.0061547518455152</v>
      </c>
      <c r="W19" s="38">
        <f ca="1">'Prices of Cells and Modules'!J$58-'USABC Data'!W17-'USABC Data'!W20</f>
        <v>183.57014560684752</v>
      </c>
      <c r="X19" s="127">
        <f ca="1">'Battery Design'!K$141*'USABC Data'!X5-'USABC Data'!X17-'USABC Data'!X20</f>
        <v>6.9976476126497866</v>
      </c>
      <c r="Y19" s="127">
        <f ca="1">'Battery Design'!K$140*'USABC Data'!X5-'USABC Data'!Y17-'Battery Design'!K$119/1000</f>
        <v>4.5309116723589655</v>
      </c>
      <c r="Z19" s="38">
        <f ca="1">'Prices of Cells and Modules'!K$58-'USABC Data'!Z17-'USABC Data'!Z20</f>
        <v>190.18938343451697</v>
      </c>
      <c r="AA19" s="127">
        <f ca="1">'Battery Design'!L$141*'USABC Data'!AA5-'USABC Data'!AA17-'USABC Data'!AA20</f>
        <v>7.826844663436817</v>
      </c>
      <c r="AB19" s="127">
        <f ca="1">'Battery Design'!L$140*'USABC Data'!AA5-'USABC Data'!AB17-'Battery Design'!L$119/1000</f>
        <v>5.0473724315595518</v>
      </c>
      <c r="AC19" s="38">
        <f ca="1">'Prices of Cells and Modules'!L$58-'USABC Data'!AC17-'USABC Data'!AC20</f>
        <v>196.61107898289896</v>
      </c>
    </row>
    <row r="20" spans="1:29" x14ac:dyDescent="0.2">
      <c r="A20" s="4" t="s">
        <v>808</v>
      </c>
      <c r="D20" s="253" t="s">
        <v>833</v>
      </c>
      <c r="I20" s="127">
        <f>('Battery Design'!F$123/1000+'Battery Design'!F$122/1000*'Battery Design'!F$59/'Battery Design'!F$60)*I5</f>
        <v>0.76800000000000002</v>
      </c>
      <c r="K20" s="38">
        <f ca="1">'Manufacturing Cost Calculations'!F$93*I5</f>
        <v>250.17891620335985</v>
      </c>
      <c r="L20" s="127">
        <f>('Battery Design'!G$123/1000+'Battery Design'!G$122/1000*'Battery Design'!G$59/'Battery Design'!G$60)*L5</f>
        <v>0.76800000000000002</v>
      </c>
      <c r="N20" s="38">
        <f ca="1">'Manufacturing Cost Calculations'!G$93*L5</f>
        <v>255.29060855904459</v>
      </c>
      <c r="O20" s="127">
        <f>('Battery Design'!H$123/1000+'Battery Design'!H$122/1000*'Battery Design'!H$59/'Battery Design'!H$60)*O5</f>
        <v>0.76800000000000002</v>
      </c>
      <c r="Q20" s="38">
        <f ca="1">'Manufacturing Cost Calculations'!H$93*O5</f>
        <v>260.38909252966585</v>
      </c>
      <c r="R20" s="127">
        <f>('Battery Design'!I$123/1000+'Battery Design'!I$122/1000*'Battery Design'!I$59/'Battery Design'!I$60)*R5</f>
        <v>0.76800000000000002</v>
      </c>
      <c r="T20" s="38">
        <f ca="1">'Manufacturing Cost Calculations'!I$93*R5</f>
        <v>265.48835491624595</v>
      </c>
      <c r="U20" s="127">
        <f>('Battery Design'!J$123/1000+'Battery Design'!J$122/1000*'Battery Design'!J$59/'Battery Design'!J$60)*U5</f>
        <v>0.76800000000000002</v>
      </c>
      <c r="W20" s="38">
        <f ca="1">'Manufacturing Cost Calculations'!J$93*U5</f>
        <v>270.58838883819021</v>
      </c>
      <c r="X20" s="127">
        <f>('Battery Design'!K$123/1000+'Battery Design'!K$122/1000*'Battery Design'!K$59/'Battery Design'!K$60)*X5</f>
        <v>0.76800000000000002</v>
      </c>
      <c r="Z20" s="38">
        <f ca="1">'Manufacturing Cost Calculations'!K$93*X5</f>
        <v>275.68918928082343</v>
      </c>
      <c r="AA20" s="127">
        <f>('Battery Design'!L$123/1000+'Battery Design'!L$122/1000*'Battery Design'!L$59/'Battery Design'!L$60)*AA5</f>
        <v>0.76800000000000002</v>
      </c>
      <c r="AC20" s="38">
        <f ca="1">'Manufacturing Cost Calculations'!L$93*AA5</f>
        <v>280.79075246524377</v>
      </c>
    </row>
    <row r="21" spans="1:29" x14ac:dyDescent="0.2">
      <c r="A21" s="4" t="s">
        <v>809</v>
      </c>
    </row>
    <row r="22" spans="1:29" x14ac:dyDescent="0.2">
      <c r="A22" s="4" t="s">
        <v>813</v>
      </c>
      <c r="D22" t="s">
        <v>819</v>
      </c>
      <c r="I22" s="127">
        <f ca="1">('Battery Design'!F$172-'Battery Design'!F$168-I24)*I6</f>
        <v>4.1706308422990448</v>
      </c>
      <c r="K22" s="38">
        <f ca="1">K26-K17-K19-K20-K23-K24-K25</f>
        <v>119.37380735949318</v>
      </c>
      <c r="L22" s="127">
        <f ca="1">('Battery Design'!G$172-'Battery Design'!G$168-L24)*L6</f>
        <v>4.9423375820100954</v>
      </c>
      <c r="N22" s="38">
        <f ca="1">N26-N17-N19-N20-N23-N24-N25</f>
        <v>124.81516103613421</v>
      </c>
      <c r="O22" s="127">
        <f ca="1">('Battery Design'!H$172-'Battery Design'!H$168-O24)*O6</f>
        <v>8.0243914183793006</v>
      </c>
      <c r="Q22" s="38">
        <f ca="1">Q26-Q17-Q19-Q20-Q23-Q24-Q25</f>
        <v>147.65882134463254</v>
      </c>
      <c r="R22" s="127">
        <f ca="1">('Battery Design'!I$172-'Battery Design'!I$168-R24)*R6</f>
        <v>8.9326597299899664</v>
      </c>
      <c r="T22" s="38">
        <f ca="1">T26-T17-T19-T20-T23-T24-T25</f>
        <v>154.52221802111126</v>
      </c>
      <c r="U22" s="127">
        <f ca="1">('Battery Design'!J$172-'Battery Design'!J$168-U24)*U6</f>
        <v>9.731003305299847</v>
      </c>
      <c r="W22" s="38">
        <f ca="1">W26-W17-W19-W20-W23-W24-W25</f>
        <v>160.63163676905651</v>
      </c>
      <c r="X22" s="127">
        <f ca="1">('Battery Design'!K$172-'Battery Design'!K$168-X24)*X6</f>
        <v>13.51474240290012</v>
      </c>
      <c r="Z22" s="38">
        <f ca="1">Z26-Z17-Z19-Z20-Z23-Z24-Z25</f>
        <v>189.08345838674904</v>
      </c>
      <c r="AA22" s="127">
        <f ca="1">('Battery Design'!L$172-'Battery Design'!L$168-AA24)*AA6</f>
        <v>14.425224799548092</v>
      </c>
      <c r="AC22" s="38">
        <f ca="1">AC26-AC17-AC19-AC20-AC23-AC24-AC25</f>
        <v>196.11476892938117</v>
      </c>
    </row>
    <row r="23" spans="1:29" x14ac:dyDescent="0.2">
      <c r="A23" s="4" t="s">
        <v>814</v>
      </c>
      <c r="D23" s="253" t="s">
        <v>823</v>
      </c>
      <c r="I23" s="127">
        <f ca="1">('Battery Design'!F$168+'Battery Design'!F$169)*I6</f>
        <v>3.5963305434204935</v>
      </c>
      <c r="K23" s="38">
        <f>'Manufacturing Cost Calculations'!F$105+'Manufacturing Cost Calculations'!F$106</f>
        <v>140</v>
      </c>
      <c r="L23" s="127">
        <f ca="1">('Battery Design'!G$168+'Battery Design'!G$169)*L6</f>
        <v>4.1925987736131951</v>
      </c>
      <c r="N23" s="38">
        <f>'Manufacturing Cost Calculations'!G$105+'Manufacturing Cost Calculations'!G$106</f>
        <v>140</v>
      </c>
      <c r="O23" s="127">
        <f ca="1">('Battery Design'!H$168+'Battery Design'!H$169)*O6</f>
        <v>4.7364615255744154</v>
      </c>
      <c r="Q23" s="38">
        <f>'Manufacturing Cost Calculations'!H$105+'Manufacturing Cost Calculations'!H$106</f>
        <v>140</v>
      </c>
      <c r="R23" s="127">
        <f ca="1">('Battery Design'!I$168+'Battery Design'!I$169)*R6</f>
        <v>5.2168556928293635</v>
      </c>
      <c r="T23" s="38">
        <f>'Manufacturing Cost Calculations'!I$105+'Manufacturing Cost Calculations'!I$106</f>
        <v>140</v>
      </c>
      <c r="U23" s="127">
        <f ca="1">('Battery Design'!J$168+'Battery Design'!J$169)*U6</f>
        <v>5.1738287109570216</v>
      </c>
      <c r="W23" s="38">
        <f>'Manufacturing Cost Calculations'!J$105+'Manufacturing Cost Calculations'!J$106</f>
        <v>140</v>
      </c>
      <c r="X23" s="127">
        <f ca="1">('Battery Design'!K$168+'Battery Design'!K$169)*X6</f>
        <v>5.1487618737809075</v>
      </c>
      <c r="Z23" s="38">
        <f>'Manufacturing Cost Calculations'!K$105+'Manufacturing Cost Calculations'!K$106</f>
        <v>140</v>
      </c>
      <c r="AA23" s="127">
        <f ca="1">('Battery Design'!L$168+'Battery Design'!L$169)*AA6</f>
        <v>5.1382122560321841</v>
      </c>
      <c r="AC23" s="38">
        <f>'Manufacturing Cost Calculations'!L$105+'Manufacturing Cost Calculations'!L$106</f>
        <v>140</v>
      </c>
    </row>
    <row r="24" spans="1:29" x14ac:dyDescent="0.2">
      <c r="A24" s="4" t="s">
        <v>815</v>
      </c>
      <c r="D24" t="s">
        <v>834</v>
      </c>
      <c r="I24" s="127">
        <f ca="1">('Battery Design'!F$164+'Battery Design'!F$162*('Battery Design'!F$63+1))/1000*I6</f>
        <v>0.91333255612135833</v>
      </c>
      <c r="K24" s="38">
        <f ca="1">'Manufacturing Cost Calculations'!F$101+'Manufacturing Cost Calculations'!F$102+'Manufacturing Cost Calculations'!F$103+'Manufacturing Cost Calculations'!F$104</f>
        <v>41</v>
      </c>
      <c r="L24" s="127">
        <f ca="1">('Battery Design'!G$164+'Battery Design'!G$162*('Battery Design'!G$63+1))/1000*L6</f>
        <v>0.8748068788512865</v>
      </c>
      <c r="N24" s="38">
        <f ca="1">'Manufacturing Cost Calculations'!G$101+'Manufacturing Cost Calculations'!G$102+'Manufacturing Cost Calculations'!G$103+'Manufacturing Cost Calculations'!G$104</f>
        <v>39</v>
      </c>
      <c r="O24" s="127">
        <f ca="1">('Battery Design'!H$164+'Battery Design'!H$162*('Battery Design'!H$63+1))/1000*O6</f>
        <v>0.83257502750387691</v>
      </c>
      <c r="Q24" s="38">
        <f ca="1">'Manufacturing Cost Calculations'!H$101+'Manufacturing Cost Calculations'!H$102+'Manufacturing Cost Calculations'!H$103+'Manufacturing Cost Calculations'!H$104</f>
        <v>39</v>
      </c>
      <c r="R24" s="127">
        <f ca="1">('Battery Design'!I$164+'Battery Design'!I$162*('Battery Design'!I$63+1))/1000*R6</f>
        <v>0.81105104020131102</v>
      </c>
      <c r="T24" s="38">
        <f ca="1">'Manufacturing Cost Calculations'!I$101+'Manufacturing Cost Calculations'!I$102+'Manufacturing Cost Calculations'!I$103+'Manufacturing Cost Calculations'!I$104</f>
        <v>39</v>
      </c>
      <c r="U24" s="127">
        <f ca="1">('Battery Design'!J$164+'Battery Design'!J$162*('Battery Design'!J$63+1))/1000*U6</f>
        <v>0.79692590143525899</v>
      </c>
      <c r="W24" s="38">
        <f ca="1">'Manufacturing Cost Calculations'!J$101+'Manufacturing Cost Calculations'!J$102+'Manufacturing Cost Calculations'!J$103+'Manufacturing Cost Calculations'!J$104</f>
        <v>39</v>
      </c>
      <c r="X24" s="127">
        <f ca="1">('Battery Design'!K$164+'Battery Design'!K$162*('Battery Design'!K$63+1))/1000*X6</f>
        <v>0.78732564559866847</v>
      </c>
      <c r="Z24" s="38">
        <f ca="1">'Manufacturing Cost Calculations'!K$101+'Manufacturing Cost Calculations'!K$102+'Manufacturing Cost Calculations'!K$103+'Manufacturing Cost Calculations'!K$104</f>
        <v>39</v>
      </c>
      <c r="AA24" s="127">
        <f ca="1">('Battery Design'!L$164+'Battery Design'!L$162*('Battery Design'!L$63+1))/1000*AA6</f>
        <v>0.78036237595250812</v>
      </c>
      <c r="AC24" s="38">
        <f ca="1">'Manufacturing Cost Calculations'!L$101+'Manufacturing Cost Calculations'!L$102+'Manufacturing Cost Calculations'!L$103+'Manufacturing Cost Calculations'!L$104</f>
        <v>39</v>
      </c>
    </row>
    <row r="25" spans="1:29" x14ac:dyDescent="0.2">
      <c r="A25" s="4" t="s">
        <v>827</v>
      </c>
      <c r="D25" s="253" t="s">
        <v>826</v>
      </c>
      <c r="I25" s="127">
        <f>'Battery Design'!F$173*'USABC Data'!I6</f>
        <v>4</v>
      </c>
      <c r="K25" s="38">
        <f>'Manufacturing Cost Calculations'!F$116</f>
        <v>395</v>
      </c>
      <c r="L25" s="127">
        <f>'Battery Design'!G$173*'USABC Data'!L6</f>
        <v>4</v>
      </c>
      <c r="N25" s="38">
        <f>'Manufacturing Cost Calculations'!G$116</f>
        <v>395</v>
      </c>
      <c r="O25" s="127">
        <f>'Battery Design'!H$173*'USABC Data'!O6</f>
        <v>4</v>
      </c>
      <c r="Q25" s="38">
        <f>'Manufacturing Cost Calculations'!H$116</f>
        <v>395</v>
      </c>
      <c r="R25" s="127">
        <f>'Battery Design'!I$173*'USABC Data'!R6</f>
        <v>4</v>
      </c>
      <c r="T25" s="38">
        <f>'Manufacturing Cost Calculations'!I$116</f>
        <v>395</v>
      </c>
      <c r="U25" s="127">
        <f>'Battery Design'!J$173*'USABC Data'!U6</f>
        <v>4</v>
      </c>
      <c r="W25" s="38">
        <f>'Manufacturing Cost Calculations'!J$116</f>
        <v>395</v>
      </c>
      <c r="X25" s="127">
        <f>'Battery Design'!K$173*'USABC Data'!X6</f>
        <v>4</v>
      </c>
      <c r="Z25" s="38">
        <f>'Manufacturing Cost Calculations'!K$116</f>
        <v>395</v>
      </c>
      <c r="AA25" s="127">
        <f>'Battery Design'!L$173*'USABC Data'!AA6</f>
        <v>4</v>
      </c>
      <c r="AC25" s="38">
        <f>'Manufacturing Cost Calculations'!L$116</f>
        <v>395</v>
      </c>
    </row>
    <row r="26" spans="1:29" x14ac:dyDescent="0.2">
      <c r="A26" s="4" t="s">
        <v>818</v>
      </c>
      <c r="I26" s="127">
        <f ca="1">SUM(I17:I25)</f>
        <v>43.086590602885607</v>
      </c>
      <c r="J26" s="127">
        <f ca="1">'Battery Design'!F$175*'USABC Data'!I6</f>
        <v>28.754688908703073</v>
      </c>
      <c r="K26" s="38">
        <f ca="1">'Summary of Results'!F$72</f>
        <v>2249.607468786443</v>
      </c>
      <c r="L26" s="127">
        <f t="shared" ref="L26" ca="1" si="0">SUM(L17:L25)</f>
        <v>56.366191888705757</v>
      </c>
      <c r="M26" s="127">
        <f ca="1">'Battery Design'!G$175*'USABC Data'!L6</f>
        <v>35.931942973629546</v>
      </c>
      <c r="N26" s="38">
        <f ca="1">'Summary of Results'!G$72</f>
        <v>2485.6111659822709</v>
      </c>
      <c r="O26" s="127">
        <f ca="1">SUM(O17:O25)</f>
        <v>72.941978453972879</v>
      </c>
      <c r="P26" s="127">
        <f ca="1">'Battery Design'!H$175*'USABC Data'!O6</f>
        <v>44.193366201478781</v>
      </c>
      <c r="Q26" s="38">
        <f ca="1">'Summary of Results'!H$72</f>
        <v>2773.9333068979176</v>
      </c>
      <c r="R26" s="127">
        <f ca="1">SUM(R17:R25)</f>
        <v>87.218288780329743</v>
      </c>
      <c r="S26" s="127">
        <f ca="1">'Battery Design'!I$175*'USABC Data'!R6</f>
        <v>51.368483334197883</v>
      </c>
      <c r="T26" s="38">
        <f ca="1">'Summary of Results'!I$72</f>
        <v>3036.9106086047441</v>
      </c>
      <c r="U26" s="127">
        <f ca="1">SUM(U17:U25)</f>
        <v>100.80953284560587</v>
      </c>
      <c r="V26" s="127">
        <f ca="1">'Battery Design'!J$175*'USABC Data'!U6</f>
        <v>57.848661952144148</v>
      </c>
      <c r="W26" s="38">
        <f ca="1">'Summary of Results'!J$72</f>
        <v>3292.3233670807795</v>
      </c>
      <c r="X26" s="127">
        <f ca="1">SUM(X17:X25)</f>
        <v>117.36404968785824</v>
      </c>
      <c r="Y26" s="127">
        <f ca="1">'Battery Design'!K$175*'USABC Data'!X6</f>
        <v>65.426313418446838</v>
      </c>
      <c r="Z26" s="38">
        <f ca="1">'Summary of Results'!K$72</f>
        <v>3564.8110135201578</v>
      </c>
      <c r="AA26" s="127">
        <f ca="1">SUM(AA17:AA25)</f>
        <v>131.02743258072223</v>
      </c>
      <c r="AB26" s="127">
        <f ca="1">'Battery Design'!L$175*'USABC Data'!AA6</f>
        <v>71.830720664056798</v>
      </c>
      <c r="AC26" s="38">
        <f ca="1">'Summary of Results'!L$72</f>
        <v>3811.6311796174032</v>
      </c>
    </row>
    <row r="27" spans="1:29" x14ac:dyDescent="0.2">
      <c r="A27" s="4" t="s">
        <v>817</v>
      </c>
      <c r="D27" s="253" t="s">
        <v>828</v>
      </c>
      <c r="I27" s="127">
        <f ca="1">'Battery Design'!F$187</f>
        <v>7</v>
      </c>
      <c r="J27" s="127">
        <f ca="1">'Battery Design'!F$188</f>
        <v>2.8</v>
      </c>
      <c r="K27" s="374">
        <f ca="1">'Summary of Results'!F$73</f>
        <v>120</v>
      </c>
      <c r="L27" s="127">
        <f ca="1">'Battery Design'!G$187</f>
        <v>7</v>
      </c>
      <c r="M27" s="127">
        <f ca="1">'Battery Design'!G$188</f>
        <v>2.8</v>
      </c>
      <c r="N27" s="374">
        <f ca="1">'Summary of Results'!G$73</f>
        <v>160</v>
      </c>
      <c r="O27" s="127">
        <f ca="1">'Battery Design'!H$187</f>
        <v>7</v>
      </c>
      <c r="P27" s="127">
        <f ca="1">'Battery Design'!H$188</f>
        <v>2.8</v>
      </c>
      <c r="Q27" s="374">
        <f ca="1">'Summary of Results'!H$73</f>
        <v>160</v>
      </c>
      <c r="R27" s="127">
        <f ca="1">'Battery Design'!I$187</f>
        <v>7</v>
      </c>
      <c r="S27" s="127">
        <f ca="1">'Battery Design'!I$188</f>
        <v>2.8</v>
      </c>
      <c r="T27" s="374">
        <f ca="1">'Summary of Results'!I$73</f>
        <v>160</v>
      </c>
      <c r="U27" s="127">
        <f ca="1">'Battery Design'!J$187</f>
        <v>7</v>
      </c>
      <c r="V27" s="127">
        <f ca="1">'Battery Design'!J$188</f>
        <v>2.8</v>
      </c>
      <c r="W27" s="374">
        <f ca="1">'Summary of Results'!J$73</f>
        <v>160</v>
      </c>
      <c r="X27" s="127">
        <f ca="1">'Battery Design'!K$187</f>
        <v>7</v>
      </c>
      <c r="Y27" s="127">
        <f ca="1">'Battery Design'!K$188</f>
        <v>2.8</v>
      </c>
      <c r="Z27" s="374">
        <f ca="1">'Summary of Results'!K$73</f>
        <v>120</v>
      </c>
      <c r="AA27" s="127">
        <f ca="1">'Battery Design'!L$187</f>
        <v>7</v>
      </c>
      <c r="AB27" s="127">
        <f ca="1">'Battery Design'!L$188</f>
        <v>2.8</v>
      </c>
      <c r="AC27" s="374">
        <f ca="1">'Summary of Results'!L$73</f>
        <v>120</v>
      </c>
    </row>
    <row r="28" spans="1:29" x14ac:dyDescent="0.2">
      <c r="A28" s="4" t="s">
        <v>836</v>
      </c>
      <c r="I28" s="127">
        <f ca="1">I26+I27</f>
        <v>50.086590602885607</v>
      </c>
      <c r="J28" s="373">
        <f ca="1">J26+J27</f>
        <v>31.554688908703074</v>
      </c>
      <c r="K28" s="36">
        <f ca="1">'Summary of Results'!F$74</f>
        <v>2369.607468786443</v>
      </c>
      <c r="L28" s="127">
        <f t="shared" ref="L28" ca="1" si="1">L26+L27</f>
        <v>63.366191888705757</v>
      </c>
      <c r="M28" s="373">
        <f ca="1">M26+M27</f>
        <v>38.731942973629543</v>
      </c>
      <c r="N28" s="36">
        <f ca="1">'Summary of Results'!G$74</f>
        <v>2645.6111659822709</v>
      </c>
      <c r="O28" s="127">
        <f ca="1">O26+O27</f>
        <v>79.941978453972879</v>
      </c>
      <c r="P28" s="373">
        <f ca="1">P26+P27</f>
        <v>46.993366201478779</v>
      </c>
      <c r="Q28" s="36">
        <f ca="1">'Summary of Results'!H$74</f>
        <v>2933.9333068979176</v>
      </c>
      <c r="R28" s="127">
        <f ca="1">R26+R27</f>
        <v>94.218288780329743</v>
      </c>
      <c r="S28" s="373">
        <f ca="1">S26+S27</f>
        <v>54.16848333419788</v>
      </c>
      <c r="T28" s="36">
        <f ca="1">'Summary of Results'!I$74</f>
        <v>3196.9106086047441</v>
      </c>
      <c r="U28" s="127">
        <f ca="1">U26+U27</f>
        <v>107.80953284560587</v>
      </c>
      <c r="V28" s="373">
        <f ca="1">V26+V27</f>
        <v>60.648661952144145</v>
      </c>
      <c r="W28" s="36">
        <f ca="1">'Summary of Results'!J$74</f>
        <v>3452.3233670807795</v>
      </c>
      <c r="X28" s="127">
        <f ca="1">X26+X27</f>
        <v>124.36404968785824</v>
      </c>
      <c r="Y28" s="373">
        <f ca="1">Y26+Y27</f>
        <v>68.226313418446836</v>
      </c>
      <c r="Z28" s="36">
        <f ca="1">'Summary of Results'!K$74</f>
        <v>3684.8110135201578</v>
      </c>
      <c r="AA28" s="127">
        <f ca="1">AA26+AA27</f>
        <v>138.02743258072223</v>
      </c>
      <c r="AB28" s="373">
        <f ca="1">AB26+AB27</f>
        <v>74.630720664056795</v>
      </c>
      <c r="AC28" s="36">
        <f ca="1">'Summary of Results'!L$74</f>
        <v>3931.6311796174032</v>
      </c>
    </row>
    <row r="29" spans="1:29" x14ac:dyDescent="0.2">
      <c r="A29" s="4" t="s">
        <v>830</v>
      </c>
      <c r="I29" s="80">
        <f ca="1">I17/I26</f>
        <v>0.62472817849821516</v>
      </c>
      <c r="J29" s="80">
        <f ca="1">J17/J26</f>
        <v>0.39417511923437976</v>
      </c>
      <c r="K29" s="80">
        <f ca="1">K17/K26</f>
        <v>0.51084110555172757</v>
      </c>
      <c r="L29" s="80">
        <f t="shared" ref="L29" ca="1" si="2">L17/L26</f>
        <v>0.67462709743551974</v>
      </c>
      <c r="M29" s="80">
        <f t="shared" ref="M29:AC29" ca="1" si="3">M17/M26</f>
        <v>0.44389204944839306</v>
      </c>
      <c r="N29" s="80">
        <f t="shared" ca="1" si="3"/>
        <v>0.55102048114333313</v>
      </c>
      <c r="O29" s="80">
        <f t="shared" ca="1" si="3"/>
        <v>0.68732242622107842</v>
      </c>
      <c r="P29" s="80">
        <f t="shared" ca="1" si="3"/>
        <v>0.47222300558494479</v>
      </c>
      <c r="Q29" s="80">
        <f t="shared" ca="1" si="3"/>
        <v>0.58486270866427525</v>
      </c>
      <c r="R29" s="80">
        <f t="shared" ca="1" si="3"/>
        <v>0.71292110951478282</v>
      </c>
      <c r="S29" s="80">
        <f t="shared" ca="1" si="3"/>
        <v>0.5012714669943491</v>
      </c>
      <c r="T29" s="80">
        <f t="shared" ca="1" si="3"/>
        <v>0.61450485565838164</v>
      </c>
      <c r="U29" s="80">
        <f t="shared" ca="1" si="3"/>
        <v>0.73584638170539562</v>
      </c>
      <c r="V29" s="80">
        <f t="shared" ca="1" si="3"/>
        <v>0.52901191832210148</v>
      </c>
      <c r="W29" s="80">
        <f t="shared" ca="1" si="3"/>
        <v>0.63892059233897047</v>
      </c>
      <c r="X29" s="80">
        <f t="shared" ca="1" si="3"/>
        <v>0.73402010566308062</v>
      </c>
      <c r="Y29" s="80">
        <f t="shared" ca="1" si="3"/>
        <v>0.54160390394102409</v>
      </c>
      <c r="Z29" s="80">
        <f t="shared" ca="1" si="3"/>
        <v>0.65525184183928964</v>
      </c>
      <c r="AA29" s="80">
        <f t="shared" ca="1" si="3"/>
        <v>0.74861261152562797</v>
      </c>
      <c r="AB29" s="80">
        <f t="shared" ca="1" si="3"/>
        <v>0.5603664324181824</v>
      </c>
      <c r="AC29" s="80">
        <f t="shared" ca="1" si="3"/>
        <v>0.67270794534146272</v>
      </c>
    </row>
    <row r="31" spans="1:29" x14ac:dyDescent="0.2">
      <c r="D31" s="263"/>
    </row>
  </sheetData>
  <mergeCells count="3">
    <mergeCell ref="D16:H16"/>
    <mergeCell ref="A16:C16"/>
    <mergeCell ref="L3:N3"/>
  </mergeCells>
  <pageMargins left="0.7" right="0.7" top="0.75" bottom="0.75" header="0.3" footer="0.3"/>
  <pageSetup orientation="landscape" r:id="rId1"/>
  <colBreaks count="6" manualBreakCount="6">
    <brk id="11" max="1048575" man="1"/>
    <brk id="14" max="28" man="1"/>
    <brk id="17" max="28" man="1"/>
    <brk id="20" max="28" man="1"/>
    <brk id="23" max="28" man="1"/>
    <brk id="26" max="28" man="1"/>
  </colBreak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38"/>
  </sheetPr>
  <dimension ref="A1:AB198"/>
  <sheetViews>
    <sheetView topLeftCell="A46" zoomScaleNormal="100" workbookViewId="0">
      <selection activeCell="E45" sqref="E45"/>
    </sheetView>
  </sheetViews>
  <sheetFormatPr defaultRowHeight="12.75" x14ac:dyDescent="0.2"/>
  <cols>
    <col min="1" max="1" width="10.7109375" customWidth="1"/>
    <col min="2" max="2" width="13.28515625" customWidth="1"/>
    <col min="3" max="3" width="11" customWidth="1"/>
    <col min="4" max="4" width="12.7109375" customWidth="1"/>
    <col min="5" max="5" width="13.85546875" customWidth="1"/>
    <col min="6" max="10" width="10.7109375" customWidth="1"/>
    <col min="11" max="11" width="10.140625" customWidth="1"/>
    <col min="12" max="12" width="10" customWidth="1"/>
    <col min="13" max="13" width="10.42578125" customWidth="1"/>
    <col min="15" max="15" width="10.42578125" customWidth="1"/>
    <col min="16" max="16" width="10.85546875" customWidth="1"/>
    <col min="17" max="17" width="11.5703125" customWidth="1"/>
    <col min="21" max="21" width="10.140625" customWidth="1"/>
  </cols>
  <sheetData>
    <row r="1" spans="1:28" ht="18.75" thickBot="1" x14ac:dyDescent="0.3">
      <c r="A1" s="620" t="s">
        <v>375</v>
      </c>
      <c r="B1" s="620"/>
      <c r="C1" s="620"/>
      <c r="D1" s="620"/>
      <c r="E1" s="620"/>
      <c r="F1" s="620"/>
      <c r="G1" s="620"/>
      <c r="H1" s="620"/>
      <c r="I1" s="620"/>
      <c r="J1" s="620"/>
      <c r="K1" s="620"/>
      <c r="L1" s="620"/>
    </row>
    <row r="2" spans="1:28" ht="15.2" customHeight="1" x14ac:dyDescent="0.25">
      <c r="B2" s="357" t="s">
        <v>517</v>
      </c>
      <c r="C2" s="134"/>
      <c r="D2" s="358"/>
      <c r="E2" s="343"/>
      <c r="F2" s="343"/>
      <c r="G2" s="343"/>
      <c r="H2" s="343"/>
      <c r="I2" s="343"/>
      <c r="J2" s="343"/>
      <c r="K2" s="343"/>
      <c r="L2" s="343"/>
    </row>
    <row r="3" spans="1:28" ht="15.2" customHeight="1" thickBot="1" x14ac:dyDescent="0.3">
      <c r="B3" s="359" t="s">
        <v>518</v>
      </c>
      <c r="C3" s="109"/>
      <c r="D3" s="110"/>
      <c r="F3" s="333" t="s">
        <v>0</v>
      </c>
      <c r="G3" s="333" t="s">
        <v>1</v>
      </c>
      <c r="H3" s="333" t="s">
        <v>2</v>
      </c>
      <c r="I3" s="333" t="s">
        <v>3</v>
      </c>
      <c r="J3" s="333" t="s">
        <v>4</v>
      </c>
      <c r="K3" s="333" t="s">
        <v>750</v>
      </c>
      <c r="L3" s="333" t="s">
        <v>752</v>
      </c>
    </row>
    <row r="4" spans="1:28" ht="15" x14ac:dyDescent="0.25">
      <c r="A4" s="259" t="s">
        <v>599</v>
      </c>
      <c r="F4" s="59"/>
      <c r="G4" s="59"/>
      <c r="H4" s="59"/>
      <c r="I4" s="59"/>
      <c r="J4" s="59"/>
      <c r="K4" s="59"/>
      <c r="L4" s="59"/>
    </row>
    <row r="5" spans="1:28" x14ac:dyDescent="0.2">
      <c r="A5" s="72" t="s">
        <v>780</v>
      </c>
      <c r="B5" s="72"/>
      <c r="C5" s="72"/>
      <c r="D5" s="72"/>
      <c r="E5" s="72"/>
      <c r="F5" s="59"/>
      <c r="G5" s="59"/>
      <c r="H5" s="59"/>
      <c r="I5" s="59"/>
      <c r="J5" s="59"/>
      <c r="K5" s="59"/>
      <c r="L5" s="59"/>
    </row>
    <row r="6" spans="1:28" s="72" customFormat="1" x14ac:dyDescent="0.2">
      <c r="E6" s="364" t="s">
        <v>721</v>
      </c>
      <c r="F6" s="268"/>
      <c r="G6" s="267"/>
      <c r="H6" s="267"/>
      <c r="I6" s="267"/>
      <c r="J6" s="267"/>
      <c r="K6" s="267"/>
      <c r="L6" s="267"/>
    </row>
    <row r="7" spans="1:28" x14ac:dyDescent="0.2">
      <c r="A7" s="266" t="s">
        <v>795</v>
      </c>
      <c r="B7" s="253"/>
      <c r="C7" s="253"/>
      <c r="E7" s="287">
        <v>250</v>
      </c>
      <c r="F7" s="29">
        <f>'Battery Design'!F191</f>
        <v>250</v>
      </c>
      <c r="G7" s="29">
        <f>'Battery Design'!G191</f>
        <v>250</v>
      </c>
      <c r="H7" s="29">
        <f>'Battery Design'!H191</f>
        <v>250</v>
      </c>
      <c r="I7" s="29">
        <f>'Battery Design'!I191</f>
        <v>250</v>
      </c>
      <c r="J7" s="29">
        <f>'Battery Design'!J191</f>
        <v>250</v>
      </c>
      <c r="K7" s="29">
        <f>'Battery Design'!K191</f>
        <v>250</v>
      </c>
      <c r="L7" s="29">
        <f>'Battery Design'!L191</f>
        <v>250</v>
      </c>
      <c r="M7" s="369"/>
      <c r="P7" s="29"/>
      <c r="Q7" s="29"/>
      <c r="R7" s="29"/>
      <c r="S7" s="29"/>
      <c r="T7" s="29"/>
    </row>
    <row r="8" spans="1:28" x14ac:dyDescent="0.2">
      <c r="A8" s="253" t="s">
        <v>606</v>
      </c>
      <c r="E8" s="287">
        <v>58</v>
      </c>
      <c r="F8" s="368">
        <f ca="1">IF('Battery Design'!F209=0,$E8,IF(F16=F7/1000*F9,F9,F9-F10*(F16-F7/1000*F9)))</f>
        <v>58.015429648103456</v>
      </c>
      <c r="G8" s="368">
        <f ca="1">IF('Battery Design'!G209=0,$E8,IF(G16=G7/1000*G9,G9,G9-G10*(G16-G7/1000*G9)))</f>
        <v>58.015429646576891</v>
      </c>
      <c r="H8" s="368">
        <f ca="1">IF('Battery Design'!H209=0,$E8,IF(H16=H7/1000*H9,H9,H9-H10*(H16-H7/1000*H9)))</f>
        <v>58.015429646576891</v>
      </c>
      <c r="I8" s="368">
        <f ca="1">IF('Battery Design'!I209=0,$E8,IF(I16=I7/1000*I9,I9,I9-I10*(I16-I7/1000*I9)))</f>
        <v>58.015429632963183</v>
      </c>
      <c r="J8" s="368">
        <f ca="1">IF('Battery Design'!J209=0,$E8,IF(J16=J7/1000*J9,J9,J9-J10*(J16-J7/1000*J9)))</f>
        <v>58.015429646576891</v>
      </c>
      <c r="K8" s="368">
        <f ca="1">IF('Battery Design'!K209=0,$E8,IF(K16=K7/1000*K9,K9,K9-K10*(K16-K7/1000*K9)))</f>
        <v>58.015429646576891</v>
      </c>
      <c r="L8" s="368">
        <f ca="1">IF('Battery Design'!L209=0,$E8,IF(L16=L7/1000*L9,L9,L9-L10*(L16-L7/1000*L9)))</f>
        <v>58.015429646576891</v>
      </c>
      <c r="M8" s="113"/>
      <c r="N8" s="253"/>
      <c r="O8" s="253"/>
      <c r="P8" s="156"/>
      <c r="Q8" s="156"/>
      <c r="R8" s="156"/>
      <c r="S8" s="156"/>
      <c r="T8" s="156"/>
    </row>
    <row r="9" spans="1:28" x14ac:dyDescent="0.2">
      <c r="A9" s="253" t="s">
        <v>861</v>
      </c>
      <c r="E9" s="124"/>
      <c r="F9" s="368">
        <f t="shared" ref="F9:I9" ca="1" si="0">F8</f>
        <v>58.015429648103456</v>
      </c>
      <c r="G9" s="368">
        <f t="shared" ca="1" si="0"/>
        <v>58.015429646576891</v>
      </c>
      <c r="H9" s="368">
        <f t="shared" ca="1" si="0"/>
        <v>58.015429646576891</v>
      </c>
      <c r="I9" s="368">
        <f t="shared" ca="1" si="0"/>
        <v>58.015429632963183</v>
      </c>
      <c r="J9" s="368">
        <f t="shared" ref="J9:L9" ca="1" si="1">J8</f>
        <v>58.015429646576891</v>
      </c>
      <c r="K9" s="368">
        <f t="shared" ca="1" si="1"/>
        <v>58.015429646576891</v>
      </c>
      <c r="L9" s="368">
        <f t="shared" ca="1" si="1"/>
        <v>58.015429646576891</v>
      </c>
      <c r="M9" s="113"/>
      <c r="N9" s="253"/>
      <c r="O9" s="253"/>
      <c r="P9" s="156"/>
      <c r="Q9" s="156"/>
      <c r="R9" s="156"/>
      <c r="S9" s="156"/>
      <c r="T9" s="156"/>
    </row>
    <row r="10" spans="1:28" x14ac:dyDescent="0.2">
      <c r="A10" s="253" t="s">
        <v>860</v>
      </c>
      <c r="E10" s="124"/>
      <c r="F10" s="392">
        <v>1</v>
      </c>
      <c r="G10" s="392">
        <v>1</v>
      </c>
      <c r="H10" s="392">
        <v>1</v>
      </c>
      <c r="I10" s="392">
        <v>1</v>
      </c>
      <c r="J10" s="392">
        <v>1</v>
      </c>
      <c r="K10" s="392">
        <v>1</v>
      </c>
      <c r="L10" s="392">
        <v>1</v>
      </c>
      <c r="M10" s="113"/>
      <c r="N10" s="253"/>
      <c r="O10" s="253"/>
      <c r="P10" s="156"/>
      <c r="Q10" s="156"/>
      <c r="R10" s="156"/>
      <c r="S10" s="156"/>
      <c r="T10" s="156"/>
    </row>
    <row r="11" spans="1:28" x14ac:dyDescent="0.2">
      <c r="A11" s="266" t="s">
        <v>722</v>
      </c>
      <c r="E11" s="124"/>
      <c r="F11" s="125"/>
      <c r="G11" s="125"/>
      <c r="H11" s="125"/>
      <c r="I11" s="125"/>
      <c r="J11" s="125"/>
      <c r="K11" s="125"/>
      <c r="L11" s="125"/>
      <c r="O11" s="16"/>
      <c r="P11" s="206"/>
      <c r="Q11" s="206"/>
      <c r="R11" s="206"/>
      <c r="S11" s="206"/>
      <c r="T11" s="95"/>
    </row>
    <row r="12" spans="1:28" x14ac:dyDescent="0.2">
      <c r="A12" s="253" t="s">
        <v>602</v>
      </c>
      <c r="B12" s="253"/>
      <c r="C12" s="253"/>
      <c r="D12" s="253"/>
      <c r="E12" s="298">
        <v>0.5</v>
      </c>
      <c r="F12" s="156">
        <f>$E12</f>
        <v>0.5</v>
      </c>
      <c r="G12" s="156">
        <f t="shared" ref="G12:L12" si="2">$E12</f>
        <v>0.5</v>
      </c>
      <c r="H12" s="156">
        <f t="shared" si="2"/>
        <v>0.5</v>
      </c>
      <c r="I12" s="156">
        <f t="shared" si="2"/>
        <v>0.5</v>
      </c>
      <c r="J12" s="156">
        <f t="shared" si="2"/>
        <v>0.5</v>
      </c>
      <c r="K12" s="156">
        <f t="shared" si="2"/>
        <v>0.5</v>
      </c>
      <c r="L12" s="156">
        <f t="shared" si="2"/>
        <v>0.5</v>
      </c>
      <c r="M12" s="284"/>
      <c r="N12" s="284"/>
      <c r="O12" s="253"/>
      <c r="P12" s="276"/>
      <c r="Q12" s="276"/>
      <c r="R12" s="276"/>
      <c r="S12" s="276"/>
      <c r="T12" s="276"/>
    </row>
    <row r="13" spans="1:28" x14ac:dyDescent="0.2">
      <c r="A13" s="253" t="s">
        <v>609</v>
      </c>
      <c r="E13" s="287">
        <v>6.5000000000000002E-2</v>
      </c>
      <c r="F13" s="272">
        <f t="shared" ref="F13:H13" si="3">$E13*(F7/$E7)</f>
        <v>6.5000000000000002E-2</v>
      </c>
      <c r="G13" s="272">
        <f t="shared" si="3"/>
        <v>6.5000000000000002E-2</v>
      </c>
      <c r="H13" s="272">
        <f t="shared" si="3"/>
        <v>6.5000000000000002E-2</v>
      </c>
      <c r="I13" s="272">
        <f>$E13*(I7/$E7)</f>
        <v>6.5000000000000002E-2</v>
      </c>
      <c r="J13" s="272">
        <f t="shared" ref="J13:L13" si="4">$E13*(J7/$E7)</f>
        <v>6.5000000000000002E-2</v>
      </c>
      <c r="K13" s="272">
        <f t="shared" si="4"/>
        <v>6.5000000000000002E-2</v>
      </c>
      <c r="L13" s="272">
        <f t="shared" si="4"/>
        <v>6.5000000000000002E-2</v>
      </c>
      <c r="M13" s="113"/>
      <c r="N13" s="113"/>
      <c r="O13" s="253"/>
      <c r="P13" s="269"/>
      <c r="Q13" s="269"/>
      <c r="R13" s="269"/>
      <c r="S13" s="269"/>
      <c r="T13" s="269"/>
    </row>
    <row r="14" spans="1:28" ht="14.25" x14ac:dyDescent="0.2">
      <c r="A14" s="253" t="s">
        <v>608</v>
      </c>
      <c r="B14" s="253"/>
      <c r="C14" s="253"/>
      <c r="D14" s="253"/>
      <c r="E14" s="366">
        <v>4.0000000000000003E-5</v>
      </c>
      <c r="F14" s="370">
        <f t="shared" ref="F14:K14" si="5">$E14*(F7/$E7)^0.7</f>
        <v>4.0000000000000003E-5</v>
      </c>
      <c r="G14" s="370">
        <f t="shared" si="5"/>
        <v>4.0000000000000003E-5</v>
      </c>
      <c r="H14" s="370">
        <f t="shared" si="5"/>
        <v>4.0000000000000003E-5</v>
      </c>
      <c r="I14" s="370">
        <f t="shared" si="5"/>
        <v>4.0000000000000003E-5</v>
      </c>
      <c r="J14" s="370">
        <f t="shared" si="5"/>
        <v>4.0000000000000003E-5</v>
      </c>
      <c r="K14" s="370">
        <f t="shared" si="5"/>
        <v>4.0000000000000003E-5</v>
      </c>
      <c r="L14" s="370">
        <f>$E14*(L7/$E7)^0.7</f>
        <v>4.0000000000000003E-5</v>
      </c>
      <c r="M14" s="453"/>
      <c r="N14" s="143"/>
      <c r="P14" s="29"/>
      <c r="Q14" s="625"/>
      <c r="R14" s="625"/>
      <c r="S14" s="625"/>
      <c r="V14" s="629"/>
      <c r="W14" s="629"/>
      <c r="X14" s="629"/>
    </row>
    <row r="15" spans="1:28" x14ac:dyDescent="0.2">
      <c r="A15" s="253" t="s">
        <v>720</v>
      </c>
      <c r="B15" s="253"/>
      <c r="C15" s="253"/>
      <c r="D15" s="253"/>
      <c r="E15" s="367">
        <v>0.83299999999999996</v>
      </c>
      <c r="F15" s="272">
        <f t="shared" ref="F15:L15" si="6">$E15</f>
        <v>0.83299999999999996</v>
      </c>
      <c r="G15" s="272">
        <f t="shared" si="6"/>
        <v>0.83299999999999996</v>
      </c>
      <c r="H15" s="272">
        <f t="shared" si="6"/>
        <v>0.83299999999999996</v>
      </c>
      <c r="I15" s="272">
        <f t="shared" si="6"/>
        <v>0.83299999999999996</v>
      </c>
      <c r="J15" s="272">
        <f t="shared" si="6"/>
        <v>0.83299999999999996</v>
      </c>
      <c r="K15" s="272">
        <f t="shared" si="6"/>
        <v>0.83299999999999996</v>
      </c>
      <c r="L15" s="272">
        <f t="shared" si="6"/>
        <v>0.83299999999999996</v>
      </c>
      <c r="M15" s="454"/>
      <c r="N15" s="19"/>
      <c r="R15" s="29"/>
      <c r="S15" s="29"/>
      <c r="X15" s="400"/>
      <c r="AA15" s="29"/>
      <c r="AB15" s="400"/>
    </row>
    <row r="16" spans="1:28" x14ac:dyDescent="0.2">
      <c r="A16" s="253" t="s">
        <v>607</v>
      </c>
      <c r="B16" s="253"/>
      <c r="C16" s="253"/>
      <c r="D16" s="253"/>
      <c r="E16" s="253"/>
      <c r="F16" s="143">
        <f ca="1">(F12+F13*F8+F14*F8^3)/F15</f>
        <v>14.503857412503468</v>
      </c>
      <c r="G16" s="143">
        <f t="shared" ref="G16:I16" ca="1" si="7">(G12+G13*G8+G14*G8^3)/G15</f>
        <v>14.503857411644166</v>
      </c>
      <c r="H16" s="269">
        <f t="shared" ca="1" si="7"/>
        <v>14.503857411644166</v>
      </c>
      <c r="I16" s="143">
        <f t="shared" ca="1" si="7"/>
        <v>14.503857403981025</v>
      </c>
      <c r="J16" s="143">
        <f t="shared" ref="J16:L16" ca="1" si="8">(J12+J13*J8+J14*J8^3)/J15</f>
        <v>14.503857411644166</v>
      </c>
      <c r="K16" s="143">
        <f t="shared" ca="1" si="8"/>
        <v>14.503857411644166</v>
      </c>
      <c r="L16" s="143">
        <f t="shared" ca="1" si="8"/>
        <v>14.503857411644166</v>
      </c>
      <c r="M16" s="454"/>
      <c r="N16" s="19"/>
      <c r="O16" s="313"/>
      <c r="P16" s="363"/>
      <c r="Q16" s="5"/>
      <c r="R16" s="33"/>
      <c r="S16" s="276"/>
      <c r="V16" s="257"/>
      <c r="Y16" s="363"/>
      <c r="Z16" s="5"/>
      <c r="AA16" s="33"/>
    </row>
    <row r="17" spans="1:27" x14ac:dyDescent="0.2">
      <c r="A17" s="253" t="s">
        <v>692</v>
      </c>
      <c r="F17" s="3">
        <f>'Battery Design'!F56</f>
        <v>60</v>
      </c>
      <c r="G17" s="3">
        <f>'Battery Design'!G56</f>
        <v>60</v>
      </c>
      <c r="H17" s="3">
        <f>'Battery Design'!H56</f>
        <v>60</v>
      </c>
      <c r="I17" s="3">
        <f>'Battery Design'!I56</f>
        <v>60</v>
      </c>
      <c r="J17" s="3">
        <f>'Battery Design'!J56</f>
        <v>60</v>
      </c>
      <c r="K17" s="3">
        <f>'Battery Design'!K56</f>
        <v>60</v>
      </c>
      <c r="L17" s="3">
        <f>'Battery Design'!L56</f>
        <v>60</v>
      </c>
      <c r="O17" s="253"/>
      <c r="P17" s="19"/>
      <c r="Q17" s="19"/>
      <c r="R17" s="5"/>
      <c r="S17" s="19"/>
      <c r="U17" s="127"/>
      <c r="V17" s="127"/>
      <c r="X17" s="80"/>
      <c r="Y17" s="19"/>
      <c r="Z17" s="19"/>
      <c r="AA17" s="5"/>
    </row>
    <row r="18" spans="1:27" x14ac:dyDescent="0.2">
      <c r="A18" s="253" t="s">
        <v>868</v>
      </c>
      <c r="F18" s="3"/>
      <c r="G18" s="3"/>
      <c r="H18" s="3"/>
      <c r="I18" s="3"/>
      <c r="J18" s="3"/>
      <c r="K18" s="3"/>
      <c r="L18" s="3"/>
      <c r="O18" s="253"/>
      <c r="P18" s="19"/>
      <c r="Q18" s="19"/>
      <c r="R18" s="5"/>
      <c r="S18" s="19"/>
      <c r="U18" s="127"/>
      <c r="V18" s="127"/>
      <c r="X18" s="80"/>
      <c r="Y18" s="19"/>
      <c r="Z18" s="19"/>
      <c r="AA18" s="5"/>
    </row>
    <row r="19" spans="1:27" ht="14.25" x14ac:dyDescent="0.2">
      <c r="A19" s="253" t="s">
        <v>852</v>
      </c>
      <c r="F19" s="386">
        <v>35</v>
      </c>
      <c r="G19" s="386">
        <v>35</v>
      </c>
      <c r="H19" s="386">
        <v>35</v>
      </c>
      <c r="I19" s="386">
        <v>35</v>
      </c>
      <c r="J19" s="386">
        <v>35</v>
      </c>
      <c r="K19" s="386">
        <v>35</v>
      </c>
      <c r="L19" s="386">
        <v>35</v>
      </c>
      <c r="M19" s="128"/>
      <c r="N19" s="128"/>
      <c r="O19" s="128"/>
      <c r="P19" s="19"/>
      <c r="Q19" s="19"/>
      <c r="R19" s="5"/>
      <c r="S19" s="19"/>
      <c r="U19" s="127"/>
      <c r="V19" s="127"/>
      <c r="X19" s="80"/>
      <c r="Y19" s="19"/>
      <c r="Z19" s="19"/>
      <c r="AA19" s="5"/>
    </row>
    <row r="20" spans="1:27" ht="14.25" x14ac:dyDescent="0.2">
      <c r="A20" s="253" t="s">
        <v>616</v>
      </c>
      <c r="F20" s="5">
        <f ca="1">IF('Battery Design'!F209=0,30,IF(F66="EG-W",F111,F173))</f>
        <v>35.000000000615472</v>
      </c>
      <c r="G20" s="5">
        <f ca="1">IF('Battery Design'!G209=0,30,IF(G66="EG-W",G111,G173))</f>
        <v>35.000000000165926</v>
      </c>
      <c r="H20" s="5">
        <f ca="1">IF('Battery Design'!H209=0,30,IF(H66="EG-W",H111,H173))</f>
        <v>35.0000000000245</v>
      </c>
      <c r="I20" s="5">
        <f ca="1">IF('Battery Design'!I209=0,30,IF(I66="EG-W",I111,I173))</f>
        <v>35.000000000007887</v>
      </c>
      <c r="J20" s="5">
        <f ca="1">IF('Battery Design'!J209=0,30,IF(J66="EG-W",J111,J173))</f>
        <v>30.72146110539957</v>
      </c>
      <c r="K20" s="5">
        <f ca="1">IF('Battery Design'!K209=0,30,IF(K66="EG-W",K111,K173))</f>
        <v>27.899785136230257</v>
      </c>
      <c r="L20" s="5">
        <f ca="1">IF('Battery Design'!L209=0,30,IF(L66="EG-W",L111,L173))</f>
        <v>25.932238548731998</v>
      </c>
      <c r="M20" s="126"/>
      <c r="N20" s="126"/>
      <c r="O20" s="126"/>
      <c r="P20" s="19"/>
      <c r="Q20" s="19"/>
      <c r="R20" s="5"/>
      <c r="S20" s="19"/>
      <c r="U20" s="127"/>
      <c r="V20" s="127"/>
      <c r="X20" s="80"/>
      <c r="Y20" s="19"/>
      <c r="Z20" s="19"/>
      <c r="AA20" s="5"/>
    </row>
    <row r="21" spans="1:27" x14ac:dyDescent="0.2">
      <c r="A21" s="253" t="s">
        <v>853</v>
      </c>
      <c r="F21" s="5">
        <f ca="1">MIN(IF('Battery Design'!F209=0,30,IF('Battery Design'!F53="microHEV",30,IF(F66="EG-W",F22+F23*(F19-F20),35))),85)</f>
        <v>68.599524585358338</v>
      </c>
      <c r="G21" s="5">
        <f ca="1">MIN(IF('Battery Design'!G209=0,30,IF('Battery Design'!G53="microHEV",30,IF(G66="EG-W",G22+G23*(G19-G20),35))),85)</f>
        <v>73.570497315053046</v>
      </c>
      <c r="H21" s="5">
        <f ca="1">MIN(IF('Battery Design'!H209=0,30,IF('Battery Design'!H53="microHEV",30,IF(H66="EG-W",H22+H23*(H19-H20),35))),85)</f>
        <v>79.876561405126395</v>
      </c>
      <c r="I21" s="5">
        <f ca="1">MIN(IF('Battery Design'!I209=0,30,IF('Battery Design'!I53="microHEV",30,IF(I66="EG-W",I22+I23*(I19-I20),35))),85)</f>
        <v>84.940358138273723</v>
      </c>
      <c r="J21" s="5">
        <f ca="1">MIN(IF('Battery Design'!J209=0,30,IF('Battery Design'!J53="microHEV",30,IF(J66="EG-W",J22+J23*(J19-J20),35))),85)</f>
        <v>85</v>
      </c>
      <c r="K21" s="5">
        <f ca="1">MIN(IF('Battery Design'!K209=0,30,IF('Battery Design'!K53="microHEV",30,IF(K66="EG-W",K22+K23*(K19-K20),35))),85)</f>
        <v>85</v>
      </c>
      <c r="L21" s="5">
        <f ca="1">MIN(IF('Battery Design'!L209=0,30,IF('Battery Design'!L53="microHEV",30,IF(L66="EG-W",L22+L23*(L19-L20),35))),85)</f>
        <v>85</v>
      </c>
      <c r="M21" s="385"/>
      <c r="N21" s="389"/>
      <c r="O21" s="389"/>
      <c r="P21" s="450"/>
      <c r="Q21" s="19"/>
      <c r="R21" s="5"/>
      <c r="S21" s="389"/>
      <c r="U21" s="127"/>
      <c r="V21" s="127"/>
      <c r="X21" s="80"/>
      <c r="Y21" s="450"/>
      <c r="Z21" s="19"/>
      <c r="AA21" s="5"/>
    </row>
    <row r="22" spans="1:27" x14ac:dyDescent="0.2">
      <c r="A22" s="253" t="s">
        <v>857</v>
      </c>
      <c r="F22" s="5">
        <f t="shared" ref="F22:I22" ca="1" si="9">F21</f>
        <v>68.599524585358338</v>
      </c>
      <c r="G22" s="5">
        <f t="shared" ca="1" si="9"/>
        <v>73.570497315053046</v>
      </c>
      <c r="H22" s="5">
        <f t="shared" ca="1" si="9"/>
        <v>79.876561405126395</v>
      </c>
      <c r="I22" s="5">
        <f t="shared" ca="1" si="9"/>
        <v>84.940358138273723</v>
      </c>
      <c r="J22" s="5">
        <f t="shared" ref="J22:L22" ca="1" si="10">J21</f>
        <v>85</v>
      </c>
      <c r="K22" s="5">
        <f t="shared" ca="1" si="10"/>
        <v>85</v>
      </c>
      <c r="L22" s="5">
        <f t="shared" ca="1" si="10"/>
        <v>85</v>
      </c>
      <c r="M22" s="389"/>
      <c r="N22" s="389"/>
      <c r="O22" s="389"/>
      <c r="P22" s="450"/>
      <c r="Q22" s="19"/>
      <c r="R22" s="5"/>
      <c r="S22" s="389"/>
      <c r="U22" s="127"/>
      <c r="V22" s="127"/>
      <c r="X22" s="80"/>
      <c r="Y22" s="450"/>
      <c r="Z22" s="19"/>
      <c r="AA22" s="5"/>
    </row>
    <row r="23" spans="1:27" x14ac:dyDescent="0.2">
      <c r="A23" s="253" t="s">
        <v>855</v>
      </c>
      <c r="F23" s="390">
        <v>0.5</v>
      </c>
      <c r="G23" s="390">
        <v>0.5</v>
      </c>
      <c r="H23" s="390">
        <v>0.5</v>
      </c>
      <c r="I23" s="390">
        <v>0.5</v>
      </c>
      <c r="J23" s="390">
        <v>0.5</v>
      </c>
      <c r="K23" s="390">
        <v>0.5</v>
      </c>
      <c r="L23" s="390">
        <v>0.5</v>
      </c>
      <c r="M23" s="389"/>
      <c r="N23" s="389"/>
      <c r="O23" s="389"/>
      <c r="P23" s="450"/>
      <c r="Q23" s="19"/>
      <c r="R23" s="5"/>
      <c r="S23" s="389"/>
      <c r="X23" s="80"/>
      <c r="Y23" s="450"/>
      <c r="Z23" s="19"/>
      <c r="AA23" s="5"/>
    </row>
    <row r="24" spans="1:27" x14ac:dyDescent="0.2">
      <c r="A24" s="266" t="s">
        <v>430</v>
      </c>
      <c r="B24" s="253"/>
      <c r="C24" s="253"/>
      <c r="D24" s="253"/>
      <c r="E24" s="253"/>
      <c r="F24" s="276"/>
      <c r="G24" s="276"/>
      <c r="H24" s="276"/>
      <c r="I24" s="276"/>
      <c r="J24" s="276"/>
      <c r="K24" s="276"/>
      <c r="L24" s="276"/>
      <c r="M24" s="143"/>
      <c r="N24" s="143"/>
      <c r="O24" s="143"/>
      <c r="P24" s="19"/>
      <c r="Q24" s="19"/>
      <c r="R24" s="5"/>
      <c r="X24" s="80"/>
      <c r="Y24" s="19"/>
      <c r="Z24" s="19"/>
      <c r="AA24" s="5"/>
    </row>
    <row r="25" spans="1:27" s="277" customFormat="1" ht="12.75" customHeight="1" x14ac:dyDescent="0.2">
      <c r="A25" s="266" t="s">
        <v>600</v>
      </c>
      <c r="B25"/>
      <c r="C25"/>
      <c r="D25"/>
      <c r="E25"/>
      <c r="F25" s="124">
        <v>60</v>
      </c>
      <c r="G25" s="124">
        <v>60</v>
      </c>
      <c r="H25" s="124">
        <v>60</v>
      </c>
      <c r="I25" s="124">
        <v>60</v>
      </c>
      <c r="J25" s="124">
        <v>60</v>
      </c>
      <c r="K25" s="124">
        <v>60</v>
      </c>
      <c r="L25" s="124">
        <v>60</v>
      </c>
      <c r="M25" s="383"/>
      <c r="N25" s="124"/>
      <c r="O25" s="124"/>
      <c r="P25" s="451"/>
      <c r="Q25" s="19"/>
      <c r="R25" s="5"/>
      <c r="X25" s="80"/>
      <c r="Y25" s="451"/>
      <c r="Z25" s="19"/>
      <c r="AA25" s="5"/>
    </row>
    <row r="26" spans="1:27" x14ac:dyDescent="0.2">
      <c r="A26" s="266" t="s">
        <v>603</v>
      </c>
      <c r="F26" s="160">
        <f ca="1">1.2*'Battery Design'!F90/'Battery Design'!F109*'Battery Design'!F67/'Battery Design'!F60^2/'Battery Design'!F64^2</f>
        <v>0.43170032517119994</v>
      </c>
      <c r="G26" s="160">
        <f ca="1">1.2*'Battery Design'!G90/'Battery Design'!G109*'Battery Design'!G67/'Battery Design'!G60^2/'Battery Design'!G64^2</f>
        <v>0.35607035246104213</v>
      </c>
      <c r="H26" s="160">
        <f ca="1">1.2*'Battery Design'!H90/'Battery Design'!H109*'Battery Design'!H67/'Battery Design'!H60^2/'Battery Design'!H64^2</f>
        <v>0.27181391946708583</v>
      </c>
      <c r="I26" s="160">
        <f ca="1">1.2*'Battery Design'!I90/'Battery Design'!I109*'Battery Design'!I67/'Battery Design'!I60^2/'Battery Design'!I64^2</f>
        <v>0.22131442291636</v>
      </c>
      <c r="J26" s="160">
        <f ca="1">1.2*'Battery Design'!J90/'Battery Design'!J109*'Battery Design'!J67/'Battery Design'!J60^2/'Battery Design'!J64^2</f>
        <v>0.18764954961109853</v>
      </c>
      <c r="K26" s="160">
        <f ca="1">1.2*'Battery Design'!K90/'Battery Design'!K109*'Battery Design'!K67/'Battery Design'!K60^2/'Battery Design'!K64^2</f>
        <v>0.16359597014373323</v>
      </c>
      <c r="L26" s="160">
        <f ca="1">1.2*'Battery Design'!L90/'Battery Design'!L109*'Battery Design'!L67/'Battery Design'!L60^2/'Battery Design'!L64^2</f>
        <v>0.1455478296443212</v>
      </c>
      <c r="M26" s="160"/>
      <c r="N26" s="160"/>
      <c r="O26" s="160"/>
      <c r="P26" s="19"/>
      <c r="Q26" s="19"/>
      <c r="R26" s="5"/>
      <c r="X26" s="80"/>
      <c r="Y26" s="19"/>
      <c r="Z26" s="19"/>
      <c r="AA26" s="5"/>
    </row>
    <row r="27" spans="1:27" x14ac:dyDescent="0.2">
      <c r="A27" s="253" t="s">
        <v>620</v>
      </c>
      <c r="F27" s="276"/>
      <c r="G27" s="276"/>
      <c r="H27" s="276"/>
      <c r="I27" s="276"/>
      <c r="J27" s="276"/>
      <c r="K27" s="276"/>
      <c r="L27" s="276"/>
      <c r="M27" s="143"/>
      <c r="N27" s="143"/>
      <c r="O27" s="143"/>
    </row>
    <row r="28" spans="1:27" x14ac:dyDescent="0.2">
      <c r="A28" s="266" t="s">
        <v>723</v>
      </c>
      <c r="F28" s="160">
        <f ca="1">'Battery Design'!F91/'Battery Design'!F109*'Battery Design'!F67/'Battery Design'!F60^2/'Battery Design'!F64^2</f>
        <v>0.66026943144749106</v>
      </c>
      <c r="G28" s="160">
        <f ca="1">'Battery Design'!G91/'Battery Design'!G109*'Battery Design'!G67/'Battery Design'!G60^2/'Battery Design'!G64^2</f>
        <v>0.54286211934187467</v>
      </c>
      <c r="H28" s="160">
        <f ca="1">'Battery Design'!H91/'Battery Design'!H109*'Battery Design'!H67/'Battery Design'!H60^2/'Battery Design'!H64^2</f>
        <v>0.41132762048082716</v>
      </c>
      <c r="I28" s="160">
        <f ca="1">'Battery Design'!I91/'Battery Design'!I109*'Battery Design'!I67/'Battery Design'!I60^2/'Battery Design'!I64^2</f>
        <v>0.33235813035368944</v>
      </c>
      <c r="J28" s="160">
        <f ca="1">'Battery Design'!J91/'Battery Design'!J109*'Battery Design'!J67/'Battery Design'!J60^2/'Battery Design'!J64^2</f>
        <v>0.27968314924076804</v>
      </c>
      <c r="K28" s="160">
        <f ca="1">'Battery Design'!K91/'Battery Design'!K109*'Battery Design'!K67/'Battery Design'!K60^2/'Battery Design'!K64^2</f>
        <v>0.24203959510816753</v>
      </c>
      <c r="L28" s="160">
        <f ca="1">'Battery Design'!L91/'Battery Design'!L109*'Battery Design'!L67/'Battery Design'!L60^2/'Battery Design'!L64^2</f>
        <v>0.21379410788587142</v>
      </c>
      <c r="M28" s="160"/>
      <c r="N28" s="160"/>
      <c r="O28" s="160"/>
    </row>
    <row r="29" spans="1:27" x14ac:dyDescent="0.2">
      <c r="A29" s="72" t="s">
        <v>673</v>
      </c>
      <c r="F29" s="226"/>
      <c r="G29" s="226"/>
      <c r="H29" s="226"/>
      <c r="I29" s="226"/>
      <c r="J29" s="226"/>
      <c r="K29" s="226"/>
      <c r="L29" s="226"/>
      <c r="M29" s="280"/>
      <c r="N29" s="280"/>
      <c r="O29" s="280"/>
    </row>
    <row r="30" spans="1:27" x14ac:dyDescent="0.2">
      <c r="A30" s="266" t="s">
        <v>596</v>
      </c>
      <c r="F30" s="126">
        <f t="shared" ref="F30:L30" ca="1" si="11">(F13*F21+F14*F21^3+F12)/F15</f>
        <v>21.454807762346253</v>
      </c>
      <c r="G30" s="126">
        <f t="shared" ca="1" si="11"/>
        <v>25.462716048245383</v>
      </c>
      <c r="H30" s="126">
        <f t="shared" ca="1" si="11"/>
        <v>31.305308344860588</v>
      </c>
      <c r="I30" s="126">
        <f t="shared" ca="1" si="11"/>
        <v>36.656002472187211</v>
      </c>
      <c r="J30" s="126">
        <f t="shared" ca="1" si="11"/>
        <v>36.722689075630257</v>
      </c>
      <c r="K30" s="126">
        <f t="shared" ca="1" si="11"/>
        <v>36.722689075630257</v>
      </c>
      <c r="L30" s="126">
        <f t="shared" ca="1" si="11"/>
        <v>36.722689075630257</v>
      </c>
      <c r="M30" s="126"/>
      <c r="N30" s="126"/>
      <c r="O30" s="126"/>
    </row>
    <row r="31" spans="1:27" x14ac:dyDescent="0.2">
      <c r="A31" s="253" t="s">
        <v>604</v>
      </c>
      <c r="F31" s="160">
        <f ca="1">IF('Battery Design'!F53="HEV-HP",F26,F28)</f>
        <v>0.66026943144749106</v>
      </c>
      <c r="G31" s="160">
        <f ca="1">IF('Battery Design'!G53="HEV-HP",G26,G28)</f>
        <v>0.54286211934187467</v>
      </c>
      <c r="H31" s="160">
        <f ca="1">IF('Battery Design'!H53="HEV-HP",H26,H28)</f>
        <v>0.41132762048082716</v>
      </c>
      <c r="I31" s="160">
        <f ca="1">IF('Battery Design'!I53="HEV-HP",I26,I28)</f>
        <v>0.33235813035368944</v>
      </c>
      <c r="J31" s="160">
        <f ca="1">IF('Battery Design'!J53="HEV-HP",J26,J28)</f>
        <v>0.27968314924076804</v>
      </c>
      <c r="K31" s="160">
        <f ca="1">IF('Battery Design'!K53="HEV-HP",K26,K28)</f>
        <v>0.24203959510816753</v>
      </c>
      <c r="L31" s="160">
        <f ca="1">IF('Battery Design'!L53="HEV-HP",L26,L28)</f>
        <v>0.21379410788587142</v>
      </c>
      <c r="M31" s="160"/>
      <c r="N31" s="160"/>
      <c r="O31" s="160"/>
      <c r="P31" s="166"/>
      <c r="Q31" s="166"/>
      <c r="R31" s="166"/>
    </row>
    <row r="32" spans="1:27" x14ac:dyDescent="0.2">
      <c r="A32" t="s">
        <v>614</v>
      </c>
      <c r="F32" s="3">
        <f ca="1">('Battery Design'!F147+('Battery Design'!F147^2-4*F31*F30*1000)^0.5)/2</f>
        <v>337.62653433125979</v>
      </c>
      <c r="G32" s="3">
        <f ca="1">('Battery Design'!G147+('Battery Design'!G147^2-4*G31*G30*1000)^0.5)/2</f>
        <v>338.78280262166908</v>
      </c>
      <c r="H32" s="3">
        <f ca="1">('Battery Design'!H147+('Battery Design'!H147^2-4*H31*H30*1000)^0.5)/2</f>
        <v>341.92439390113441</v>
      </c>
      <c r="I32" s="3">
        <f ca="1">('Battery Design'!I147+('Battery Design'!I147^2-4*I31*I30*1000)^0.5)/2</f>
        <v>344.18786398638935</v>
      </c>
      <c r="J32" s="3">
        <f ca="1">('Battery Design'!J147+('Battery Design'!J147^2-4*J31*J30*1000)^0.5)/2</f>
        <v>350.2609562960331</v>
      </c>
      <c r="K32" s="3">
        <f ca="1">('Battery Design'!K147+('Battery Design'!K147^2-4*K31*K30*1000)^0.5)/2</f>
        <v>354.51193949990181</v>
      </c>
      <c r="L32" s="3">
        <f ca="1">('Battery Design'!L147+('Battery Design'!L147^2-4*L31*L30*1000)^0.5)/2</f>
        <v>357.63093682309056</v>
      </c>
      <c r="M32" s="128"/>
      <c r="N32" s="128"/>
      <c r="O32" s="128"/>
    </row>
    <row r="33" spans="1:20" x14ac:dyDescent="0.2">
      <c r="A33" t="s">
        <v>615</v>
      </c>
      <c r="F33" s="5">
        <f t="shared" ref="F33:K33" ca="1" si="12">F30*1000/F32</f>
        <v>63.54597633992838</v>
      </c>
      <c r="G33" s="5">
        <f t="shared" ca="1" si="12"/>
        <v>75.159411431755913</v>
      </c>
      <c r="H33" s="5">
        <f t="shared" ca="1" si="12"/>
        <v>91.556229690685214</v>
      </c>
      <c r="I33" s="5">
        <f t="shared" ca="1" si="12"/>
        <v>106.4999853499679</v>
      </c>
      <c r="J33" s="5">
        <f t="shared" ca="1" si="12"/>
        <v>104.8437983609941</v>
      </c>
      <c r="K33" s="5">
        <f t="shared" ca="1" si="12"/>
        <v>103.58660734370113</v>
      </c>
      <c r="L33" s="5">
        <f t="shared" ref="L33" ca="1" si="13">L30*1000/L32</f>
        <v>102.68320017794179</v>
      </c>
      <c r="M33" s="126"/>
      <c r="N33" s="126"/>
      <c r="O33" s="126"/>
    </row>
    <row r="34" spans="1:20" x14ac:dyDescent="0.2">
      <c r="A34" t="s">
        <v>597</v>
      </c>
      <c r="F34" s="3">
        <f ca="1">F33^2*F31*IF('Battery Design'!F53="HEV-HP",F25/100,1)</f>
        <v>2666.2281206691241</v>
      </c>
      <c r="G34" s="3">
        <f ca="1">G33^2*G31*IF('Battery Design'!G53="HEV-HP",G25/100,1)</f>
        <v>3066.5939806662559</v>
      </c>
      <c r="H34" s="3">
        <f ca="1">H33^2*H31*IF('Battery Design'!H53="HEV-HP",H25/100,1)</f>
        <v>3447.971546048469</v>
      </c>
      <c r="I34" s="3">
        <f ca="1">I33^2*I31*IF('Battery Design'!I53="HEV-HP",I25/100,1)</f>
        <v>3769.6879668950055</v>
      </c>
      <c r="J34" s="3">
        <f ca="1">J33^2*J31*IF('Battery Design'!J53="HEV-HP",J25/100,1)</f>
        <v>3074.3392814293234</v>
      </c>
      <c r="K34" s="3">
        <f ca="1">K33^2*K31*IF('Battery Design'!K53="HEV-HP",K25/100,1)</f>
        <v>2597.1296863211865</v>
      </c>
      <c r="L34" s="3">
        <f ca="1">L33^2*L31*IF('Battery Design'!L53="HEV-HP",L25/100,1)</f>
        <v>2254.2107807135926</v>
      </c>
      <c r="M34" s="128"/>
      <c r="N34" s="128"/>
      <c r="O34" s="128"/>
    </row>
    <row r="35" spans="1:20" x14ac:dyDescent="0.2">
      <c r="A35" t="s">
        <v>598</v>
      </c>
      <c r="F35" s="5">
        <f t="shared" ref="F35:K35" ca="1" si="14">F30/(F30+F34/1000)*100</f>
        <v>88.946460949686966</v>
      </c>
      <c r="G35" s="5">
        <f t="shared" ca="1" si="14"/>
        <v>89.251075551569372</v>
      </c>
      <c r="H35" s="5">
        <f t="shared" ca="1" si="14"/>
        <v>90.078716147449427</v>
      </c>
      <c r="I35" s="5">
        <f t="shared" ca="1" si="14"/>
        <v>90.67501896454786</v>
      </c>
      <c r="J35" s="5">
        <f t="shared" ca="1" si="14"/>
        <v>92.274952657654978</v>
      </c>
      <c r="K35" s="5">
        <f t="shared" ca="1" si="14"/>
        <v>93.394858450277624</v>
      </c>
      <c r="L35" s="5">
        <f t="shared" ref="L35" ca="1" si="15">L30/(L30+L34/1000)*100</f>
        <v>94.216546751994443</v>
      </c>
      <c r="M35" s="126"/>
      <c r="N35" s="126"/>
      <c r="O35" s="126"/>
    </row>
    <row r="36" spans="1:20" x14ac:dyDescent="0.2">
      <c r="A36" s="193" t="s">
        <v>515</v>
      </c>
      <c r="F36" s="229">
        <v>100</v>
      </c>
      <c r="G36" s="229">
        <v>100</v>
      </c>
      <c r="H36" s="229">
        <v>100</v>
      </c>
      <c r="I36" s="229">
        <v>100</v>
      </c>
      <c r="J36" s="229">
        <v>100</v>
      </c>
      <c r="K36" s="229">
        <v>100</v>
      </c>
      <c r="L36" s="229">
        <v>100</v>
      </c>
      <c r="M36" s="156"/>
      <c r="N36" s="156"/>
      <c r="O36" s="156"/>
    </row>
    <row r="37" spans="1:20" x14ac:dyDescent="0.2">
      <c r="A37" s="253" t="s">
        <v>671</v>
      </c>
      <c r="B37" s="6"/>
      <c r="C37" s="6"/>
      <c r="D37" s="6"/>
      <c r="E37" s="6"/>
      <c r="F37" s="212">
        <f ca="1">IF('Battery Design'!F53="microHEV",F36,F34)</f>
        <v>2666.2281206691241</v>
      </c>
      <c r="G37" s="212">
        <f ca="1">IF('Battery Design'!G53="microHEV",G36,G34)</f>
        <v>3066.5939806662559</v>
      </c>
      <c r="H37" s="212">
        <f ca="1">IF('Battery Design'!H53="microHEV",H36,H34)</f>
        <v>3447.971546048469</v>
      </c>
      <c r="I37" s="212">
        <f ca="1">IF('Battery Design'!I53="microHEV",I36,I34)</f>
        <v>3769.6879668950055</v>
      </c>
      <c r="J37" s="212">
        <f ca="1">IF('Battery Design'!J53="microHEV",J36,J34)</f>
        <v>3074.3392814293234</v>
      </c>
      <c r="K37" s="212">
        <f ca="1">IF('Battery Design'!K53="microHEV",K36,K34)</f>
        <v>2597.1296863211865</v>
      </c>
      <c r="L37" s="212">
        <f ca="1">IF('Battery Design'!L53="microHEV",L36,L34)</f>
        <v>2254.2107807135926</v>
      </c>
      <c r="M37" s="281"/>
      <c r="N37" s="281"/>
      <c r="O37" s="281"/>
    </row>
    <row r="38" spans="1:20" x14ac:dyDescent="0.2">
      <c r="A38" s="253" t="s">
        <v>672</v>
      </c>
      <c r="B38" s="6"/>
      <c r="C38" s="6"/>
      <c r="D38" s="6"/>
      <c r="E38" s="6"/>
      <c r="F38" s="212">
        <f ca="1">IF(F66="EG-W",F104,F165+F166)*'Battery Design'!F65</f>
        <v>1068.0180877438122</v>
      </c>
      <c r="G38" s="212">
        <f ca="1">IF(G66="EG-W",G104,G165+G166)*'Battery Design'!G65</f>
        <v>1228.3937048250834</v>
      </c>
      <c r="H38" s="212">
        <f ca="1">IF(H66="EG-W",H104,H165+H166)*'Battery Design'!H65</f>
        <v>1381.1631302551973</v>
      </c>
      <c r="I38" s="212">
        <f ca="1">IF(I66="EG-W",I104,I165+I166)*'Battery Design'!I65</f>
        <v>1510.0339323872392</v>
      </c>
      <c r="J38" s="212">
        <f ca="1">IF(J66="EG-W",J104,J165+J166)*'Battery Design'!J65</f>
        <v>1231.4962605384633</v>
      </c>
      <c r="K38" s="212">
        <f ca="1">IF(K66="EG-W",K104,K165+K166)*'Battery Design'!K65</f>
        <v>1040.3391441399376</v>
      </c>
      <c r="L38" s="212">
        <f ca="1">IF(L66="EG-W",L104,L165+L166)*'Battery Design'!L65</f>
        <v>902.97520630957672</v>
      </c>
      <c r="M38" s="281"/>
      <c r="N38" s="281"/>
      <c r="O38" s="281"/>
    </row>
    <row r="39" spans="1:20" ht="15" x14ac:dyDescent="0.25">
      <c r="A39" s="259" t="s">
        <v>611</v>
      </c>
      <c r="B39" s="289"/>
      <c r="C39" s="289"/>
      <c r="D39" s="289"/>
      <c r="E39" s="289"/>
      <c r="F39" s="604" t="str">
        <f t="shared" ref="F39:L39" ca="1" si="16">IF(F20&lt;35.01,"Excellent",IF(F20&lt;40.01,"Good",IF(F20&lt;45.01,"Fair","Poor")))</f>
        <v>Excellent</v>
      </c>
      <c r="G39" s="604" t="str">
        <f t="shared" ca="1" si="16"/>
        <v>Excellent</v>
      </c>
      <c r="H39" s="604" t="str">
        <f t="shared" ca="1" si="16"/>
        <v>Excellent</v>
      </c>
      <c r="I39" s="604" t="str">
        <f t="shared" ca="1" si="16"/>
        <v>Excellent</v>
      </c>
      <c r="J39" s="604" t="str">
        <f t="shared" ca="1" si="16"/>
        <v>Excellent</v>
      </c>
      <c r="K39" s="604" t="str">
        <f t="shared" ca="1" si="16"/>
        <v>Excellent</v>
      </c>
      <c r="L39" s="604" t="str">
        <f t="shared" ca="1" si="16"/>
        <v>Excellent</v>
      </c>
      <c r="O39" s="253"/>
      <c r="P39" s="19"/>
      <c r="Q39" s="19"/>
      <c r="R39" s="19"/>
      <c r="S39" s="19"/>
      <c r="T39" s="19"/>
    </row>
    <row r="40" spans="1:20" ht="15" x14ac:dyDescent="0.25">
      <c r="A40" s="259" t="s">
        <v>516</v>
      </c>
      <c r="B40" s="6"/>
      <c r="C40" s="6"/>
      <c r="D40" s="6"/>
      <c r="E40" s="6"/>
      <c r="F40" s="212"/>
      <c r="G40" s="212"/>
      <c r="H40" s="212"/>
      <c r="I40" s="212"/>
      <c r="J40" s="212"/>
      <c r="K40" s="212"/>
      <c r="L40" s="212"/>
    </row>
    <row r="41" spans="1:20" x14ac:dyDescent="0.2">
      <c r="A41" s="193" t="s">
        <v>376</v>
      </c>
      <c r="F41" s="5"/>
      <c r="G41" s="5"/>
      <c r="H41" s="5"/>
      <c r="I41" s="5"/>
      <c r="J41" s="5"/>
      <c r="K41" s="5"/>
      <c r="L41" s="5"/>
    </row>
    <row r="42" spans="1:20" x14ac:dyDescent="0.2">
      <c r="A42" t="s">
        <v>377</v>
      </c>
      <c r="F42" s="5">
        <f>'Battery Design'!$D18</f>
        <v>15</v>
      </c>
      <c r="G42" s="5">
        <f>'Battery Design'!$D18</f>
        <v>15</v>
      </c>
      <c r="H42" s="5">
        <f>'Battery Design'!$D18</f>
        <v>15</v>
      </c>
      <c r="I42" s="5">
        <f>'Battery Design'!$D18</f>
        <v>15</v>
      </c>
      <c r="J42" s="5">
        <f>'Battery Design'!$D18</f>
        <v>15</v>
      </c>
      <c r="K42" s="5">
        <f>'Battery Design'!$D18</f>
        <v>15</v>
      </c>
      <c r="L42" s="5">
        <f>'Battery Design'!$D18</f>
        <v>15</v>
      </c>
    </row>
    <row r="43" spans="1:20" x14ac:dyDescent="0.2">
      <c r="A43" t="s">
        <v>378</v>
      </c>
      <c r="F43" s="5">
        <f>'Battery Design'!$D19</f>
        <v>10</v>
      </c>
      <c r="G43" s="5">
        <f>'Battery Design'!$D19</f>
        <v>10</v>
      </c>
      <c r="H43" s="5">
        <f>'Battery Design'!$D19</f>
        <v>10</v>
      </c>
      <c r="I43" s="5">
        <f>'Battery Design'!$D19</f>
        <v>10</v>
      </c>
      <c r="J43" s="5">
        <f>'Battery Design'!$D19</f>
        <v>10</v>
      </c>
      <c r="K43" s="5">
        <f>'Battery Design'!$D19</f>
        <v>10</v>
      </c>
      <c r="L43" s="5">
        <f>'Battery Design'!$D19</f>
        <v>10</v>
      </c>
    </row>
    <row r="44" spans="1:20" x14ac:dyDescent="0.2">
      <c r="A44" s="47" t="s">
        <v>379</v>
      </c>
      <c r="F44" s="5">
        <f ca="1">'Battery Design'!F104</f>
        <v>71.366112801647603</v>
      </c>
      <c r="G44" s="5">
        <f ca="1">'Battery Design'!G104</f>
        <v>87.559986255737869</v>
      </c>
      <c r="H44" s="5">
        <f ca="1">'Battery Design'!H104</f>
        <v>87.559986255737869</v>
      </c>
      <c r="I44" s="5">
        <f ca="1">'Battery Design'!I104</f>
        <v>87.559986255737869</v>
      </c>
      <c r="J44" s="5">
        <f ca="1">'Battery Design'!J104</f>
        <v>87.559986255737869</v>
      </c>
      <c r="K44" s="5">
        <f ca="1">'Battery Design'!K104</f>
        <v>87.559986255737869</v>
      </c>
      <c r="L44" s="5">
        <f ca="1">'Battery Design'!L104</f>
        <v>87.559986255737869</v>
      </c>
    </row>
    <row r="45" spans="1:20" x14ac:dyDescent="0.2">
      <c r="A45" s="47" t="s">
        <v>380</v>
      </c>
      <c r="F45" s="5">
        <f ca="1">'Battery Design'!F105</f>
        <v>39.708318282179867</v>
      </c>
      <c r="G45" s="5">
        <f ca="1">'Battery Design'!G105</f>
        <v>48.718637831509646</v>
      </c>
      <c r="H45" s="5">
        <f ca="1">'Battery Design'!H105</f>
        <v>48.718637831509646</v>
      </c>
      <c r="I45" s="5">
        <f ca="1">'Battery Design'!I105</f>
        <v>48.718637831509646</v>
      </c>
      <c r="J45" s="5">
        <f ca="1">'Battery Design'!J105</f>
        <v>48.718637831509646</v>
      </c>
      <c r="K45" s="5">
        <f ca="1">'Battery Design'!K105</f>
        <v>48.718637831509646</v>
      </c>
      <c r="L45" s="5">
        <f ca="1">'Battery Design'!L105</f>
        <v>48.718637831509646</v>
      </c>
    </row>
    <row r="46" spans="1:20" x14ac:dyDescent="0.2">
      <c r="A46" s="47" t="s">
        <v>202</v>
      </c>
      <c r="F46" s="5">
        <f>'Battery Design'!$D20</f>
        <v>15</v>
      </c>
      <c r="G46" s="5">
        <f>'Battery Design'!$D20</f>
        <v>15</v>
      </c>
      <c r="H46" s="5">
        <f>'Battery Design'!$D20</f>
        <v>15</v>
      </c>
      <c r="I46" s="5">
        <f>'Battery Design'!$D20</f>
        <v>15</v>
      </c>
      <c r="J46" s="5">
        <f>'Battery Design'!$D20</f>
        <v>15</v>
      </c>
      <c r="K46" s="5">
        <f>'Battery Design'!$D20</f>
        <v>15</v>
      </c>
      <c r="L46" s="5">
        <f>'Battery Design'!$D20</f>
        <v>15</v>
      </c>
    </row>
    <row r="47" spans="1:20" x14ac:dyDescent="0.2">
      <c r="A47" s="47" t="s">
        <v>381</v>
      </c>
      <c r="F47" s="5">
        <f t="shared" ref="F47:K47" ca="1" si="17">F42+F43+2*(F44+F45+F46)</f>
        <v>277.14886216765495</v>
      </c>
      <c r="G47" s="5">
        <f t="shared" ca="1" si="17"/>
        <v>327.55724817449504</v>
      </c>
      <c r="H47" s="5">
        <f t="shared" ca="1" si="17"/>
        <v>327.55724817449504</v>
      </c>
      <c r="I47" s="5">
        <f t="shared" ca="1" si="17"/>
        <v>327.55724817449504</v>
      </c>
      <c r="J47" s="5">
        <f t="shared" ca="1" si="17"/>
        <v>327.55724817449504</v>
      </c>
      <c r="K47" s="5">
        <f t="shared" ca="1" si="17"/>
        <v>327.55724817449504</v>
      </c>
      <c r="L47" s="5">
        <f t="shared" ref="L47" ca="1" si="18">L42+L43+2*(L44+L45+L46)</f>
        <v>327.55724817449504</v>
      </c>
    </row>
    <row r="48" spans="1:20" x14ac:dyDescent="0.2">
      <c r="A48" s="194" t="s">
        <v>521</v>
      </c>
      <c r="B48" s="6"/>
      <c r="C48" s="96"/>
      <c r="D48" s="96"/>
      <c r="E48" s="96"/>
      <c r="F48" s="96"/>
      <c r="G48" s="96"/>
      <c r="H48" s="96"/>
      <c r="I48" s="96"/>
      <c r="J48" s="96"/>
      <c r="K48" s="96"/>
      <c r="L48" s="96"/>
    </row>
    <row r="49" spans="1:20" x14ac:dyDescent="0.2">
      <c r="A49" s="44" t="s">
        <v>203</v>
      </c>
      <c r="B49" s="6"/>
      <c r="C49" s="6"/>
      <c r="D49" s="6"/>
      <c r="E49" s="96"/>
      <c r="F49" s="230">
        <v>2</v>
      </c>
      <c r="G49" s="230">
        <v>2</v>
      </c>
      <c r="H49" s="230">
        <v>2</v>
      </c>
      <c r="I49" s="230">
        <v>2</v>
      </c>
      <c r="J49" s="230">
        <v>2</v>
      </c>
      <c r="K49" s="230">
        <v>2</v>
      </c>
      <c r="L49" s="230">
        <v>2</v>
      </c>
    </row>
    <row r="50" spans="1:20" x14ac:dyDescent="0.2">
      <c r="A50" s="44" t="s">
        <v>212</v>
      </c>
      <c r="B50" s="6"/>
      <c r="C50" s="6"/>
      <c r="D50" s="6"/>
      <c r="E50" s="96"/>
      <c r="F50" s="230">
        <v>3.8</v>
      </c>
      <c r="G50" s="230">
        <v>3.8</v>
      </c>
      <c r="H50" s="230">
        <v>3.8</v>
      </c>
      <c r="I50" s="230">
        <v>3.8</v>
      </c>
      <c r="J50" s="230">
        <v>3.8</v>
      </c>
      <c r="K50" s="230">
        <v>3.8</v>
      </c>
      <c r="L50" s="230">
        <v>3.8</v>
      </c>
    </row>
    <row r="51" spans="1:20" x14ac:dyDescent="0.2">
      <c r="A51" s="47" t="s">
        <v>379</v>
      </c>
      <c r="B51" s="6"/>
      <c r="C51" s="6"/>
      <c r="D51" s="6"/>
      <c r="E51" s="96"/>
      <c r="F51" s="231">
        <v>1.2999999999999999E-2</v>
      </c>
      <c r="G51" s="231">
        <v>1.2999999999999999E-2</v>
      </c>
      <c r="H51" s="231">
        <v>1.2999999999999999E-2</v>
      </c>
      <c r="I51" s="231">
        <v>1.2999999999999999E-2</v>
      </c>
      <c r="J51" s="231">
        <v>1.2999999999999999E-2</v>
      </c>
      <c r="K51" s="231">
        <v>1.2999999999999999E-2</v>
      </c>
      <c r="L51" s="231">
        <v>1.2999999999999999E-2</v>
      </c>
    </row>
    <row r="52" spans="1:20" x14ac:dyDescent="0.2">
      <c r="A52" s="47" t="s">
        <v>380</v>
      </c>
      <c r="B52" s="6"/>
      <c r="C52" s="6"/>
      <c r="D52" s="6"/>
      <c r="E52" s="96"/>
      <c r="F52" s="231">
        <v>1.2999999999999999E-2</v>
      </c>
      <c r="G52" s="231">
        <v>1.2999999999999999E-2</v>
      </c>
      <c r="H52" s="231">
        <v>1.2999999999999999E-2</v>
      </c>
      <c r="I52" s="231">
        <v>1.2999999999999999E-2</v>
      </c>
      <c r="J52" s="231">
        <v>1.2999999999999999E-2</v>
      </c>
      <c r="K52" s="231">
        <v>1.2999999999999999E-2</v>
      </c>
      <c r="L52" s="231">
        <v>1.2999999999999999E-2</v>
      </c>
    </row>
    <row r="53" spans="1:20" x14ac:dyDescent="0.2">
      <c r="A53" s="47" t="s">
        <v>202</v>
      </c>
      <c r="B53" s="6"/>
      <c r="C53" s="6"/>
      <c r="D53" s="6"/>
      <c r="E53" s="96"/>
      <c r="F53" s="232">
        <v>2E-3</v>
      </c>
      <c r="G53" s="232">
        <v>2E-3</v>
      </c>
      <c r="H53" s="232">
        <v>2E-3</v>
      </c>
      <c r="I53" s="232">
        <v>2E-3</v>
      </c>
      <c r="J53" s="232">
        <v>2E-3</v>
      </c>
      <c r="K53" s="232">
        <v>2E-3</v>
      </c>
      <c r="L53" s="232">
        <v>2E-3</v>
      </c>
    </row>
    <row r="54" spans="1:20" x14ac:dyDescent="0.2">
      <c r="A54" s="6" t="s">
        <v>522</v>
      </c>
      <c r="E54" s="80"/>
      <c r="F54" s="90">
        <f t="shared" ref="F54:L54" si="19">0.01</f>
        <v>0.01</v>
      </c>
      <c r="G54" s="90">
        <f t="shared" si="19"/>
        <v>0.01</v>
      </c>
      <c r="H54" s="90">
        <f t="shared" si="19"/>
        <v>0.01</v>
      </c>
      <c r="I54" s="90">
        <f t="shared" si="19"/>
        <v>0.01</v>
      </c>
      <c r="J54" s="90">
        <f t="shared" si="19"/>
        <v>0.01</v>
      </c>
      <c r="K54" s="90">
        <f t="shared" si="19"/>
        <v>0.01</v>
      </c>
      <c r="L54" s="90">
        <f t="shared" si="19"/>
        <v>0.01</v>
      </c>
    </row>
    <row r="55" spans="1:20" x14ac:dyDescent="0.2">
      <c r="A55" s="44" t="s">
        <v>382</v>
      </c>
      <c r="B55" s="175"/>
      <c r="C55" s="175"/>
      <c r="D55" s="175"/>
      <c r="E55" s="96"/>
      <c r="F55" s="195">
        <f t="shared" ref="F55:K55" ca="1" si="20">F47/(F42/F49+F43/F50+2*(F44/F51+F45/F52+F46/F53))</f>
        <v>8.634322908729973E-3</v>
      </c>
      <c r="G55" s="195">
        <f t="shared" ca="1" si="20"/>
        <v>9.1048637070615824E-3</v>
      </c>
      <c r="H55" s="195">
        <f t="shared" ca="1" si="20"/>
        <v>9.1048637070615824E-3</v>
      </c>
      <c r="I55" s="195">
        <f t="shared" ca="1" si="20"/>
        <v>9.1048637070615824E-3</v>
      </c>
      <c r="J55" s="195">
        <f t="shared" ca="1" si="20"/>
        <v>9.1048637070615824E-3</v>
      </c>
      <c r="K55" s="195">
        <f t="shared" ca="1" si="20"/>
        <v>9.1048637070615824E-3</v>
      </c>
      <c r="L55" s="195">
        <f t="shared" ref="L55" ca="1" si="21">L47/(L42/L49+L43/L50+2*(L44/L51+L45/L52+L46/L53))</f>
        <v>9.1048637070615824E-3</v>
      </c>
    </row>
    <row r="56" spans="1:20" x14ac:dyDescent="0.2">
      <c r="A56" s="47" t="s">
        <v>383</v>
      </c>
      <c r="B56" s="175"/>
      <c r="C56" s="175"/>
      <c r="D56" s="175"/>
      <c r="E56" s="96"/>
      <c r="F56" s="195">
        <f t="shared" ref="F56:K56" ca="1" si="22">(F49*F42+F50*F43+2*(F51*F44+F52*F45+F53*F46))/F47</f>
        <v>0.25599215761983235</v>
      </c>
      <c r="G56" s="195">
        <f t="shared" ca="1" si="22"/>
        <v>0.21859764857996433</v>
      </c>
      <c r="H56" s="195">
        <f t="shared" ca="1" si="22"/>
        <v>0.21859764857996433</v>
      </c>
      <c r="I56" s="195">
        <f t="shared" ca="1" si="22"/>
        <v>0.21859764857996433</v>
      </c>
      <c r="J56" s="195">
        <f t="shared" ca="1" si="22"/>
        <v>0.21859764857996433</v>
      </c>
      <c r="K56" s="195">
        <f t="shared" ca="1" si="22"/>
        <v>0.21859764857996433</v>
      </c>
      <c r="L56" s="195">
        <f t="shared" ref="L56" ca="1" si="23">(L49*L42+L50*L43+2*(L51*L44+L52*L45+L53*L46))/L47</f>
        <v>0.21859764857996433</v>
      </c>
    </row>
    <row r="57" spans="1:20" ht="15" x14ac:dyDescent="0.2">
      <c r="A57" s="47" t="s">
        <v>559</v>
      </c>
      <c r="F57" s="2">
        <v>2.5999999999999998E-4</v>
      </c>
      <c r="G57" s="257">
        <v>2.5999999999999998E-4</v>
      </c>
      <c r="H57" s="257">
        <v>2.5999999999999998E-4</v>
      </c>
      <c r="I57" s="257">
        <v>2.5999999999999998E-4</v>
      </c>
      <c r="J57" s="257">
        <v>2.5999999999999998E-4</v>
      </c>
      <c r="K57" s="257">
        <v>2.5999999999999998E-4</v>
      </c>
      <c r="L57" s="257">
        <v>2.5999999999999998E-4</v>
      </c>
      <c r="M57" s="18"/>
      <c r="N57" s="18"/>
      <c r="O57" s="18"/>
      <c r="P57" s="18"/>
      <c r="Q57" s="18"/>
      <c r="R57" s="18"/>
      <c r="S57" s="18"/>
      <c r="T57" s="18"/>
    </row>
    <row r="58" spans="1:20" x14ac:dyDescent="0.2">
      <c r="A58" s="6" t="s">
        <v>421</v>
      </c>
      <c r="B58" s="175"/>
      <c r="C58" s="175"/>
      <c r="D58" s="175"/>
      <c r="E58" s="96"/>
      <c r="F58" s="232">
        <v>4.3E-3</v>
      </c>
      <c r="G58" s="232">
        <v>4.3E-3</v>
      </c>
      <c r="H58" s="232">
        <v>4.3E-3</v>
      </c>
      <c r="I58" s="232">
        <v>4.3E-3</v>
      </c>
      <c r="J58" s="232">
        <v>4.3E-3</v>
      </c>
      <c r="K58" s="232">
        <v>4.3E-3</v>
      </c>
      <c r="L58" s="232">
        <v>4.3E-3</v>
      </c>
    </row>
    <row r="59" spans="1:20" ht="15.75" x14ac:dyDescent="0.25">
      <c r="A59" s="17" t="s">
        <v>432</v>
      </c>
      <c r="F59" s="5"/>
      <c r="G59" s="5"/>
      <c r="H59" s="5"/>
      <c r="I59" s="5"/>
      <c r="J59" s="5"/>
    </row>
    <row r="60" spans="1:20" s="18" customFormat="1" ht="14.25" customHeight="1" x14ac:dyDescent="0.2">
      <c r="A60" s="253" t="s">
        <v>612</v>
      </c>
      <c r="B60" s="253"/>
      <c r="C60" s="253"/>
      <c r="D60" s="253"/>
      <c r="E60" s="253"/>
      <c r="F60" s="270">
        <v>25</v>
      </c>
      <c r="G60" s="270">
        <v>25</v>
      </c>
      <c r="H60" s="270">
        <v>25</v>
      </c>
      <c r="I60" s="270">
        <v>25</v>
      </c>
      <c r="J60" s="270">
        <v>25</v>
      </c>
      <c r="K60" s="270">
        <v>25</v>
      </c>
      <c r="L60" s="270">
        <v>25</v>
      </c>
      <c r="M60"/>
      <c r="N60"/>
      <c r="O60"/>
      <c r="P60"/>
      <c r="Q60"/>
      <c r="R60"/>
      <c r="S60"/>
      <c r="T60"/>
    </row>
    <row r="61" spans="1:20" ht="14.25" x14ac:dyDescent="0.2">
      <c r="A61" t="s">
        <v>431</v>
      </c>
      <c r="F61" s="92">
        <v>0.85</v>
      </c>
      <c r="G61" s="92">
        <v>0.85</v>
      </c>
      <c r="H61" s="92">
        <v>0.85</v>
      </c>
      <c r="I61" s="92">
        <v>0.85</v>
      </c>
      <c r="J61" s="92">
        <v>0.85</v>
      </c>
      <c r="K61" s="92">
        <v>0.85</v>
      </c>
      <c r="L61" s="92">
        <v>0.85</v>
      </c>
    </row>
    <row r="62" spans="1:20" x14ac:dyDescent="0.2">
      <c r="A62" t="s">
        <v>384</v>
      </c>
      <c r="F62" s="5">
        <f ca="1">'Battery Design'!F174-0.5*'Battery Design'!F172</f>
        <v>40.444608903674741</v>
      </c>
      <c r="G62" s="5">
        <f ca="1">'Battery Design'!G174-0.5*'Battery Design'!G172</f>
        <v>53.357619658274878</v>
      </c>
      <c r="H62" s="5">
        <f ca="1">'Battery Design'!H174-0.5*'Battery Design'!H172</f>
        <v>68.413495231031263</v>
      </c>
      <c r="I62" s="5">
        <f ca="1">'Battery Design'!I174-0.5*'Battery Design'!I172</f>
        <v>82.246433395234106</v>
      </c>
      <c r="J62" s="5">
        <f ca="1">'Battery Design'!J174-0.5*'Battery Design'!J172</f>
        <v>95.445568242238323</v>
      </c>
      <c r="K62" s="5">
        <f ca="1">'Battery Design'!K174-0.5*'Battery Design'!K172</f>
        <v>110.11301566360883</v>
      </c>
      <c r="L62" s="5">
        <f ca="1">'Battery Design'!L174-0.5*'Battery Design'!L172</f>
        <v>123.32463899297193</v>
      </c>
    </row>
    <row r="63" spans="1:20" x14ac:dyDescent="0.2">
      <c r="A63" t="s">
        <v>385</v>
      </c>
      <c r="F63" s="19">
        <f ca="1">'Battery Design'!F145</f>
        <v>2.8000000000000025</v>
      </c>
      <c r="G63" s="19">
        <f ca="1">'Battery Design'!G145</f>
        <v>4.200000000000002</v>
      </c>
      <c r="H63" s="19">
        <f ca="1">'Battery Design'!H145</f>
        <v>5.6000000000000014</v>
      </c>
      <c r="I63" s="19">
        <f ca="1">'Battery Design'!I145</f>
        <v>7.000000000000016</v>
      </c>
      <c r="J63" s="19">
        <f ca="1">'Battery Design'!J145</f>
        <v>8.4000000000000092</v>
      </c>
      <c r="K63" s="19">
        <f ca="1">'Battery Design'!K145</f>
        <v>9.7999999999999972</v>
      </c>
      <c r="L63" s="19">
        <f ca="1">'Battery Design'!L145</f>
        <v>11.20000000000001</v>
      </c>
    </row>
    <row r="64" spans="1:20" ht="14.25" x14ac:dyDescent="0.2">
      <c r="A64" s="253" t="s">
        <v>613</v>
      </c>
      <c r="F64" s="5">
        <f ca="1">IF(OR('Battery Design'!F53="microHEV",'Battery Design'!F53="HEV-HP"),"NA",F63*(100-F35)/100*1000*3600/F61/F62/1000+F60)</f>
        <v>57.410245154135779</v>
      </c>
      <c r="G64" s="5">
        <f ca="1">IF(OR('Battery Design'!G53="microHEV",'Battery Design'!G53="HEV-HP"),"NA",G63*(100-G35)/100*1000*3600/G61/G62/1000+G60)</f>
        <v>60.834506575055812</v>
      </c>
      <c r="H64" s="5">
        <f ca="1">IF(OR('Battery Design'!H53="microHEV",'Battery Design'!H53="HEV-HP"),"NA",H63*(100-H35)/100*1000*3600/H61/H62/1000+H60)</f>
        <v>59.395188842576033</v>
      </c>
      <c r="I64" s="5">
        <f ca="1">IF(OR('Battery Design'!I53="microHEV",'Battery Design'!I53="HEV-HP"),"NA",I63*(100-I35)/100*1000*3600/I61/I62/1000+I60)</f>
        <v>58.613404238191102</v>
      </c>
      <c r="J64" s="5">
        <f ca="1">IF(OR('Battery Design'!J53="microHEV",'Battery Design'!J53="HEV-HP"),"NA",J63*(100-J35)/100*1000*3600/J61/J62/1000+J60)</f>
        <v>53.794413887311364</v>
      </c>
      <c r="K64" s="5">
        <f ca="1">IF(OR('Battery Design'!K53="microHEV",'Battery Design'!K53="HEV-HP"),"NA",K63*(100-K35)/100*1000*3600/K61/K62/1000+K60)</f>
        <v>49.897349912277875</v>
      </c>
      <c r="L64" s="5">
        <f ca="1">IF(OR('Battery Design'!L53="microHEV",'Battery Design'!L53="HEV-HP"),"NA",L63*(100-L35)/100*1000*3600/L61/L62/1000+L60)</f>
        <v>47.245336217885807</v>
      </c>
    </row>
    <row r="65" spans="1:12" ht="15.75" x14ac:dyDescent="0.25">
      <c r="A65" s="17" t="s">
        <v>660</v>
      </c>
    </row>
    <row r="66" spans="1:12" ht="15.75" x14ac:dyDescent="0.25">
      <c r="A66" s="17" t="s">
        <v>610</v>
      </c>
      <c r="F66" s="271" t="str">
        <f>'Battery Design'!F54</f>
        <v>EG-W</v>
      </c>
      <c r="G66" s="271" t="str">
        <f>'Battery Design'!G54</f>
        <v>EG-W</v>
      </c>
      <c r="H66" s="271" t="str">
        <f>'Battery Design'!H54</f>
        <v>EG-W</v>
      </c>
      <c r="I66" s="271" t="str">
        <f>'Battery Design'!I54</f>
        <v>EG-W</v>
      </c>
      <c r="J66" s="271" t="str">
        <f>'Battery Design'!J54</f>
        <v>EG-W</v>
      </c>
      <c r="K66" s="271" t="str">
        <f>'Battery Design'!K54</f>
        <v>EG-W</v>
      </c>
      <c r="L66" s="271" t="str">
        <f>'Battery Design'!L54</f>
        <v>EG-W</v>
      </c>
    </row>
    <row r="67" spans="1:12" ht="15.75" x14ac:dyDescent="0.25">
      <c r="A67" s="17" t="s">
        <v>550</v>
      </c>
      <c r="E67" s="80"/>
      <c r="F67" s="5"/>
      <c r="G67" s="5"/>
      <c r="H67" s="5"/>
      <c r="I67" s="5"/>
      <c r="J67" s="5"/>
      <c r="K67" s="5"/>
      <c r="L67" s="5"/>
    </row>
    <row r="68" spans="1:12" x14ac:dyDescent="0.2">
      <c r="A68" s="4" t="s">
        <v>622</v>
      </c>
      <c r="C68" s="3"/>
      <c r="E68" s="200"/>
      <c r="F68" s="251" t="str">
        <f t="shared" ref="F68:K68" si="24">IF(F66="EG-W"," ","NA")</f>
        <v xml:space="preserve"> </v>
      </c>
      <c r="G68" s="251" t="str">
        <f t="shared" si="24"/>
        <v xml:space="preserve"> </v>
      </c>
      <c r="H68" s="251" t="str">
        <f t="shared" si="24"/>
        <v xml:space="preserve"> </v>
      </c>
      <c r="I68" s="251" t="str">
        <f t="shared" si="24"/>
        <v xml:space="preserve"> </v>
      </c>
      <c r="J68" s="251" t="str">
        <f t="shared" si="24"/>
        <v xml:space="preserve"> </v>
      </c>
      <c r="K68" s="251" t="str">
        <f t="shared" si="24"/>
        <v xml:space="preserve"> </v>
      </c>
      <c r="L68" s="251" t="str">
        <f t="shared" ref="L68" si="25">IF(L66="EG-W"," ","NA")</f>
        <v xml:space="preserve"> </v>
      </c>
    </row>
    <row r="69" spans="1:12" x14ac:dyDescent="0.2">
      <c r="A69" s="6" t="s">
        <v>401</v>
      </c>
      <c r="C69" s="3"/>
      <c r="E69" s="200"/>
      <c r="F69" s="19">
        <f ca="1">F37/'Battery Design'!F67</f>
        <v>27.773209590303377</v>
      </c>
      <c r="G69" s="19">
        <f ca="1">G37/'Battery Design'!G67</f>
        <v>31.943687298606832</v>
      </c>
      <c r="H69" s="19">
        <f ca="1">H37/'Battery Design'!H67</f>
        <v>35.916370271338216</v>
      </c>
      <c r="I69" s="19">
        <f ca="1">I37/'Battery Design'!I67</f>
        <v>39.267582988489643</v>
      </c>
      <c r="J69" s="19">
        <f ca="1">J37/'Battery Design'!J67</f>
        <v>32.024367514888787</v>
      </c>
      <c r="K69" s="19">
        <f ca="1">K37/'Battery Design'!K67</f>
        <v>27.053434232512359</v>
      </c>
      <c r="L69" s="19">
        <f ca="1">L37/'Battery Design'!L67</f>
        <v>23.481362299099924</v>
      </c>
    </row>
    <row r="70" spans="1:12" x14ac:dyDescent="0.2">
      <c r="A70" s="6" t="s">
        <v>402</v>
      </c>
      <c r="C70" s="3"/>
      <c r="E70" s="200"/>
      <c r="F70" s="19">
        <f ca="1">'Battery Design'!F131/10</f>
        <v>19.243752447452902</v>
      </c>
      <c r="G70" s="19">
        <f ca="1">'Battery Design'!G131/10</f>
        <v>23.070834469543389</v>
      </c>
      <c r="H70" s="19">
        <f ca="1">'Battery Design'!H131/10</f>
        <v>26.640972476110996</v>
      </c>
      <c r="I70" s="19">
        <f ca="1">'Battery Design'!I131/10</f>
        <v>29.786675103911314</v>
      </c>
      <c r="J70" s="19">
        <f ca="1">'Battery Design'!J131/10</f>
        <v>32.630928121269548</v>
      </c>
      <c r="K70" s="19">
        <f ca="1">'Battery Design'!K131/10</f>
        <v>35.246768152622153</v>
      </c>
      <c r="L70" s="19">
        <f ca="1">'Battery Design'!L131/10</f>
        <v>37.681829819692588</v>
      </c>
    </row>
    <row r="71" spans="1:12" x14ac:dyDescent="0.2">
      <c r="A71" s="6" t="s">
        <v>512</v>
      </c>
      <c r="E71" s="80"/>
      <c r="F71" s="208"/>
      <c r="G71" s="208"/>
      <c r="H71" s="208"/>
      <c r="I71" s="208"/>
      <c r="J71" s="208"/>
      <c r="K71" s="208"/>
      <c r="L71" s="208"/>
    </row>
    <row r="72" spans="1:12" x14ac:dyDescent="0.2">
      <c r="A72" s="6" t="s">
        <v>511</v>
      </c>
      <c r="E72" s="127"/>
      <c r="F72" s="210">
        <f>IF('Battery Design'!F53="PHEV",0.04,IF('Battery Design'!F53="EV",0.04,0.02))</f>
        <v>0.04</v>
      </c>
      <c r="G72" s="210">
        <f>IF('Battery Design'!G53="PHEV",0.04,IF('Battery Design'!G53="EV",0.04,0.02))</f>
        <v>0.04</v>
      </c>
      <c r="H72" s="210">
        <f>IF('Battery Design'!H53="PHEV",0.04,IF('Battery Design'!H53="EV",0.04,0.02))</f>
        <v>0.04</v>
      </c>
      <c r="I72" s="210">
        <f>IF('Battery Design'!I53="PHEV",0.04,IF('Battery Design'!I53="EV",0.04,0.02))</f>
        <v>0.04</v>
      </c>
      <c r="J72" s="210">
        <f>IF('Battery Design'!J53="PHEV",0.04,IF('Battery Design'!J53="EV",0.04,0.02))</f>
        <v>0.04</v>
      </c>
      <c r="K72" s="210">
        <f>IF('Battery Design'!K53="PHEV",0.04,IF('Battery Design'!K53="EV",0.04,0.02))</f>
        <v>0.04</v>
      </c>
      <c r="L72" s="210">
        <f>IF('Battery Design'!L53="PHEV",0.04,IF('Battery Design'!L53="EV",0.04,0.02))</f>
        <v>0.04</v>
      </c>
    </row>
    <row r="73" spans="1:12" x14ac:dyDescent="0.2">
      <c r="A73" s="6" t="s">
        <v>403</v>
      </c>
      <c r="E73" s="80"/>
      <c r="F73" s="168">
        <f>'Battery Design'!F132/10+2*'Battery Design'!F24/10000</f>
        <v>0.06</v>
      </c>
      <c r="G73" s="168">
        <f>'Battery Design'!G132/10+2*'Battery Design'!G24/10000</f>
        <v>0.06</v>
      </c>
      <c r="H73" s="168">
        <f>'Battery Design'!H132/10+2*'Battery Design'!H24/10000</f>
        <v>0.06</v>
      </c>
      <c r="I73" s="168">
        <f>'Battery Design'!I132/10+2*'Battery Design'!I24/10000</f>
        <v>0.06</v>
      </c>
      <c r="J73" s="168">
        <f>'Battery Design'!J132/10+2*'Battery Design'!J24/10000</f>
        <v>0.06</v>
      </c>
      <c r="K73" s="168">
        <f>'Battery Design'!K132/10+2*'Battery Design'!K24/10000</f>
        <v>0.06</v>
      </c>
      <c r="L73" s="168">
        <f>'Battery Design'!L132/10+2*'Battery Design'!L24/10000</f>
        <v>0.06</v>
      </c>
    </row>
    <row r="74" spans="1:12" x14ac:dyDescent="0.2">
      <c r="A74" s="6" t="s">
        <v>404</v>
      </c>
      <c r="E74" s="80"/>
      <c r="F74" s="19">
        <f ca="1">'Battery Design'!F32/10</f>
        <v>0.80244642968100677</v>
      </c>
      <c r="G74" s="19">
        <f ca="1">'Battery Design'!G32/10</f>
        <v>0.80768048424957173</v>
      </c>
      <c r="H74" s="19">
        <f ca="1">'Battery Design'!H32/10</f>
        <v>0.80767974205907733</v>
      </c>
      <c r="I74" s="19">
        <f ca="1">'Battery Design'!I32/10</f>
        <v>0.80767974205907733</v>
      </c>
      <c r="J74" s="19">
        <f ca="1">'Battery Design'!J32/10</f>
        <v>0.80767974205907733</v>
      </c>
      <c r="K74" s="19">
        <f ca="1">'Battery Design'!K32/10</f>
        <v>0.80768033199945743</v>
      </c>
      <c r="L74" s="19">
        <f ca="1">'Battery Design'!L32/10</f>
        <v>0.80767974205907733</v>
      </c>
    </row>
    <row r="75" spans="1:12" x14ac:dyDescent="0.2">
      <c r="A75" s="6" t="s">
        <v>405</v>
      </c>
      <c r="E75" s="201"/>
      <c r="F75" s="5">
        <f ca="1">'Battery Design'!F117/10</f>
        <v>6.6145841491509669</v>
      </c>
      <c r="G75" s="5">
        <f ca="1">'Battery Design'!G117/10</f>
        <v>7.8902781565144622</v>
      </c>
      <c r="H75" s="5">
        <f ca="1">'Battery Design'!H117/10</f>
        <v>9.0803241587036645</v>
      </c>
      <c r="I75" s="5">
        <f ca="1">'Battery Design'!I117/10</f>
        <v>10.12889170130377</v>
      </c>
      <c r="J75" s="5">
        <f ca="1">'Battery Design'!J117/10</f>
        <v>11.076976040423185</v>
      </c>
      <c r="K75" s="5">
        <f ca="1">'Battery Design'!K117/10</f>
        <v>11.948922717540716</v>
      </c>
      <c r="L75" s="5">
        <f ca="1">'Battery Design'!L117/10</f>
        <v>12.760609939897529</v>
      </c>
    </row>
    <row r="76" spans="1:12" x14ac:dyDescent="0.2">
      <c r="A76" s="6" t="s">
        <v>406</v>
      </c>
      <c r="E76" s="201"/>
      <c r="F76" s="19">
        <f>'Battery Design'!F33/10</f>
        <v>0.1</v>
      </c>
      <c r="G76" s="19">
        <f>'Battery Design'!G33/10</f>
        <v>0.1</v>
      </c>
      <c r="H76" s="19">
        <f>'Battery Design'!H33/10</f>
        <v>0.1</v>
      </c>
      <c r="I76" s="19">
        <f>'Battery Design'!I33/10</f>
        <v>0.1</v>
      </c>
      <c r="J76" s="19">
        <f>'Battery Design'!J33/10</f>
        <v>0.1</v>
      </c>
      <c r="K76" s="19">
        <f>'Battery Design'!K33/10</f>
        <v>0.1</v>
      </c>
      <c r="L76" s="19">
        <f>'Battery Design'!L33/10</f>
        <v>0.1</v>
      </c>
    </row>
    <row r="77" spans="1:12" x14ac:dyDescent="0.2">
      <c r="A77" s="6" t="s">
        <v>458</v>
      </c>
      <c r="E77" s="201"/>
      <c r="F77" s="19">
        <f t="shared" ref="F77:K77" si="26">F49</f>
        <v>2</v>
      </c>
      <c r="G77" s="19">
        <f t="shared" si="26"/>
        <v>2</v>
      </c>
      <c r="H77" s="19">
        <f t="shared" si="26"/>
        <v>2</v>
      </c>
      <c r="I77" s="19">
        <f t="shared" si="26"/>
        <v>2</v>
      </c>
      <c r="J77" s="19">
        <f t="shared" si="26"/>
        <v>2</v>
      </c>
      <c r="K77" s="19">
        <f t="shared" si="26"/>
        <v>2</v>
      </c>
      <c r="L77" s="19">
        <f t="shared" ref="L77" si="27">L49</f>
        <v>2</v>
      </c>
    </row>
    <row r="78" spans="1:12" x14ac:dyDescent="0.2">
      <c r="A78" s="6" t="s">
        <v>459</v>
      </c>
      <c r="E78" s="201"/>
      <c r="F78" s="181">
        <f t="shared" ref="F78:J79" ca="1" si="28">F55</f>
        <v>8.634322908729973E-3</v>
      </c>
      <c r="G78" s="181">
        <f t="shared" ca="1" si="28"/>
        <v>9.1048637070615824E-3</v>
      </c>
      <c r="H78" s="181">
        <f t="shared" ca="1" si="28"/>
        <v>9.1048637070615824E-3</v>
      </c>
      <c r="I78" s="181">
        <f t="shared" ca="1" si="28"/>
        <v>9.1048637070615824E-3</v>
      </c>
      <c r="J78" s="181">
        <f t="shared" ca="1" si="28"/>
        <v>9.1048637070615824E-3</v>
      </c>
      <c r="K78" s="181">
        <f t="shared" ref="K78:L78" ca="1" si="29">K55</f>
        <v>9.1048637070615824E-3</v>
      </c>
      <c r="L78" s="181">
        <f t="shared" ca="1" si="29"/>
        <v>9.1048637070615824E-3</v>
      </c>
    </row>
    <row r="79" spans="1:12" x14ac:dyDescent="0.2">
      <c r="A79" s="6" t="s">
        <v>460</v>
      </c>
      <c r="E79" s="80"/>
      <c r="F79" s="181">
        <f t="shared" ca="1" si="28"/>
        <v>0.25599215761983235</v>
      </c>
      <c r="G79" s="181">
        <f t="shared" ca="1" si="28"/>
        <v>0.21859764857996433</v>
      </c>
      <c r="H79" s="181">
        <f t="shared" ca="1" si="28"/>
        <v>0.21859764857996433</v>
      </c>
      <c r="I79" s="181">
        <f t="shared" ca="1" si="28"/>
        <v>0.21859764857996433</v>
      </c>
      <c r="J79" s="181">
        <f t="shared" ca="1" si="28"/>
        <v>0.21859764857996433</v>
      </c>
      <c r="K79" s="181">
        <f t="shared" ref="K79:L79" ca="1" si="30">K56</f>
        <v>0.21859764857996433</v>
      </c>
      <c r="L79" s="181">
        <f t="shared" ca="1" si="30"/>
        <v>0.21859764857996433</v>
      </c>
    </row>
    <row r="80" spans="1:12" ht="14.25" x14ac:dyDescent="0.2">
      <c r="A80" s="6" t="s">
        <v>523</v>
      </c>
      <c r="F80" s="181">
        <f t="shared" ref="F80:K80" ca="1" si="31">3.917*F70/10*F79^0.58*F78^-0.19*F74^1.2*F75^-0.75</f>
        <v>1.5705572480746623</v>
      </c>
      <c r="G80" s="181">
        <f t="shared" ca="1" si="31"/>
        <v>1.5018189264125781</v>
      </c>
      <c r="H80" s="181">
        <f t="shared" ca="1" si="31"/>
        <v>1.5607993864546394</v>
      </c>
      <c r="I80" s="181">
        <f t="shared" ca="1" si="31"/>
        <v>1.6077688459285644</v>
      </c>
      <c r="J80" s="181">
        <f t="shared" ca="1" si="31"/>
        <v>1.6469732319065682</v>
      </c>
      <c r="K80" s="181">
        <f t="shared" ca="1" si="31"/>
        <v>1.6807230053144557</v>
      </c>
      <c r="L80" s="181">
        <f t="shared" ref="L80" ca="1" si="32">3.917*L70/10*L79^0.58*L78^-0.19*L74^1.2*L75^-0.75</f>
        <v>1.7104147576086994</v>
      </c>
    </row>
    <row r="81" spans="1:16" ht="14.25" x14ac:dyDescent="0.2">
      <c r="A81" s="6" t="s">
        <v>524</v>
      </c>
      <c r="F81" s="181">
        <f t="shared" ref="F81:K81" ca="1" si="33">1628*F70/10*F79^0.55*F78^0.58*F73^-0.21*F75^-0.7*F73^0.72</f>
        <v>5.9701684804759747</v>
      </c>
      <c r="G81" s="181">
        <f t="shared" ca="1" si="33"/>
        <v>5.9812759543338334</v>
      </c>
      <c r="H81" s="181">
        <f t="shared" ca="1" si="33"/>
        <v>6.2599992763852326</v>
      </c>
      <c r="I81" s="181">
        <f t="shared" ca="1" si="33"/>
        <v>6.4837137826391258</v>
      </c>
      <c r="J81" s="181">
        <f t="shared" ca="1" si="33"/>
        <v>6.6715958706598837</v>
      </c>
      <c r="K81" s="181">
        <f t="shared" ca="1" si="33"/>
        <v>6.8341472393392726</v>
      </c>
      <c r="L81" s="181">
        <f t="shared" ref="L81" ca="1" si="34">1628*L70/10*L79^0.55*L78^0.58*L73^-0.21*L75^-0.7*L73^0.72</f>
        <v>6.9777778115222766</v>
      </c>
    </row>
    <row r="82" spans="1:16" ht="14.25" x14ac:dyDescent="0.2">
      <c r="A82" s="6" t="s">
        <v>407</v>
      </c>
      <c r="F82" s="19">
        <f t="shared" ref="F82:K82" ca="1" si="35">F69/(F80+F81)</f>
        <v>3.6830950481528149</v>
      </c>
      <c r="G82" s="19">
        <f t="shared" ca="1" si="35"/>
        <v>4.2687802049384898</v>
      </c>
      <c r="H82" s="19">
        <f t="shared" ca="1" si="35"/>
        <v>4.5924171967235301</v>
      </c>
      <c r="I82" s="19">
        <f t="shared" ca="1" si="35"/>
        <v>4.8529527641636401</v>
      </c>
      <c r="J82" s="19">
        <f t="shared" ca="1" si="35"/>
        <v>3.8497447241267255</v>
      </c>
      <c r="K82" s="19">
        <f t="shared" ca="1" si="35"/>
        <v>3.1771986483879218</v>
      </c>
      <c r="L82" s="19">
        <f t="shared" ref="L82" ca="1" si="36">L69/(L80+L81)</f>
        <v>2.7026751665851503</v>
      </c>
      <c r="P82" s="561"/>
    </row>
    <row r="83" spans="1:16" ht="15" x14ac:dyDescent="0.25">
      <c r="A83" s="259" t="s">
        <v>551</v>
      </c>
      <c r="F83" s="196"/>
      <c r="G83" s="196"/>
      <c r="H83" s="196"/>
      <c r="I83" s="196"/>
      <c r="J83" s="196"/>
      <c r="K83" s="196"/>
      <c r="L83" s="196"/>
      <c r="P83" s="257"/>
    </row>
    <row r="84" spans="1:16" x14ac:dyDescent="0.2">
      <c r="A84" s="253" t="s">
        <v>621</v>
      </c>
      <c r="C84" s="124"/>
      <c r="D84" s="124"/>
      <c r="E84" s="124"/>
      <c r="F84" s="196"/>
      <c r="G84" s="196"/>
      <c r="H84" s="196"/>
      <c r="I84" s="196"/>
      <c r="J84" s="196"/>
      <c r="K84" s="196"/>
      <c r="L84" s="196"/>
      <c r="P84" s="401" t="s">
        <v>944</v>
      </c>
    </row>
    <row r="85" spans="1:16" ht="14.25" x14ac:dyDescent="0.2">
      <c r="A85" s="253" t="s">
        <v>623</v>
      </c>
      <c r="C85" s="95"/>
      <c r="D85" s="99"/>
      <c r="E85" s="99"/>
      <c r="F85" s="90">
        <v>3.2639999999999998</v>
      </c>
      <c r="G85" s="90">
        <v>3.2639999999999998</v>
      </c>
      <c r="H85" s="90">
        <v>3.2639999999999998</v>
      </c>
      <c r="I85" s="90">
        <v>3.2639999999999998</v>
      </c>
      <c r="J85" s="90">
        <v>3.2639999999999998</v>
      </c>
      <c r="K85" s="90">
        <v>3.2639999999999998</v>
      </c>
      <c r="L85" s="90">
        <v>3.2639999999999998</v>
      </c>
      <c r="P85" s="90">
        <v>1.51</v>
      </c>
    </row>
    <row r="86" spans="1:16" x14ac:dyDescent="0.2">
      <c r="A86" s="253" t="s">
        <v>625</v>
      </c>
      <c r="C86" s="124"/>
      <c r="D86" s="99"/>
      <c r="E86" s="99"/>
      <c r="F86" s="90">
        <v>1.07</v>
      </c>
      <c r="G86" s="90">
        <v>1.07</v>
      </c>
      <c r="H86" s="90">
        <v>1.07</v>
      </c>
      <c r="I86" s="90">
        <v>1.07</v>
      </c>
      <c r="J86" s="90">
        <v>1.07</v>
      </c>
      <c r="K86" s="90">
        <v>1.07</v>
      </c>
      <c r="L86" s="90">
        <v>1.07</v>
      </c>
      <c r="P86" s="90">
        <v>0.96</v>
      </c>
    </row>
    <row r="87" spans="1:16" x14ac:dyDescent="0.2">
      <c r="A87" s="253" t="s">
        <v>626</v>
      </c>
      <c r="F87" s="90">
        <v>0.05</v>
      </c>
      <c r="G87" s="90">
        <v>0.05</v>
      </c>
      <c r="H87" s="90">
        <v>0.05</v>
      </c>
      <c r="I87" s="90">
        <v>0.05</v>
      </c>
      <c r="J87" s="90">
        <v>0.05</v>
      </c>
      <c r="K87" s="90">
        <v>0.05</v>
      </c>
      <c r="L87" s="90">
        <v>0.05</v>
      </c>
      <c r="P87" s="90">
        <v>0.5</v>
      </c>
    </row>
    <row r="88" spans="1:16" ht="14.25" x14ac:dyDescent="0.2">
      <c r="A88" s="253" t="s">
        <v>627</v>
      </c>
      <c r="F88" s="278">
        <f t="shared" ref="F88:K88" si="37">F58</f>
        <v>4.3E-3</v>
      </c>
      <c r="G88" s="278">
        <f t="shared" si="37"/>
        <v>4.3E-3</v>
      </c>
      <c r="H88" s="278">
        <f t="shared" si="37"/>
        <v>4.3E-3</v>
      </c>
      <c r="I88" s="278">
        <f t="shared" si="37"/>
        <v>4.3E-3</v>
      </c>
      <c r="J88" s="278">
        <f t="shared" si="37"/>
        <v>4.3E-3</v>
      </c>
      <c r="K88" s="278">
        <f t="shared" si="37"/>
        <v>4.3E-3</v>
      </c>
      <c r="L88" s="278">
        <f t="shared" ref="L88" si="38">L58</f>
        <v>4.3E-3</v>
      </c>
      <c r="P88" s="245">
        <v>1.5100000000000001E-3</v>
      </c>
    </row>
    <row r="89" spans="1:16" x14ac:dyDescent="0.2">
      <c r="A89" s="6" t="s">
        <v>422</v>
      </c>
      <c r="F89" s="19">
        <f ca="1">F99*('Battery Design'!F155-2*'Battery Design'!F71)/10*Thermal!F95/1000</f>
        <v>3.1741406951088669</v>
      </c>
      <c r="G89" s="19">
        <f ca="1">G99*('Battery Design'!G155-2*'Battery Design'!G71)/10*Thermal!G95/1000</f>
        <v>3.7314007231124968</v>
      </c>
      <c r="H89" s="19">
        <f ca="1">H99*('Battery Design'!H155-2*'Battery Design'!H71)/10*Thermal!H95/1000</f>
        <v>4.2396836687806605</v>
      </c>
      <c r="I89" s="19">
        <f ca="1">I99*('Battery Design'!I155-2*'Battery Design'!I71)/10*Thermal!I95/1000</f>
        <v>4.6886501802216367</v>
      </c>
      <c r="J89" s="19">
        <f ca="1">J99*('Battery Design'!J155-2*'Battery Design'!J71)/10*Thermal!J95/1000</f>
        <v>4.648438047623384</v>
      </c>
      <c r="K89" s="19">
        <f ca="1">K99*('Battery Design'!K155-2*'Battery Design'!K71)/10*Thermal!K95/1000</f>
        <v>4.6250110969915035</v>
      </c>
      <c r="L89" s="19">
        <f ca="1">L99*('Battery Design'!L155-2*'Battery Design'!L71)/10*Thermal!L95/1000</f>
        <v>4.6151516411515754</v>
      </c>
    </row>
    <row r="90" spans="1:16" x14ac:dyDescent="0.2">
      <c r="A90" s="6" t="s">
        <v>423</v>
      </c>
      <c r="F90" s="19">
        <f t="shared" ref="F90:K90" ca="1" si="39">F89*F86</f>
        <v>3.3963305437664877</v>
      </c>
      <c r="G90" s="19">
        <f t="shared" ca="1" si="39"/>
        <v>3.9925987737303719</v>
      </c>
      <c r="H90" s="19">
        <f t="shared" ca="1" si="39"/>
        <v>4.5364615255953069</v>
      </c>
      <c r="I90" s="19">
        <f t="shared" ca="1" si="39"/>
        <v>5.0168556928371517</v>
      </c>
      <c r="J90" s="19">
        <f t="shared" ca="1" si="39"/>
        <v>4.9738287109570214</v>
      </c>
      <c r="K90" s="19">
        <f t="shared" ca="1" si="39"/>
        <v>4.9487618737809091</v>
      </c>
      <c r="L90" s="19">
        <f t="shared" ref="L90" ca="1" si="40">L89*L86</f>
        <v>4.9382122560321857</v>
      </c>
    </row>
    <row r="91" spans="1:16" ht="14.25" x14ac:dyDescent="0.2">
      <c r="A91" s="253" t="s">
        <v>665</v>
      </c>
      <c r="F91" s="386">
        <v>15</v>
      </c>
      <c r="G91" s="386">
        <v>15</v>
      </c>
      <c r="H91" s="386">
        <v>15</v>
      </c>
      <c r="I91" s="386">
        <v>15</v>
      </c>
      <c r="J91" s="386">
        <v>15</v>
      </c>
      <c r="K91" s="386">
        <v>15</v>
      </c>
      <c r="L91" s="386">
        <v>15</v>
      </c>
    </row>
    <row r="92" spans="1:16" ht="14.25" x14ac:dyDescent="0.2">
      <c r="A92" t="s">
        <v>394</v>
      </c>
      <c r="E92" s="74"/>
      <c r="F92" s="390">
        <v>1</v>
      </c>
      <c r="G92" s="390">
        <v>1</v>
      </c>
      <c r="H92" s="390">
        <v>1</v>
      </c>
      <c r="I92" s="390">
        <v>1</v>
      </c>
      <c r="J92" s="390">
        <v>1</v>
      </c>
      <c r="K92" s="390">
        <v>1</v>
      </c>
      <c r="L92" s="390">
        <v>1</v>
      </c>
    </row>
    <row r="93" spans="1:16" x14ac:dyDescent="0.2">
      <c r="A93" s="6" t="s">
        <v>395</v>
      </c>
      <c r="E93" s="80"/>
      <c r="F93" s="3">
        <f t="shared" ref="F93:L93" ca="1" si="41">F37/F85/F86/F92</f>
        <v>763.41972485715712</v>
      </c>
      <c r="G93" s="3">
        <f t="shared" ca="1" si="41"/>
        <v>878.05627538776343</v>
      </c>
      <c r="H93" s="3">
        <f t="shared" ca="1" si="41"/>
        <v>987.25591729901646</v>
      </c>
      <c r="I93" s="3">
        <f t="shared" ca="1" si="41"/>
        <v>1079.3728144169775</v>
      </c>
      <c r="J93" s="3">
        <f t="shared" ca="1" si="41"/>
        <v>880.27398336692647</v>
      </c>
      <c r="K93" s="3">
        <f t="shared" ca="1" si="41"/>
        <v>743.63480573151071</v>
      </c>
      <c r="L93" s="3">
        <f t="shared" ca="1" si="41"/>
        <v>645.44701206981654</v>
      </c>
    </row>
    <row r="94" spans="1:16" ht="14.25" x14ac:dyDescent="0.2">
      <c r="A94" s="6" t="s">
        <v>396</v>
      </c>
      <c r="E94" s="166"/>
      <c r="F94" s="19">
        <f t="shared" ref="F94:K94" ca="1" si="42">F93*F86/F97</f>
        <v>46.888027100690408</v>
      </c>
      <c r="G94" s="19">
        <f t="shared" ca="1" si="42"/>
        <v>46.257878299224025</v>
      </c>
      <c r="H94" s="19">
        <f t="shared" ca="1" si="42"/>
        <v>45.92439139211443</v>
      </c>
      <c r="I94" s="19">
        <f t="shared" ca="1" si="42"/>
        <v>45.557108851818178</v>
      </c>
      <c r="J94" s="19">
        <f t="shared" ca="1" si="42"/>
        <v>37.603402802913422</v>
      </c>
      <c r="K94" s="19">
        <f t="shared" ca="1" si="42"/>
        <v>32.034523022355657</v>
      </c>
      <c r="L94" s="19">
        <f t="shared" ref="L94" ca="1" si="43">L93*L86/L97</f>
        <v>27.955108769383639</v>
      </c>
    </row>
    <row r="95" spans="1:16" x14ac:dyDescent="0.2">
      <c r="A95" s="6" t="s">
        <v>397</v>
      </c>
      <c r="E95" s="80"/>
      <c r="F95" s="19">
        <f t="shared" ref="F95:K95" ca="1" si="44">IF(1/1.8*(48*F99*F94*F87/(F102*F86*1000000))^(1/2)&gt;0.3,1/1.8*(48*F99*F94*F87/(F102*F86*1000000))^(1/2),0.3)</f>
        <v>0.75601775334665033</v>
      </c>
      <c r="G95" s="19">
        <f t="shared" ca="1" si="44"/>
        <v>0.7558563500660298</v>
      </c>
      <c r="H95" s="19">
        <f t="shared" ca="1" si="44"/>
        <v>0.75563417436977098</v>
      </c>
      <c r="I95" s="19">
        <f t="shared" ca="1" si="44"/>
        <v>0.75480033622366327</v>
      </c>
      <c r="J95" s="19">
        <f t="shared" ca="1" si="44"/>
        <v>0.68754996089395004</v>
      </c>
      <c r="K95" s="19">
        <f t="shared" ca="1" si="44"/>
        <v>0.6361215824677634</v>
      </c>
      <c r="L95" s="19">
        <f t="shared" ref="L95" ca="1" si="45">IF(1/1.8*(48*L99*L94*L87/(L102*L86*1000000))^(1/2)&gt;0.3,1/1.8*(48*L99*L94*L87/(L102*L86*1000000))^(1/2),0.3)</f>
        <v>0.59555966991498321</v>
      </c>
    </row>
    <row r="96" spans="1:16" x14ac:dyDescent="0.2">
      <c r="A96" s="6" t="s">
        <v>386</v>
      </c>
      <c r="E96" s="166"/>
      <c r="F96" s="19">
        <f t="shared" ref="F96:K96" ca="1" si="46">F95*1.8</f>
        <v>1.3608319560239706</v>
      </c>
      <c r="G96" s="19">
        <f t="shared" ca="1" si="46"/>
        <v>1.3605414301188536</v>
      </c>
      <c r="H96" s="19">
        <f t="shared" ca="1" si="46"/>
        <v>1.3601415138655879</v>
      </c>
      <c r="I96" s="19">
        <f t="shared" ca="1" si="46"/>
        <v>1.3586406052025939</v>
      </c>
      <c r="J96" s="19">
        <f t="shared" ca="1" si="46"/>
        <v>1.2375899296091102</v>
      </c>
      <c r="K96" s="19">
        <f t="shared" ca="1" si="46"/>
        <v>1.1450188484419741</v>
      </c>
      <c r="L96" s="19">
        <f t="shared" ref="L96" ca="1" si="47">L95*1.8</f>
        <v>1.0720074058469697</v>
      </c>
    </row>
    <row r="97" spans="1:12" ht="14.25" x14ac:dyDescent="0.2">
      <c r="A97" s="6" t="s">
        <v>398</v>
      </c>
      <c r="E97" s="80"/>
      <c r="F97" s="5">
        <f ca="1">IF('Battery Design'!F209=0,25,'Battery Design'!F137/10*'Battery Design'!F62*F95)</f>
        <v>17.421485953999717</v>
      </c>
      <c r="G97" s="5">
        <f ca="1">IF('Battery Design'!G209=0,25,'Battery Design'!G137/10*'Battery Design'!G62*G95)</f>
        <v>20.310490865377528</v>
      </c>
      <c r="H97" s="5">
        <f ca="1">IF('Battery Design'!H209=0,25,'Battery Design'!H137/10*'Battery Design'!H62*H95)</f>
        <v>23.002239103999052</v>
      </c>
      <c r="I97" s="5">
        <f ca="1">IF('Battery Design'!I209=0,25,'Battery Design'!I137/10*'Battery Design'!I62*I95)</f>
        <v>25.351233661067198</v>
      </c>
      <c r="J97" s="5">
        <f ca="1">IF('Battery Design'!J209=0,25,'Battery Design'!J137/10*'Battery Design'!J62*J95)</f>
        <v>25.048083205109187</v>
      </c>
      <c r="K97" s="5">
        <f ca="1">IF('Battery Design'!K209=0,25,'Battery Design'!K137/10*'Battery Design'!K62*K95)</f>
        <v>24.838491947497868</v>
      </c>
      <c r="L97" s="5">
        <f ca="1">IF('Battery Design'!L209=0,25,'Battery Design'!L137/10*'Battery Design'!L62*L95)</f>
        <v>24.704904874885624</v>
      </c>
    </row>
    <row r="98" spans="1:12" x14ac:dyDescent="0.2">
      <c r="A98" s="6" t="s">
        <v>399</v>
      </c>
      <c r="E98" s="166"/>
      <c r="F98" s="5">
        <f t="shared" ref="F98:K98" ca="1" si="48">F93/F97</f>
        <v>43.820586078186238</v>
      </c>
      <c r="G98" s="5">
        <f t="shared" ca="1" si="48"/>
        <v>43.231661962663367</v>
      </c>
      <c r="H98" s="5">
        <f t="shared" ca="1" si="48"/>
        <v>42.919991955364779</v>
      </c>
      <c r="I98" s="5">
        <f t="shared" ca="1" si="48"/>
        <v>42.576737244728612</v>
      </c>
      <c r="J98" s="5">
        <f t="shared" ca="1" si="48"/>
        <v>35.143367105526558</v>
      </c>
      <c r="K98" s="5">
        <f t="shared" ca="1" si="48"/>
        <v>29.938806562949228</v>
      </c>
      <c r="L98" s="5">
        <f t="shared" ref="L98" ca="1" si="49">L93/L97</f>
        <v>26.126269877928632</v>
      </c>
    </row>
    <row r="99" spans="1:12" x14ac:dyDescent="0.2">
      <c r="A99" s="6" t="s">
        <v>387</v>
      </c>
      <c r="E99" s="74"/>
      <c r="F99" s="3">
        <f ca="1">('Battery Design'!F61*'Battery Design'!F138*2+'Battery Design'!F139)/10</f>
        <v>176.08387008535232</v>
      </c>
      <c r="G99" s="3">
        <f ca="1">('Battery Design'!G61*'Battery Design'!G138*2+'Battery Design'!G139)/10</f>
        <v>178.40637500642879</v>
      </c>
      <c r="H99" s="3">
        <f ca="1">('Battery Design'!H61*'Battery Design'!H138*2+'Battery Design'!H139)/10</f>
        <v>179.59627257051915</v>
      </c>
      <c r="I99" s="3">
        <f ca="1">('Battery Design'!I61*'Battery Design'!I138*2+'Battery Design'!I139)/10</f>
        <v>180.64484011311924</v>
      </c>
      <c r="J99" s="3">
        <f ca="1">('Battery Design'!J61*'Battery Design'!J138*2+'Battery Design'!J139)/10</f>
        <v>181.59292445223866</v>
      </c>
      <c r="K99" s="3">
        <f ca="1">('Battery Design'!K61*'Battery Design'!K138*2+'Battery Design'!K139)/10</f>
        <v>182.46498911743222</v>
      </c>
      <c r="L99" s="3">
        <f ca="1">('Battery Design'!L61*'Battery Design'!L138*2+'Battery Design'!L139)/10</f>
        <v>183.27655835171302</v>
      </c>
    </row>
    <row r="100" spans="1:12" x14ac:dyDescent="0.2">
      <c r="A100" s="6" t="s">
        <v>388</v>
      </c>
      <c r="E100" s="166"/>
      <c r="F100" s="3">
        <f t="shared" ref="F100:K100" ca="1" si="50">F96*F98*F86/F87</f>
        <v>1276.1345127515519</v>
      </c>
      <c r="G100" s="3">
        <f t="shared" ca="1" si="50"/>
        <v>1258.7151979322728</v>
      </c>
      <c r="H100" s="3">
        <f t="shared" ca="1" si="50"/>
        <v>1249.2734246319503</v>
      </c>
      <c r="I100" s="3">
        <f t="shared" ca="1" si="50"/>
        <v>1237.9147588354199</v>
      </c>
      <c r="J100" s="3">
        <f t="shared" ca="1" si="50"/>
        <v>930.75185255841257</v>
      </c>
      <c r="K100" s="3">
        <f t="shared" ca="1" si="50"/>
        <v>733.602653228912</v>
      </c>
      <c r="L100" s="3">
        <f t="shared" ref="L100" ca="1" si="51">L96*L98*L86/L87</f>
        <v>599.36167264073651</v>
      </c>
    </row>
    <row r="101" spans="1:12" x14ac:dyDescent="0.2">
      <c r="A101" s="253" t="s">
        <v>624</v>
      </c>
      <c r="E101" s="74"/>
      <c r="F101" s="64">
        <f t="shared" ref="F101:K101" ca="1" si="52">48*F87*F94*F99/(F86*F96^2)/1000000</f>
        <v>1.0000000000000002E-2</v>
      </c>
      <c r="G101" s="64">
        <f t="shared" ca="1" si="52"/>
        <v>1.0000000000000002E-2</v>
      </c>
      <c r="H101" s="64">
        <f t="shared" ca="1" si="52"/>
        <v>9.9999999999999985E-3</v>
      </c>
      <c r="I101" s="64">
        <f t="shared" ca="1" si="52"/>
        <v>0.01</v>
      </c>
      <c r="J101" s="64">
        <f t="shared" ca="1" si="52"/>
        <v>0.01</v>
      </c>
      <c r="K101" s="64">
        <f t="shared" ca="1" si="52"/>
        <v>1.0000000000000004E-2</v>
      </c>
      <c r="L101" s="64">
        <f t="shared" ref="L101" ca="1" si="53">48*L87*L94*L99/(L86*L96^2)/1000000</f>
        <v>9.9999999999999985E-3</v>
      </c>
    </row>
    <row r="102" spans="1:12" x14ac:dyDescent="0.2">
      <c r="A102" s="6" t="s">
        <v>389</v>
      </c>
      <c r="E102" s="198"/>
      <c r="F102" s="496">
        <v>0.01</v>
      </c>
      <c r="G102" s="496">
        <v>0.01</v>
      </c>
      <c r="H102" s="496">
        <v>0.01</v>
      </c>
      <c r="I102" s="496">
        <v>0.01</v>
      </c>
      <c r="J102" s="496">
        <v>0.01</v>
      </c>
      <c r="K102" s="496">
        <v>0.01</v>
      </c>
      <c r="L102" s="496">
        <v>0.01</v>
      </c>
    </row>
    <row r="103" spans="1:12" x14ac:dyDescent="0.2">
      <c r="A103" s="6" t="s">
        <v>400</v>
      </c>
      <c r="F103" s="386">
        <v>50</v>
      </c>
      <c r="G103" s="386">
        <v>50</v>
      </c>
      <c r="H103" s="386">
        <v>50</v>
      </c>
      <c r="I103" s="386">
        <v>50</v>
      </c>
      <c r="J103" s="386">
        <v>50</v>
      </c>
      <c r="K103" s="386">
        <v>50</v>
      </c>
      <c r="L103" s="386">
        <v>50</v>
      </c>
    </row>
    <row r="104" spans="1:12" x14ac:dyDescent="0.2">
      <c r="A104" s="253" t="s">
        <v>693</v>
      </c>
      <c r="E104" s="127"/>
      <c r="F104" s="3">
        <f ca="1">IF(F66="CA","NA",F93*F101/(F103/100)/10+F37/IF('Battery Design'!F185="Refrig 1",Thermal!$H$195,IF('Battery Design'!F185="Refrig 2",Thermal!$H$196,IF('Battery Design'!F185="Refrig 3",Thermal!$H$197,IF('Battery Design'!F185="Refrig 4",Thermal!$H$198)))))</f>
        <v>1068.0180877173639</v>
      </c>
      <c r="G104" s="3">
        <f ca="1">IF(G66="CA","NA",G93*G101/(G103/100)/10+G37/IF('Battery Design'!G185="Refrig 1",Thermal!$H$195,IF('Battery Design'!G185="Refrig 2",Thermal!$H$196,IF('Battery Design'!G185="Refrig 3",Thermal!$H$197,IF('Battery Design'!G185="Refrig 4",Thermal!$H$198)))))</f>
        <v>1228.3937048172779</v>
      </c>
      <c r="H104" s="3">
        <f ca="1">IF(H66="CA","NA",H93*H101/(H103/100)/10+H37/IF('Battery Design'!H185="Refrig 1",Thermal!$H$195,IF('Battery Design'!H185="Refrig 2",Thermal!$H$196,IF('Battery Design'!H185="Refrig 3",Thermal!$H$197,IF('Battery Design'!H185="Refrig 4",Thermal!$H$198)))))</f>
        <v>1381.1631302539856</v>
      </c>
      <c r="I104" s="3">
        <f ca="1">IF(I66="CA","NA",I93*I101/(I103/100)/10+I37/IF('Battery Design'!I185="Refrig 1",Thermal!$H$195,IF('Battery Design'!I185="Refrig 2",Thermal!$H$196,IF('Battery Design'!I185="Refrig 3",Thermal!$H$197,IF('Battery Design'!I185="Refrig 4",Thermal!$H$198)))))</f>
        <v>1510.0339323868361</v>
      </c>
      <c r="J104" s="3">
        <f ca="1">IF(J66="CA","NA",J93*J101/(J103/100)/10+J37/IF('Battery Design'!J185="Refrig 1",Thermal!$H$195,IF('Battery Design'!J185="Refrig 2",Thermal!$H$196,IF('Battery Design'!J185="Refrig 3",Thermal!$H$197,IF('Battery Design'!J185="Refrig 4",Thermal!$H$198)))))</f>
        <v>1231.4962605384633</v>
      </c>
      <c r="K104" s="3">
        <f ca="1">IF(K66="CA","NA",K93*K101/(K103/100)/10+K37/IF('Battery Design'!K185="Refrig 1",Thermal!$H$195,IF('Battery Design'!K185="Refrig 2",Thermal!$H$196,IF('Battery Design'!K185="Refrig 3",Thermal!$H$197,IF('Battery Design'!K185="Refrig 4",Thermal!$H$198)))))</f>
        <v>1040.3391441399376</v>
      </c>
      <c r="L104" s="3">
        <f ca="1">IF(L66="CA","NA",L93*L101/(L103/100)/10+L37/IF('Battery Design'!L185="Refrig 1",Thermal!$H$195,IF('Battery Design'!L185="Refrig 2",Thermal!$H$196,IF('Battery Design'!L185="Refrig 3",Thermal!$H$197,IF('Battery Design'!L185="Refrig 4",Thermal!$H$198)))))</f>
        <v>902.97520630957672</v>
      </c>
    </row>
    <row r="105" spans="1:12" ht="15" x14ac:dyDescent="0.25">
      <c r="A105" s="259" t="s">
        <v>549</v>
      </c>
      <c r="E105" s="198"/>
      <c r="F105" s="251" t="str">
        <f t="shared" ref="F105:K105" si="54">IF(F66="CA","NA"," ")</f>
        <v xml:space="preserve"> </v>
      </c>
      <c r="G105" s="251" t="str">
        <f t="shared" si="54"/>
        <v xml:space="preserve"> </v>
      </c>
      <c r="H105" s="251" t="str">
        <f t="shared" si="54"/>
        <v xml:space="preserve"> </v>
      </c>
      <c r="I105" s="251" t="str">
        <f t="shared" si="54"/>
        <v xml:space="preserve"> </v>
      </c>
      <c r="J105" s="251" t="str">
        <f t="shared" si="54"/>
        <v xml:space="preserve"> </v>
      </c>
      <c r="K105" s="251" t="str">
        <f t="shared" si="54"/>
        <v xml:space="preserve"> </v>
      </c>
      <c r="L105" s="251" t="str">
        <f t="shared" ref="L105" si="55">IF(L66="CA","NA"," ")</f>
        <v xml:space="preserve"> </v>
      </c>
    </row>
    <row r="106" spans="1:12" x14ac:dyDescent="0.2">
      <c r="A106" s="6" t="s">
        <v>390</v>
      </c>
      <c r="E106" s="199"/>
      <c r="F106" s="3">
        <f t="shared" ref="F106:K106" ca="1" si="56">2*F93*F86*F85*F96/(F88*F99*F97/F95)</f>
        <v>415.90157775462711</v>
      </c>
      <c r="G106" s="3">
        <f t="shared" ca="1" si="56"/>
        <v>404.79772912062833</v>
      </c>
      <c r="H106" s="3">
        <f t="shared" ca="1" si="56"/>
        <v>398.98215179642381</v>
      </c>
      <c r="I106" s="3">
        <f t="shared" ca="1" si="56"/>
        <v>392.62591291090956</v>
      </c>
      <c r="J106" s="3">
        <f t="shared" ca="1" si="56"/>
        <v>267.49824851391867</v>
      </c>
      <c r="K106" s="3">
        <f t="shared" ca="1" si="56"/>
        <v>194.13470181501066</v>
      </c>
      <c r="L106" s="3">
        <f t="shared" ref="L106" ca="1" si="57">2*L93*L86*L85*L96/(L88*L99*L97/L95)</f>
        <v>147.83900189753189</v>
      </c>
    </row>
    <row r="107" spans="1:12" x14ac:dyDescent="0.2">
      <c r="A107" s="6" t="s">
        <v>391</v>
      </c>
      <c r="E107" s="166"/>
      <c r="F107" s="19">
        <f t="shared" ref="F107:K107" ca="1" si="58">(5.385^3.592+(2.255*F106^(1/3))^3.592)^(1/3.592)</f>
        <v>16.909980087180699</v>
      </c>
      <c r="G107" s="19">
        <f t="shared" ca="1" si="58"/>
        <v>16.760651283941723</v>
      </c>
      <c r="H107" s="19">
        <f t="shared" ca="1" si="58"/>
        <v>16.681373361038588</v>
      </c>
      <c r="I107" s="19">
        <f t="shared" ca="1" si="58"/>
        <v>16.593858895826937</v>
      </c>
      <c r="J107" s="19">
        <f t="shared" ca="1" si="58"/>
        <v>14.642871518272184</v>
      </c>
      <c r="K107" s="19">
        <f t="shared" ca="1" si="58"/>
        <v>13.205857805501184</v>
      </c>
      <c r="L107" s="19">
        <f t="shared" ref="L107" ca="1" si="59">(5.385^3.592+(2.255*L106^(1/3))^3.592)^(1/3.592)</f>
        <v>12.110818236458853</v>
      </c>
    </row>
    <row r="108" spans="1:12" ht="14.25" x14ac:dyDescent="0.2">
      <c r="A108" s="6" t="s">
        <v>392</v>
      </c>
      <c r="E108" s="80"/>
      <c r="F108" s="197">
        <f t="shared" ref="F108:K108" ca="1" si="60">F107*F88/F96</f>
        <v>5.3432691709656026E-2</v>
      </c>
      <c r="G108" s="197">
        <f t="shared" ca="1" si="60"/>
        <v>5.297214691555073E-2</v>
      </c>
      <c r="H108" s="197">
        <f t="shared" ca="1" si="60"/>
        <v>5.2737090016910126E-2</v>
      </c>
      <c r="I108" s="197">
        <f t="shared" ca="1" si="60"/>
        <v>5.2518372392834474E-2</v>
      </c>
      <c r="J108" s="197">
        <f t="shared" ca="1" si="60"/>
        <v>5.0876583609934127E-2</v>
      </c>
      <c r="K108" s="197">
        <f t="shared" ca="1" si="60"/>
        <v>4.9593234767202857E-2</v>
      </c>
      <c r="L108" s="197">
        <f t="shared" ref="L108" ca="1" si="61">L107*L88/L96</f>
        <v>4.8578506205028071E-2</v>
      </c>
    </row>
    <row r="109" spans="1:12" ht="14.25" x14ac:dyDescent="0.2">
      <c r="A109" s="6" t="s">
        <v>393</v>
      </c>
      <c r="F109" s="3">
        <f ca="1">2*'Battery Design'!F63*'Battery Design'!F113/10*'Battery Design'!F138/10</f>
        <v>3257.7611105623296</v>
      </c>
      <c r="G109" s="3">
        <f ca="1">2*'Battery Design'!G63*'Battery Design'!G113/10*'Battery Design'!G138/10</f>
        <v>3929.7958946124845</v>
      </c>
      <c r="H109" s="3">
        <f ca="1">2*'Battery Design'!H63*'Battery Design'!H113/10*'Battery Design'!H138/10</f>
        <v>4537.9153133314385</v>
      </c>
      <c r="I109" s="3">
        <f ca="1">2*'Battery Design'!I63*'Battery Design'!I113/10*'Battery Design'!I138/10</f>
        <v>5073.7415538593459</v>
      </c>
      <c r="J109" s="3">
        <f ca="1">2*'Battery Design'!J63*'Battery Design'!J113/10*'Battery Design'!J138/10</f>
        <v>5558.2200890942286</v>
      </c>
      <c r="K109" s="3">
        <f ca="1">2*'Battery Design'!K63*'Battery Design'!K113/10*'Battery Design'!K138/10</f>
        <v>6003.7958404266283</v>
      </c>
      <c r="L109" s="3">
        <f ca="1">2*'Battery Design'!L63*'Battery Design'!L113/10*'Battery Design'!L138/10</f>
        <v>6418.5702202299672</v>
      </c>
    </row>
    <row r="110" spans="1:12" ht="14.25" x14ac:dyDescent="0.2">
      <c r="A110" s="6" t="s">
        <v>514</v>
      </c>
      <c r="F110" s="19">
        <f t="shared" ref="F110:L110" ca="1" si="62">F37/F108/F109</f>
        <v>15.316904951464636</v>
      </c>
      <c r="G110" s="19">
        <f t="shared" ca="1" si="62"/>
        <v>14.731219794960577</v>
      </c>
      <c r="H110" s="19">
        <f t="shared" ca="1" si="62"/>
        <v>14.407582803261883</v>
      </c>
      <c r="I110" s="19">
        <f t="shared" ca="1" si="62"/>
        <v>14.147047235831751</v>
      </c>
      <c r="J110" s="19">
        <f t="shared" ca="1" si="62"/>
        <v>10.871716381272842</v>
      </c>
      <c r="K110" s="19">
        <f t="shared" ca="1" si="62"/>
        <v>8.7225864878423298</v>
      </c>
      <c r="L110" s="19">
        <f t="shared" ca="1" si="62"/>
        <v>7.229563382146849</v>
      </c>
    </row>
    <row r="111" spans="1:12" ht="14.25" x14ac:dyDescent="0.2">
      <c r="A111" s="4" t="s">
        <v>576</v>
      </c>
      <c r="F111" s="5">
        <f t="shared" ref="F111:K111" ca="1" si="63">IF(F105="NA","NA",MIN(F82+F110+F91+F92,F64))</f>
        <v>34.999999999617451</v>
      </c>
      <c r="G111" s="5">
        <f t="shared" ca="1" si="63"/>
        <v>34.999999999899067</v>
      </c>
      <c r="H111" s="5">
        <f t="shared" ca="1" si="63"/>
        <v>34.999999999985413</v>
      </c>
      <c r="I111" s="5">
        <f t="shared" ca="1" si="63"/>
        <v>34.999999999995396</v>
      </c>
      <c r="J111" s="5">
        <f t="shared" ca="1" si="63"/>
        <v>30.72146110539957</v>
      </c>
      <c r="K111" s="5">
        <f t="shared" ca="1" si="63"/>
        <v>27.89978513623025</v>
      </c>
      <c r="L111" s="5">
        <f t="shared" ref="L111" ca="1" si="64">IF(L105="NA","NA",MIN(L82+L110+L91+L92,L64))</f>
        <v>25.932238548731998</v>
      </c>
    </row>
    <row r="112" spans="1:12" ht="15.75" x14ac:dyDescent="0.25">
      <c r="A112" s="17" t="s">
        <v>676</v>
      </c>
      <c r="F112" s="243" t="str">
        <f t="shared" ref="F112:K112" si="65">IF(F66="CA"," ","NA")</f>
        <v>NA</v>
      </c>
      <c r="G112" s="243" t="str">
        <f t="shared" si="65"/>
        <v>NA</v>
      </c>
      <c r="H112" s="243" t="str">
        <f t="shared" si="65"/>
        <v>NA</v>
      </c>
      <c r="I112" s="243" t="str">
        <f t="shared" si="65"/>
        <v>NA</v>
      </c>
      <c r="J112" s="243" t="str">
        <f t="shared" si="65"/>
        <v>NA</v>
      </c>
      <c r="K112" s="243" t="str">
        <f t="shared" si="65"/>
        <v>NA</v>
      </c>
      <c r="L112" s="243" t="str">
        <f t="shared" ref="L112" si="66">IF(L66="CA"," ","NA")</f>
        <v>NA</v>
      </c>
    </row>
    <row r="113" spans="1:12" ht="15.75" x14ac:dyDescent="0.25">
      <c r="A113" s="4" t="s">
        <v>552</v>
      </c>
      <c r="F113" s="243"/>
      <c r="G113" s="243"/>
      <c r="H113" s="243"/>
      <c r="I113" s="243"/>
      <c r="J113" s="243"/>
      <c r="K113" s="243"/>
      <c r="L113" s="243"/>
    </row>
    <row r="114" spans="1:12" x14ac:dyDescent="0.2">
      <c r="A114" s="253" t="s">
        <v>401</v>
      </c>
      <c r="E114" s="80"/>
      <c r="F114" s="19">
        <f ca="1">F37/'Battery Design'!F67</f>
        <v>27.773209590303377</v>
      </c>
      <c r="G114" s="19">
        <f ca="1">G37/'Battery Design'!G67</f>
        <v>31.943687298606832</v>
      </c>
      <c r="H114" s="19">
        <f ca="1">H37/'Battery Design'!H67</f>
        <v>35.916370271338216</v>
      </c>
      <c r="I114" s="19">
        <f ca="1">I37/'Battery Design'!I67</f>
        <v>39.267582988489643</v>
      </c>
      <c r="J114" s="19">
        <f ca="1">J37/'Battery Design'!J67</f>
        <v>32.024367514888787</v>
      </c>
      <c r="K114" s="19">
        <f ca="1">K37/'Battery Design'!K67</f>
        <v>27.053434232512359</v>
      </c>
      <c r="L114" s="19">
        <f ca="1">L37/'Battery Design'!L67</f>
        <v>23.481362299099924</v>
      </c>
    </row>
    <row r="115" spans="1:12" x14ac:dyDescent="0.2">
      <c r="A115" s="6" t="s">
        <v>404</v>
      </c>
      <c r="E115" s="127"/>
      <c r="F115" s="19">
        <f ca="1">'Battery Design'!F32/10</f>
        <v>0.80244642968100677</v>
      </c>
      <c r="G115" s="19">
        <f ca="1">'Battery Design'!G32/10</f>
        <v>0.80768048424957173</v>
      </c>
      <c r="H115" s="19">
        <f ca="1">'Battery Design'!H32/10</f>
        <v>0.80767974205907733</v>
      </c>
      <c r="I115" s="19">
        <f ca="1">'Battery Design'!I32/10</f>
        <v>0.80767974205907733</v>
      </c>
      <c r="J115" s="19">
        <f ca="1">'Battery Design'!J32/10</f>
        <v>0.80767974205907733</v>
      </c>
      <c r="K115" s="19">
        <f ca="1">'Battery Design'!K32/10</f>
        <v>0.80768033199945743</v>
      </c>
      <c r="L115" s="19">
        <f ca="1">'Battery Design'!L32/10</f>
        <v>0.80767974205907733</v>
      </c>
    </row>
    <row r="116" spans="1:12" x14ac:dyDescent="0.2">
      <c r="A116" s="6" t="s">
        <v>405</v>
      </c>
      <c r="E116" s="201"/>
      <c r="F116" s="5">
        <f ca="1">'Battery Design'!F117/10</f>
        <v>6.6145841491509669</v>
      </c>
      <c r="G116" s="5">
        <f ca="1">'Battery Design'!G117/10</f>
        <v>7.8902781565144622</v>
      </c>
      <c r="H116" s="5">
        <f ca="1">'Battery Design'!H117/10</f>
        <v>9.0803241587036645</v>
      </c>
      <c r="I116" s="5">
        <f ca="1">'Battery Design'!I117/10</f>
        <v>10.12889170130377</v>
      </c>
      <c r="J116" s="5">
        <f ca="1">'Battery Design'!J117/10</f>
        <v>11.076976040423185</v>
      </c>
      <c r="K116" s="5">
        <f ca="1">'Battery Design'!K117/10</f>
        <v>11.948922717540716</v>
      </c>
      <c r="L116" s="5">
        <f ca="1">'Battery Design'!L117/10</f>
        <v>12.760609939897529</v>
      </c>
    </row>
    <row r="117" spans="1:12" x14ac:dyDescent="0.2">
      <c r="A117" s="6" t="s">
        <v>459</v>
      </c>
      <c r="F117" s="181">
        <f t="shared" ref="F117:K117" ca="1" si="67">F55</f>
        <v>8.634322908729973E-3</v>
      </c>
      <c r="G117" s="181">
        <f t="shared" ca="1" si="67"/>
        <v>9.1048637070615824E-3</v>
      </c>
      <c r="H117" s="181">
        <f t="shared" ca="1" si="67"/>
        <v>9.1048637070615824E-3</v>
      </c>
      <c r="I117" s="181">
        <f t="shared" ca="1" si="67"/>
        <v>9.1048637070615824E-3</v>
      </c>
      <c r="J117" s="181">
        <f t="shared" ca="1" si="67"/>
        <v>9.1048637070615824E-3</v>
      </c>
      <c r="K117" s="181">
        <f t="shared" ca="1" si="67"/>
        <v>9.1048637070615824E-3</v>
      </c>
      <c r="L117" s="181">
        <f t="shared" ref="L117" ca="1" si="68">L55</f>
        <v>9.1048637070615824E-3</v>
      </c>
    </row>
    <row r="118" spans="1:12" ht="14.25" x14ac:dyDescent="0.2">
      <c r="A118" s="6" t="s">
        <v>555</v>
      </c>
      <c r="F118" s="19">
        <f t="shared" ref="F118:K118" ca="1" si="69">F114/2*F115/2/(F117*F70*F116)</f>
        <v>5.069458072731015</v>
      </c>
      <c r="G118" s="19">
        <f t="shared" ca="1" si="69"/>
        <v>3.8916661582679111</v>
      </c>
      <c r="H118" s="19">
        <f t="shared" ca="1" si="69"/>
        <v>3.2926590567738847</v>
      </c>
      <c r="I118" s="19">
        <f t="shared" ca="1" si="69"/>
        <v>2.8863963318338857</v>
      </c>
      <c r="J118" s="19">
        <f t="shared" ca="1" si="69"/>
        <v>1.9648783524810616</v>
      </c>
      <c r="K118" s="19">
        <f t="shared" ca="1" si="69"/>
        <v>1.4245589195787236</v>
      </c>
      <c r="L118" s="19">
        <f t="shared" ref="L118" ca="1" si="70">L114/2*L115/2/(L117*L70*L116)</f>
        <v>1.0829929306621138</v>
      </c>
    </row>
    <row r="119" spans="1:12" ht="15" x14ac:dyDescent="0.25">
      <c r="A119" s="259" t="s">
        <v>577</v>
      </c>
      <c r="F119" s="246" t="str">
        <f t="shared" ref="F119:K119" si="71">F112</f>
        <v>NA</v>
      </c>
      <c r="G119" s="246" t="str">
        <f t="shared" si="71"/>
        <v>NA</v>
      </c>
      <c r="H119" s="246" t="str">
        <f t="shared" si="71"/>
        <v>NA</v>
      </c>
      <c r="I119" s="246" t="str">
        <f t="shared" si="71"/>
        <v>NA</v>
      </c>
      <c r="J119" s="246" t="str">
        <f t="shared" si="71"/>
        <v>NA</v>
      </c>
      <c r="K119" s="246" t="str">
        <f t="shared" si="71"/>
        <v>NA</v>
      </c>
      <c r="L119" s="246" t="str">
        <f t="shared" ref="L119" si="72">L112</f>
        <v>NA</v>
      </c>
    </row>
    <row r="120" spans="1:12" x14ac:dyDescent="0.2">
      <c r="A120" s="253" t="s">
        <v>621</v>
      </c>
      <c r="F120" s="246"/>
      <c r="G120" s="246"/>
      <c r="H120" s="246"/>
      <c r="I120" s="246"/>
      <c r="J120" s="246"/>
      <c r="K120" s="246"/>
      <c r="L120" s="246"/>
    </row>
    <row r="121" spans="1:12" ht="14.25" x14ac:dyDescent="0.2">
      <c r="A121" s="253" t="s">
        <v>623</v>
      </c>
      <c r="F121" s="90">
        <v>1</v>
      </c>
      <c r="G121" s="90">
        <v>1</v>
      </c>
      <c r="H121" s="90">
        <v>1</v>
      </c>
      <c r="I121" s="90">
        <v>1</v>
      </c>
      <c r="J121" s="90">
        <v>1</v>
      </c>
      <c r="K121" s="90">
        <v>1</v>
      </c>
      <c r="L121" s="90">
        <v>1</v>
      </c>
    </row>
    <row r="122" spans="1:12" x14ac:dyDescent="0.2">
      <c r="A122" s="253" t="s">
        <v>625</v>
      </c>
      <c r="F122" s="245">
        <f t="shared" ref="F122:L122" si="73">1.2928/1000/298*273</f>
        <v>1.184343624161074E-3</v>
      </c>
      <c r="G122" s="245">
        <f t="shared" si="73"/>
        <v>1.184343624161074E-3</v>
      </c>
      <c r="H122" s="245">
        <f t="shared" si="73"/>
        <v>1.184343624161074E-3</v>
      </c>
      <c r="I122" s="245">
        <f t="shared" si="73"/>
        <v>1.184343624161074E-3</v>
      </c>
      <c r="J122" s="245">
        <f t="shared" si="73"/>
        <v>1.184343624161074E-3</v>
      </c>
      <c r="K122" s="245">
        <f t="shared" si="73"/>
        <v>1.184343624161074E-3</v>
      </c>
      <c r="L122" s="245">
        <f t="shared" si="73"/>
        <v>1.184343624161074E-3</v>
      </c>
    </row>
    <row r="123" spans="1:12" x14ac:dyDescent="0.2">
      <c r="A123" s="253" t="s">
        <v>626</v>
      </c>
      <c r="F123" s="92">
        <v>1.7999999999999999E-2</v>
      </c>
      <c r="G123" s="92">
        <v>1.7999999999999999E-2</v>
      </c>
      <c r="H123" s="92">
        <v>1.7999999999999999E-2</v>
      </c>
      <c r="I123" s="92">
        <v>1.7999999999999999E-2</v>
      </c>
      <c r="J123" s="92">
        <v>1.7999999999999999E-2</v>
      </c>
      <c r="K123" s="92">
        <v>1.7999999999999999E-2</v>
      </c>
      <c r="L123" s="92">
        <v>1.7999999999999999E-2</v>
      </c>
    </row>
    <row r="124" spans="1:12" ht="14.25" x14ac:dyDescent="0.2">
      <c r="A124" s="253" t="s">
        <v>627</v>
      </c>
      <c r="F124" s="279">
        <f t="shared" ref="F124:K124" si="74">F57</f>
        <v>2.5999999999999998E-4</v>
      </c>
      <c r="G124" s="279">
        <f t="shared" si="74"/>
        <v>2.5999999999999998E-4</v>
      </c>
      <c r="H124" s="279">
        <f t="shared" si="74"/>
        <v>2.5999999999999998E-4</v>
      </c>
      <c r="I124" s="279">
        <f t="shared" si="74"/>
        <v>2.5999999999999998E-4</v>
      </c>
      <c r="J124" s="279">
        <f t="shared" si="74"/>
        <v>2.5999999999999998E-4</v>
      </c>
      <c r="K124" s="279">
        <f t="shared" si="74"/>
        <v>2.5999999999999998E-4</v>
      </c>
      <c r="L124" s="279">
        <f t="shared" ref="L124" si="75">L57</f>
        <v>2.5999999999999998E-4</v>
      </c>
    </row>
    <row r="125" spans="1:12" x14ac:dyDescent="0.2">
      <c r="A125" s="253" t="s">
        <v>605</v>
      </c>
      <c r="F125" s="19">
        <f ca="1">'Battery Design'!F117/10</f>
        <v>6.6145841491509669</v>
      </c>
      <c r="G125" s="19">
        <f ca="1">'Battery Design'!G117/10</f>
        <v>7.8902781565144622</v>
      </c>
      <c r="H125" s="19">
        <f ca="1">'Battery Design'!H117/10</f>
        <v>9.0803241587036645</v>
      </c>
      <c r="I125" s="19">
        <f ca="1">'Battery Design'!I117/10</f>
        <v>10.12889170130377</v>
      </c>
      <c r="J125" s="19">
        <f ca="1">'Battery Design'!J117/10</f>
        <v>11.076976040423185</v>
      </c>
      <c r="K125" s="19">
        <f ca="1">'Battery Design'!K117/10</f>
        <v>11.948922717540716</v>
      </c>
      <c r="L125" s="19">
        <f ca="1">'Battery Design'!L117/10</f>
        <v>12.760609939897529</v>
      </c>
    </row>
    <row r="126" spans="1:12" x14ac:dyDescent="0.2">
      <c r="A126" s="6" t="s">
        <v>587</v>
      </c>
      <c r="F126" s="393">
        <v>0.4</v>
      </c>
      <c r="G126" s="393">
        <v>0.4</v>
      </c>
      <c r="H126" s="393">
        <v>0.4</v>
      </c>
      <c r="I126" s="393">
        <v>0.4</v>
      </c>
      <c r="J126" s="393">
        <v>0.4</v>
      </c>
      <c r="K126" s="393">
        <v>0.4</v>
      </c>
      <c r="L126" s="393">
        <v>0.4</v>
      </c>
    </row>
    <row r="127" spans="1:12" x14ac:dyDescent="0.2">
      <c r="A127" s="6" t="s">
        <v>588</v>
      </c>
      <c r="F127" s="210">
        <f t="shared" ref="F127:K127" ca="1" si="76">F129*10+2*F126</f>
        <v>4.8822725512471896</v>
      </c>
      <c r="G127" s="210">
        <f t="shared" ca="1" si="76"/>
        <v>5.1070990926165241</v>
      </c>
      <c r="H127" s="210">
        <f t="shared" ca="1" si="76"/>
        <v>5.3254365358100166</v>
      </c>
      <c r="I127" s="210">
        <f t="shared" ca="1" si="76"/>
        <v>5.4516112337065081</v>
      </c>
      <c r="J127" s="210">
        <f t="shared" ca="1" si="76"/>
        <v>5.1145188811285553</v>
      </c>
      <c r="K127" s="210">
        <f t="shared" ca="1" si="76"/>
        <v>4.8148584973921373</v>
      </c>
      <c r="L127" s="210">
        <f t="shared" ref="L127" ca="1" si="77">L129*10+2*L126</f>
        <v>4.588394296476304</v>
      </c>
    </row>
    <row r="128" spans="1:12" x14ac:dyDescent="0.2">
      <c r="A128" s="6" t="s">
        <v>589</v>
      </c>
      <c r="F128" s="5">
        <f ca="1">F127+'Battery Design'!F32</f>
        <v>12.906736848057257</v>
      </c>
      <c r="G128" s="5">
        <f ca="1">G127+'Battery Design'!G32</f>
        <v>13.183903935112241</v>
      </c>
      <c r="H128" s="5">
        <f ca="1">H127+'Battery Design'!H32</f>
        <v>13.40223395640079</v>
      </c>
      <c r="I128" s="5">
        <f ca="1">I127+'Battery Design'!I32</f>
        <v>13.528408654297282</v>
      </c>
      <c r="J128" s="5">
        <f ca="1">J127+'Battery Design'!J32</f>
        <v>13.191316301719329</v>
      </c>
      <c r="K128" s="5">
        <f ca="1">K127+'Battery Design'!K32</f>
        <v>12.891661817386712</v>
      </c>
      <c r="L128" s="5">
        <f ca="1">L127+'Battery Design'!L32</f>
        <v>12.665191717067078</v>
      </c>
    </row>
    <row r="129" spans="1:14" x14ac:dyDescent="0.2">
      <c r="A129" s="253" t="s">
        <v>863</v>
      </c>
      <c r="F129" s="248">
        <f ca="1">IF('Battery Design'!F209=0,0.2,IF(F154=F145*F146/100,F130,F130+F131*(F154-F145*F146/100)))</f>
        <v>0.40822725512529778</v>
      </c>
      <c r="G129" s="248">
        <f ca="1">IF('Battery Design'!G209=0,0.2,IF(G154=G145*G146/100,G130,G130+G131*(G154-G145*G146/100)))</f>
        <v>0.43070990926179686</v>
      </c>
      <c r="H129" s="248">
        <f ca="1">IF('Battery Design'!H209=0,0.2,IF(H154=H145*H146/100,H130,H130+H131*(H154-H145*H146/100)))</f>
        <v>0.45254365358102611</v>
      </c>
      <c r="I129" s="248">
        <f ca="1">IF('Battery Design'!I209=0,0.2,IF(I154=I145*I146/100,I130,I130+I131*(I154-I145*I146/100)))</f>
        <v>0.46516112337061899</v>
      </c>
      <c r="J129" s="248">
        <f ca="1">IF('Battery Design'!J209=0,0.2,IF(J154=J145*J146/100,J130,J130+J131*(J154-J145*J146/100)))</f>
        <v>0.43145188811285445</v>
      </c>
      <c r="K129" s="248">
        <f ca="1">IF('Battery Design'!K209=0,0.2,IF(K154=K145*K146/100,K130,K130+K131*(K154-K145*K146/100)))</f>
        <v>0.4014858497392142</v>
      </c>
      <c r="L129" s="248">
        <f ca="1">IF('Battery Design'!L209=0,0.2,IF(L154=L145*L146/100,L130,L130+L131*(L154-L145*L146/100)))</f>
        <v>0.37883942964762124</v>
      </c>
      <c r="N129" s="201"/>
    </row>
    <row r="130" spans="1:14" x14ac:dyDescent="0.2">
      <c r="A130" s="253" t="s">
        <v>619</v>
      </c>
      <c r="F130" s="248">
        <f t="shared" ref="F130:K130" ca="1" si="78">F129</f>
        <v>0.40822725512529778</v>
      </c>
      <c r="G130" s="248">
        <f t="shared" ca="1" si="78"/>
        <v>0.43070990926179686</v>
      </c>
      <c r="H130" s="248">
        <f t="shared" ca="1" si="78"/>
        <v>0.45254365358102611</v>
      </c>
      <c r="I130" s="248">
        <f t="shared" ca="1" si="78"/>
        <v>0.46516112337061899</v>
      </c>
      <c r="J130" s="248">
        <f t="shared" ca="1" si="78"/>
        <v>0.43145188811285445</v>
      </c>
      <c r="K130" s="248">
        <f t="shared" ca="1" si="78"/>
        <v>0.4014858497392142</v>
      </c>
      <c r="L130" s="248">
        <f t="shared" ref="L130" ca="1" si="79">L129</f>
        <v>0.37883942964762124</v>
      </c>
      <c r="N130" s="201"/>
    </row>
    <row r="131" spans="1:14" x14ac:dyDescent="0.2">
      <c r="A131" s="253" t="s">
        <v>856</v>
      </c>
      <c r="F131" s="390">
        <v>5</v>
      </c>
      <c r="G131" s="390">
        <v>5</v>
      </c>
      <c r="H131" s="390">
        <v>5</v>
      </c>
      <c r="I131" s="390">
        <v>5</v>
      </c>
      <c r="J131" s="390">
        <v>5</v>
      </c>
      <c r="K131" s="390">
        <v>5</v>
      </c>
      <c r="L131" s="390">
        <v>5</v>
      </c>
    </row>
    <row r="132" spans="1:14" x14ac:dyDescent="0.2">
      <c r="A132" s="253" t="s">
        <v>617</v>
      </c>
      <c r="F132" s="497">
        <v>1</v>
      </c>
      <c r="G132" s="497">
        <v>1</v>
      </c>
      <c r="H132" s="497">
        <v>1</v>
      </c>
      <c r="I132" s="497">
        <v>1</v>
      </c>
      <c r="J132" s="497">
        <v>1</v>
      </c>
      <c r="K132" s="497">
        <v>1</v>
      </c>
      <c r="L132" s="497">
        <v>1</v>
      </c>
    </row>
    <row r="133" spans="1:14" x14ac:dyDescent="0.2">
      <c r="A133" s="6" t="s">
        <v>553</v>
      </c>
      <c r="F133" s="19">
        <f t="shared" ref="F133:K133" ca="1" si="80">(F136-(F135-1)*F134)/F135</f>
        <v>1.0152345279658064</v>
      </c>
      <c r="G133" s="19">
        <f t="shared" ca="1" si="80"/>
        <v>1.0247807615549152</v>
      </c>
      <c r="H133" s="19">
        <f t="shared" ca="1" si="80"/>
        <v>1.0200442034595907</v>
      </c>
      <c r="I133" s="19">
        <f t="shared" ca="1" si="80"/>
        <v>1.0494447959963047</v>
      </c>
      <c r="J133" s="19">
        <f t="shared" ca="1" si="80"/>
        <v>1.0159603007877611</v>
      </c>
      <c r="K133" s="19">
        <f t="shared" ca="1" si="80"/>
        <v>1.0223023500904189</v>
      </c>
      <c r="L133" s="19">
        <f t="shared" ref="L133" ca="1" si="81">(L136-(L135-1)*L134)/L135</f>
        <v>1.0219945103126642</v>
      </c>
    </row>
    <row r="134" spans="1:14" x14ac:dyDescent="0.2">
      <c r="A134" s="6" t="s">
        <v>554</v>
      </c>
      <c r="F134" s="287">
        <v>0.2</v>
      </c>
      <c r="G134" s="287">
        <v>0.2</v>
      </c>
      <c r="H134" s="287">
        <v>0.2</v>
      </c>
      <c r="I134" s="287">
        <v>0.2</v>
      </c>
      <c r="J134" s="287">
        <v>0.2</v>
      </c>
      <c r="K134" s="287">
        <v>0.2</v>
      </c>
      <c r="L134" s="287">
        <v>0.2</v>
      </c>
    </row>
    <row r="135" spans="1:14" x14ac:dyDescent="0.2">
      <c r="A135" s="6" t="s">
        <v>569</v>
      </c>
      <c r="F135" s="3">
        <f t="shared" ref="F135:K135" ca="1" si="82">ROUNDDOWN((F136+F134)/(F132+F134),0)</f>
        <v>16</v>
      </c>
      <c r="G135" s="3">
        <f t="shared" ca="1" si="82"/>
        <v>19</v>
      </c>
      <c r="H135" s="3">
        <f t="shared" ca="1" si="82"/>
        <v>22</v>
      </c>
      <c r="I135" s="3">
        <f t="shared" ca="1" si="82"/>
        <v>24</v>
      </c>
      <c r="J135" s="3">
        <f t="shared" ca="1" si="82"/>
        <v>27</v>
      </c>
      <c r="K135" s="3">
        <f t="shared" ca="1" si="82"/>
        <v>29</v>
      </c>
      <c r="L135" s="3">
        <f t="shared" ref="L135" ca="1" si="83">ROUNDDOWN((L136+L134)/(L132+L134),0)</f>
        <v>31</v>
      </c>
    </row>
    <row r="136" spans="1:14" x14ac:dyDescent="0.2">
      <c r="A136" s="6" t="s">
        <v>567</v>
      </c>
      <c r="F136" s="5">
        <f ca="1">'Battery Design'!F113/10</f>
        <v>19.243752447452902</v>
      </c>
      <c r="G136" s="5">
        <f ca="1">'Battery Design'!G113/10</f>
        <v>23.070834469543389</v>
      </c>
      <c r="H136" s="5">
        <f ca="1">'Battery Design'!H113/10</f>
        <v>26.640972476110996</v>
      </c>
      <c r="I136" s="5">
        <f ca="1">'Battery Design'!I113/10</f>
        <v>29.786675103911314</v>
      </c>
      <c r="J136" s="5">
        <f ca="1">'Battery Design'!J113/10</f>
        <v>32.630928121269548</v>
      </c>
      <c r="K136" s="5">
        <f ca="1">'Battery Design'!K113/10</f>
        <v>35.246768152622153</v>
      </c>
      <c r="L136" s="5">
        <f ca="1">'Battery Design'!L113/10</f>
        <v>37.681829819692588</v>
      </c>
    </row>
    <row r="137" spans="1:14" x14ac:dyDescent="0.2">
      <c r="A137" s="253" t="s">
        <v>628</v>
      </c>
      <c r="F137" s="5">
        <f ca="1">'Battery Design'!F131/10</f>
        <v>19.243752447452902</v>
      </c>
      <c r="G137" s="5">
        <f ca="1">'Battery Design'!G131/10</f>
        <v>23.070834469543389</v>
      </c>
      <c r="H137" s="5">
        <f ca="1">'Battery Design'!H131/10</f>
        <v>26.640972476110996</v>
      </c>
      <c r="I137" s="5">
        <f ca="1">'Battery Design'!I131/10</f>
        <v>29.786675103911314</v>
      </c>
      <c r="J137" s="5">
        <f ca="1">'Battery Design'!J131/10</f>
        <v>32.630928121269548</v>
      </c>
      <c r="K137" s="5">
        <f ca="1">'Battery Design'!K131/10</f>
        <v>35.246768152622153</v>
      </c>
      <c r="L137" s="5">
        <f ca="1">'Battery Design'!L131/10</f>
        <v>37.681829819692588</v>
      </c>
    </row>
    <row r="138" spans="1:14" x14ac:dyDescent="0.2">
      <c r="A138" s="253" t="s">
        <v>663</v>
      </c>
    </row>
    <row r="139" spans="1:14" ht="14.25" x14ac:dyDescent="0.2">
      <c r="A139" s="253" t="s">
        <v>662</v>
      </c>
      <c r="F139" s="287">
        <f t="shared" ref="F139:K139" si="84">IF(F66="EG-W",15,IF(F66="CoolA",15,25))</f>
        <v>15</v>
      </c>
      <c r="G139" s="287">
        <f t="shared" si="84"/>
        <v>15</v>
      </c>
      <c r="H139" s="287">
        <f t="shared" si="84"/>
        <v>15</v>
      </c>
      <c r="I139" s="287">
        <f t="shared" si="84"/>
        <v>15</v>
      </c>
      <c r="J139" s="287">
        <f t="shared" si="84"/>
        <v>15</v>
      </c>
      <c r="K139" s="287">
        <f t="shared" si="84"/>
        <v>15</v>
      </c>
      <c r="L139" s="287">
        <f t="shared" ref="L139" si="85">IF(L66="EG-W",15,IF(L66="CoolA",15,25))</f>
        <v>15</v>
      </c>
    </row>
    <row r="140" spans="1:14" ht="14.25" x14ac:dyDescent="0.2">
      <c r="A140" s="253" t="s">
        <v>661</v>
      </c>
      <c r="F140" s="227"/>
      <c r="G140" s="227"/>
      <c r="H140" s="227"/>
      <c r="I140" s="227"/>
      <c r="J140" s="227"/>
      <c r="K140" s="227"/>
      <c r="L140" s="227"/>
    </row>
    <row r="141" spans="1:14" ht="14.25" x14ac:dyDescent="0.2">
      <c r="A141" s="253" t="s">
        <v>664</v>
      </c>
      <c r="F141" s="288">
        <f t="shared" ref="F141:K141" si="86">IF(F140&gt;0,F140,F139)</f>
        <v>15</v>
      </c>
      <c r="G141" s="288">
        <f t="shared" si="86"/>
        <v>15</v>
      </c>
      <c r="H141" s="288">
        <f t="shared" si="86"/>
        <v>15</v>
      </c>
      <c r="I141" s="288">
        <f t="shared" si="86"/>
        <v>15</v>
      </c>
      <c r="J141" s="288">
        <f t="shared" si="86"/>
        <v>15</v>
      </c>
      <c r="K141" s="288">
        <f t="shared" si="86"/>
        <v>15</v>
      </c>
      <c r="L141" s="288">
        <f t="shared" ref="L141" si="87">IF(L140&gt;0,L140,L139)</f>
        <v>15</v>
      </c>
    </row>
    <row r="142" spans="1:14" ht="14.25" x14ac:dyDescent="0.2">
      <c r="A142" t="s">
        <v>575</v>
      </c>
      <c r="F142" s="393">
        <v>5</v>
      </c>
      <c r="G142" s="393">
        <v>5</v>
      </c>
      <c r="H142" s="393">
        <v>5</v>
      </c>
      <c r="I142" s="393">
        <v>5</v>
      </c>
      <c r="J142" s="393">
        <v>5</v>
      </c>
      <c r="K142" s="393">
        <v>5</v>
      </c>
      <c r="L142" s="393">
        <v>5</v>
      </c>
    </row>
    <row r="143" spans="1:14" x14ac:dyDescent="0.2">
      <c r="A143" s="6" t="s">
        <v>571</v>
      </c>
      <c r="E143" s="95"/>
      <c r="F143" s="247">
        <f t="shared" ref="F143:L143" ca="1" si="88">(F37+F163)/F121/F122/F142</f>
        <v>679862.25387765304</v>
      </c>
      <c r="G143" s="247">
        <f t="shared" ca="1" si="88"/>
        <v>781951.65644407063</v>
      </c>
      <c r="H143" s="247">
        <f t="shared" ca="1" si="88"/>
        <v>879199.22845985682</v>
      </c>
      <c r="I143" s="247">
        <f t="shared" ca="1" si="88"/>
        <v>961233.78855211358</v>
      </c>
      <c r="J143" s="247">
        <f t="shared" ca="1" si="88"/>
        <v>783926.63284988271</v>
      </c>
      <c r="K143" s="247">
        <f t="shared" ca="1" si="88"/>
        <v>662242.82478207175</v>
      </c>
      <c r="L143" s="247">
        <f t="shared" ca="1" si="88"/>
        <v>574801.83717300533</v>
      </c>
    </row>
    <row r="144" spans="1:14" x14ac:dyDescent="0.2">
      <c r="A144" s="6" t="s">
        <v>558</v>
      </c>
      <c r="E144" s="128"/>
      <c r="F144" s="3">
        <f ca="1">F143/F135/'Battery Design'!F67</f>
        <v>442.61865486826372</v>
      </c>
      <c r="G144" s="3">
        <f ca="1">G143/G135/'Battery Design'!G67</f>
        <v>428.70156603293344</v>
      </c>
      <c r="H144" s="3">
        <f ca="1">H143/H135/'Battery Design'!H67</f>
        <v>416.28751347531102</v>
      </c>
      <c r="I144" s="3">
        <f ca="1">I143/I135/'Battery Design'!I67</f>
        <v>417.20216517018821</v>
      </c>
      <c r="J144" s="3">
        <f ca="1">J143/J135/'Battery Design'!J67</f>
        <v>302.44083057480043</v>
      </c>
      <c r="K144" s="3">
        <f ca="1">K143/K135/'Battery Design'!K67</f>
        <v>237.87457786712346</v>
      </c>
      <c r="L144" s="3">
        <f ca="1">L143/L135/'Battery Design'!L67</f>
        <v>193.14577861996148</v>
      </c>
    </row>
    <row r="145" spans="1:12" x14ac:dyDescent="0.2">
      <c r="A145" s="6" t="s">
        <v>573</v>
      </c>
      <c r="E145" s="160"/>
      <c r="F145" s="287">
        <v>0.02</v>
      </c>
      <c r="G145" s="287">
        <v>0.02</v>
      </c>
      <c r="H145" s="287">
        <v>0.02</v>
      </c>
      <c r="I145" s="287">
        <v>0.02</v>
      </c>
      <c r="J145" s="287">
        <v>0.02</v>
      </c>
      <c r="K145" s="287">
        <v>0.02</v>
      </c>
      <c r="L145" s="287">
        <v>0.02</v>
      </c>
    </row>
    <row r="146" spans="1:12" x14ac:dyDescent="0.2">
      <c r="A146" s="6" t="s">
        <v>574</v>
      </c>
      <c r="E146" s="160"/>
      <c r="F146" s="390">
        <f>90</f>
        <v>90</v>
      </c>
      <c r="G146" s="390">
        <f>90</f>
        <v>90</v>
      </c>
      <c r="H146" s="390">
        <f>90</f>
        <v>90</v>
      </c>
      <c r="I146" s="390">
        <f>90</f>
        <v>90</v>
      </c>
      <c r="J146" s="390">
        <f>90</f>
        <v>90</v>
      </c>
      <c r="K146" s="390">
        <f>90</f>
        <v>90</v>
      </c>
      <c r="L146" s="390">
        <f>90</f>
        <v>90</v>
      </c>
    </row>
    <row r="147" spans="1:12" ht="14.25" x14ac:dyDescent="0.2">
      <c r="A147" s="6" t="s">
        <v>396</v>
      </c>
      <c r="E147" s="95"/>
      <c r="F147" s="19">
        <f t="shared" ref="F147:K147" ca="1" si="89">F144*F122/F150</f>
        <v>1.2648501131500636</v>
      </c>
      <c r="G147" s="19">
        <f t="shared" ca="1" si="89"/>
        <v>1.1503154928509147</v>
      </c>
      <c r="H147" s="19">
        <f t="shared" ca="1" si="89"/>
        <v>1.0680501363562975</v>
      </c>
      <c r="I147" s="19">
        <f t="shared" ca="1" si="89"/>
        <v>1.0121882023691859</v>
      </c>
      <c r="J147" s="19">
        <f t="shared" ca="1" si="89"/>
        <v>0.81716364433479638</v>
      </c>
      <c r="K147" s="19">
        <f t="shared" ca="1" si="89"/>
        <v>0.68639822936906092</v>
      </c>
      <c r="L147" s="19">
        <f t="shared" ref="L147" ca="1" si="90">L144*L122/L150</f>
        <v>0.59082547119342377</v>
      </c>
    </row>
    <row r="148" spans="1:12" x14ac:dyDescent="0.2">
      <c r="A148" s="253" t="s">
        <v>618</v>
      </c>
      <c r="E148" s="95"/>
      <c r="F148" s="64">
        <f t="shared" ref="F148:K148" ca="1" si="91">4*F129*F133/(2*(F129+F133))</f>
        <v>0.58230773679068726</v>
      </c>
      <c r="G148" s="64">
        <f t="shared" ca="1" si="91"/>
        <v>0.60650780890939193</v>
      </c>
      <c r="H148" s="64">
        <f t="shared" ca="1" si="91"/>
        <v>0.62694328007760902</v>
      </c>
      <c r="I148" s="64">
        <f t="shared" ca="1" si="91"/>
        <v>0.64460453241214466</v>
      </c>
      <c r="J148" s="64">
        <f t="shared" ca="1" si="91"/>
        <v>0.60568508871757321</v>
      </c>
      <c r="K148" s="64">
        <f t="shared" ca="1" si="91"/>
        <v>0.5765463258728506</v>
      </c>
      <c r="L148" s="64">
        <f t="shared" ref="L148" ca="1" si="92">4*L129*L133/(2*(L129+L133))</f>
        <v>0.55277332501070942</v>
      </c>
    </row>
    <row r="149" spans="1:12" x14ac:dyDescent="0.2">
      <c r="A149" s="6" t="s">
        <v>557</v>
      </c>
      <c r="E149" s="95"/>
      <c r="F149" s="64">
        <f t="shared" ref="F149:K149" ca="1" si="93">F114/F135</f>
        <v>1.7358255993939611</v>
      </c>
      <c r="G149" s="64">
        <f t="shared" ca="1" si="93"/>
        <v>1.6812466999266753</v>
      </c>
      <c r="H149" s="64">
        <f t="shared" ca="1" si="93"/>
        <v>1.6325622850608281</v>
      </c>
      <c r="I149" s="64">
        <f t="shared" ca="1" si="93"/>
        <v>1.6361492911870685</v>
      </c>
      <c r="J149" s="64">
        <f t="shared" ca="1" si="93"/>
        <v>1.1860876857366218</v>
      </c>
      <c r="K149" s="64">
        <f t="shared" ca="1" si="93"/>
        <v>0.93287704250042613</v>
      </c>
      <c r="L149" s="64">
        <f t="shared" ref="L149" ca="1" si="94">L114/L135</f>
        <v>0.75746329997096529</v>
      </c>
    </row>
    <row r="150" spans="1:12" ht="14.25" x14ac:dyDescent="0.2">
      <c r="A150" s="6" t="s">
        <v>556</v>
      </c>
      <c r="E150" s="248"/>
      <c r="F150" s="19">
        <f t="shared" ref="F150:K150" ca="1" si="95">F133*F129</f>
        <v>0.41444640465990851</v>
      </c>
      <c r="G150" s="19">
        <f t="shared" ca="1" si="95"/>
        <v>0.4413832288225526</v>
      </c>
      <c r="H150" s="19">
        <f t="shared" ca="1" si="95"/>
        <v>0.46161453064775071</v>
      </c>
      <c r="I150" s="19">
        <f t="shared" ca="1" si="95"/>
        <v>0.48816092022109114</v>
      </c>
      <c r="J150" s="19">
        <f t="shared" ca="1" si="95"/>
        <v>0.43833799002258306</v>
      </c>
      <c r="K150" s="19">
        <f t="shared" ca="1" si="95"/>
        <v>0.41043992771644749</v>
      </c>
      <c r="L150" s="19">
        <f t="shared" ref="L150" ca="1" si="96">L133*L129</f>
        <v>0.38717181738984968</v>
      </c>
    </row>
    <row r="151" spans="1:12" ht="15.75" x14ac:dyDescent="0.3">
      <c r="A151" s="253" t="s">
        <v>677</v>
      </c>
      <c r="E151" s="126"/>
      <c r="F151" s="3">
        <f t="shared" ref="F151:K151" ca="1" si="97">F144/F150</f>
        <v>1067.9756173333753</v>
      </c>
      <c r="G151" s="3">
        <f t="shared" ca="1" si="97"/>
        <v>971.26836281602914</v>
      </c>
      <c r="H151" s="3">
        <f t="shared" ca="1" si="97"/>
        <v>901.80764650359788</v>
      </c>
      <c r="I151" s="3">
        <f t="shared" ca="1" si="97"/>
        <v>854.64064796754872</v>
      </c>
      <c r="J151" s="3">
        <f t="shared" ca="1" si="97"/>
        <v>689.97175115763696</v>
      </c>
      <c r="K151" s="3">
        <f t="shared" ca="1" si="97"/>
        <v>579.56003254990139</v>
      </c>
      <c r="L151" s="3">
        <f t="shared" ref="L151" ca="1" si="98">L144/L150</f>
        <v>498.86321768477228</v>
      </c>
    </row>
    <row r="152" spans="1:12" x14ac:dyDescent="0.2">
      <c r="A152" s="6" t="s">
        <v>568</v>
      </c>
      <c r="E152" s="128"/>
      <c r="F152" s="19">
        <f t="shared" ref="F152:K152" ca="1" si="99">F125</f>
        <v>6.6145841491509669</v>
      </c>
      <c r="G152" s="19">
        <f t="shared" ca="1" si="99"/>
        <v>7.8902781565144622</v>
      </c>
      <c r="H152" s="19">
        <f t="shared" ca="1" si="99"/>
        <v>9.0803241587036645</v>
      </c>
      <c r="I152" s="19">
        <f t="shared" ca="1" si="99"/>
        <v>10.12889170130377</v>
      </c>
      <c r="J152" s="19">
        <f t="shared" ca="1" si="99"/>
        <v>11.076976040423185</v>
      </c>
      <c r="K152" s="19">
        <f t="shared" ca="1" si="99"/>
        <v>11.948922717540716</v>
      </c>
      <c r="L152" s="19">
        <f t="shared" ref="L152" ca="1" si="100">L125</f>
        <v>12.760609939897529</v>
      </c>
    </row>
    <row r="153" spans="1:12" x14ac:dyDescent="0.2">
      <c r="A153" s="6" t="s">
        <v>388</v>
      </c>
      <c r="E153" s="128"/>
      <c r="F153" s="3">
        <f t="shared" ref="F153:K153" ca="1" si="101">F148*F151*F122/F123</f>
        <v>40.918444820378554</v>
      </c>
      <c r="G153" s="3">
        <f t="shared" ca="1" si="101"/>
        <v>38.759740506850093</v>
      </c>
      <c r="H153" s="3">
        <f t="shared" ca="1" si="101"/>
        <v>37.200380876362146</v>
      </c>
      <c r="I153" s="3">
        <f t="shared" ca="1" si="101"/>
        <v>36.247839050073509</v>
      </c>
      <c r="J153" s="3">
        <f t="shared" ca="1" si="101"/>
        <v>27.496879689760991</v>
      </c>
      <c r="K153" s="3">
        <f t="shared" ca="1" si="101"/>
        <v>21.985576512686773</v>
      </c>
      <c r="L153" s="3">
        <f t="shared" ref="L153" ca="1" si="102">L148*L151*L122/L123</f>
        <v>18.144031122923103</v>
      </c>
    </row>
    <row r="154" spans="1:12" x14ac:dyDescent="0.2">
      <c r="A154" s="253" t="s">
        <v>637</v>
      </c>
      <c r="E154" s="160"/>
      <c r="F154" s="196">
        <f t="shared" ref="F154:K154" ca="1" si="103">48*F123*F147*F152/(F122*F148^2)/1000000</f>
        <v>1.7999999999928625E-2</v>
      </c>
      <c r="G154" s="196">
        <f t="shared" ca="1" si="103"/>
        <v>1.7999999999981111E-2</v>
      </c>
      <c r="H154" s="196">
        <f t="shared" ca="1" si="103"/>
        <v>1.7999999999998396E-2</v>
      </c>
      <c r="I154" s="196">
        <f t="shared" ca="1" si="103"/>
        <v>1.7999999999994371E-2</v>
      </c>
      <c r="J154" s="196">
        <f t="shared" ca="1" si="103"/>
        <v>1.799999999999996E-2</v>
      </c>
      <c r="K154" s="196">
        <f t="shared" ca="1" si="103"/>
        <v>1.7999999999999811E-2</v>
      </c>
      <c r="L154" s="196">
        <f t="shared" ref="L154" ca="1" si="104">48*L123*L147*L152/(L122*L148^2)/1000000</f>
        <v>1.8000000000000037E-2</v>
      </c>
    </row>
    <row r="155" spans="1:12" x14ac:dyDescent="0.2">
      <c r="A155" s="6" t="s">
        <v>562</v>
      </c>
      <c r="E155" s="160"/>
      <c r="F155" s="249">
        <f t="shared" ref="F155:K155" si="105">F145*(100-F146)/100</f>
        <v>2E-3</v>
      </c>
      <c r="G155" s="249">
        <f t="shared" si="105"/>
        <v>2E-3</v>
      </c>
      <c r="H155" s="249">
        <f t="shared" si="105"/>
        <v>2E-3</v>
      </c>
      <c r="I155" s="249">
        <f t="shared" si="105"/>
        <v>2E-3</v>
      </c>
      <c r="J155" s="249">
        <f t="shared" si="105"/>
        <v>2E-3</v>
      </c>
      <c r="K155" s="249">
        <f t="shared" si="105"/>
        <v>2E-3</v>
      </c>
      <c r="L155" s="249">
        <f t="shared" ref="L155" si="106">L145*(100-L146)/100</f>
        <v>2E-3</v>
      </c>
    </row>
    <row r="156" spans="1:12" ht="14.25" x14ac:dyDescent="0.2">
      <c r="A156" s="6" t="s">
        <v>563</v>
      </c>
      <c r="E156" s="160"/>
      <c r="F156" s="248">
        <f t="shared" ref="F156:K156" ca="1" si="107">F143*F122/F159/F160</f>
        <v>1.3005548148987727</v>
      </c>
      <c r="G156" s="248">
        <f t="shared" ca="1" si="107"/>
        <v>1.3882647988371761</v>
      </c>
      <c r="H156" s="248">
        <f t="shared" ca="1" si="107"/>
        <v>1.4697971488283041</v>
      </c>
      <c r="I156" s="248">
        <f t="shared" ca="1" si="107"/>
        <v>1.5349306649979542</v>
      </c>
      <c r="J156" s="248">
        <f t="shared" ca="1" si="107"/>
        <v>1.3741316345653787</v>
      </c>
      <c r="K156" s="248">
        <f t="shared" ca="1" si="107"/>
        <v>1.2523135682421576</v>
      </c>
      <c r="L156" s="248">
        <f t="shared" ref="L156" ca="1" si="108">L143*L122/L159/L160</f>
        <v>1.1576656727819306</v>
      </c>
    </row>
    <row r="157" spans="1:12" ht="15.75" x14ac:dyDescent="0.3">
      <c r="A157" s="253" t="s">
        <v>678</v>
      </c>
      <c r="E157" s="160"/>
      <c r="F157" s="128">
        <f t="shared" ref="F157:K157" ca="1" si="109">F156/F122</f>
        <v>1098.1228660052243</v>
      </c>
      <c r="G157" s="128">
        <f t="shared" ca="1" si="109"/>
        <v>1172.1807510219419</v>
      </c>
      <c r="H157" s="128">
        <f t="shared" ca="1" si="109"/>
        <v>1241.0225536270609</v>
      </c>
      <c r="I157" s="128">
        <f t="shared" ca="1" si="109"/>
        <v>1296.018008359033</v>
      </c>
      <c r="J157" s="128">
        <f t="shared" ca="1" si="109"/>
        <v>1160.2474202018359</v>
      </c>
      <c r="K157" s="128">
        <f t="shared" ca="1" si="109"/>
        <v>1057.3903913479755</v>
      </c>
      <c r="L157" s="128">
        <f t="shared" ref="L157" ca="1" si="110">L156/L122</f>
        <v>977.47448389563408</v>
      </c>
    </row>
    <row r="158" spans="1:12" x14ac:dyDescent="0.2">
      <c r="A158" s="253" t="s">
        <v>679</v>
      </c>
      <c r="E158" s="160"/>
      <c r="F158" s="290">
        <f t="shared" ref="F158:K158" ca="1" si="111">2*(F157^2-F151^2)/2*F122/1000000</f>
        <v>7.7339900309820808E-5</v>
      </c>
      <c r="G158" s="290">
        <f t="shared" ca="1" si="111"/>
        <v>5.1003222905543944E-4</v>
      </c>
      <c r="H158" s="290">
        <f t="shared" ca="1" si="111"/>
        <v>8.6087563113740784E-4</v>
      </c>
      <c r="I158" s="290">
        <f t="shared" ca="1" si="111"/>
        <v>1.1242406022818861E-3</v>
      </c>
      <c r="J158" s="290">
        <f t="shared" ca="1" si="111"/>
        <v>1.0305128533581753E-3</v>
      </c>
      <c r="K158" s="290">
        <f t="shared" ca="1" si="111"/>
        <v>9.2637535385862752E-4</v>
      </c>
      <c r="L158" s="290">
        <f t="shared" ref="L158" ca="1" si="112">2*(L157^2-L151^2)/2*L122/1000000</f>
        <v>8.3684756037652951E-4</v>
      </c>
    </row>
    <row r="159" spans="1:12" x14ac:dyDescent="0.2">
      <c r="A159" s="6" t="s">
        <v>564</v>
      </c>
      <c r="E159" s="160"/>
      <c r="F159" s="126">
        <f ca="1">'Battery Design'!F61*'Battery Design'!F138/10</f>
        <v>84.644642968100683</v>
      </c>
      <c r="G159" s="126">
        <f ca="1">'Battery Design'!G61*'Battery Design'!G138/10</f>
        <v>85.168048424957163</v>
      </c>
      <c r="H159" s="126">
        <f ca="1">'Battery Design'!H61*'Battery Design'!H138/10</f>
        <v>85.16797420590774</v>
      </c>
      <c r="I159" s="126">
        <f ca="1">'Battery Design'!I61*'Battery Design'!I138/10</f>
        <v>85.16797420590774</v>
      </c>
      <c r="J159" s="126">
        <f ca="1">'Battery Design'!J61*'Battery Design'!J138/10</f>
        <v>85.16797420590774</v>
      </c>
      <c r="K159" s="126">
        <f ca="1">'Battery Design'!K61*'Battery Design'!K138/10</f>
        <v>85.168033199945754</v>
      </c>
      <c r="L159" s="126">
        <f ca="1">'Battery Design'!L61*'Battery Design'!L138/10</f>
        <v>85.16797420590774</v>
      </c>
    </row>
    <row r="160" spans="1:12" x14ac:dyDescent="0.2">
      <c r="A160" s="6" t="s">
        <v>570</v>
      </c>
      <c r="E160" s="160"/>
      <c r="F160" s="95">
        <f ca="1">IF('Battery Design'!F209=0,10,(48/1.8^2/1000000*F123*F143*F161/F159/F155)^(1/3))</f>
        <v>7.3142620752302143</v>
      </c>
      <c r="G160" s="95">
        <f ca="1">IF('Battery Design'!G209=0,10,(48/1.8^2/1000000*G123*G143*G161/G159/G155)^(1/3))</f>
        <v>7.8326482368602033</v>
      </c>
      <c r="H160" s="95">
        <f ca="1">IF('Battery Design'!H209=0,10,(48/1.8^2/1000000*H123*H143*H161/H159/H155)^(1/3))</f>
        <v>8.3182373229230127</v>
      </c>
      <c r="I160" s="95">
        <f ca="1">IF('Battery Design'!I209=0,10,(48/1.8^2/1000000*I123*I143*I161/I159/I155)^(1/3))</f>
        <v>8.7084662875569698</v>
      </c>
      <c r="J160" s="95">
        <f ca="1">IF('Battery Design'!J209=0,10,(48/1.8^2/1000000*J123*J143*J161/J159/J155)^(1/3))</f>
        <v>7.9332015950213997</v>
      </c>
      <c r="K160" s="95">
        <f ca="1">IF('Battery Design'!K209=0,10,(48/1.8^2/1000000*K123*K143*K161/K159/K155)^(1/3))</f>
        <v>7.3536894224137068</v>
      </c>
      <c r="L160" s="95">
        <f ca="1">IF('Battery Design'!L209=0,10,(48/1.8^2/1000000*L123*L143*L161/L159/L155)^(1/3))</f>
        <v>6.9045662474594138</v>
      </c>
    </row>
    <row r="161" spans="1:15" x14ac:dyDescent="0.2">
      <c r="A161" s="253" t="s">
        <v>601</v>
      </c>
      <c r="E161" s="160"/>
      <c r="F161" s="128">
        <f ca="1">'Battery Design'!F155/10+2*'Battery Design'!F157/10+45*F160</f>
        <v>365.38554583281251</v>
      </c>
      <c r="G161" s="128">
        <f ca="1">'Battery Design'!G155/10+2*'Battery Design'!G157/10+45*G160</f>
        <v>392.54000512825257</v>
      </c>
      <c r="H161" s="128">
        <f ca="1">'Battery Design'!H155/10+2*'Battery Design'!H157/10+45*H160</f>
        <v>418.16165200764658</v>
      </c>
      <c r="I161" s="128">
        <f ca="1">'Battery Design'!I155/10+2*'Battery Design'!I157/10+45*I160</f>
        <v>438.86765804397493</v>
      </c>
      <c r="J161" s="128">
        <f ca="1">'Battery Design'!J155/10+2*'Battery Design'!J157/10+45*J160</f>
        <v>406.82499989723254</v>
      </c>
      <c r="K161" s="128">
        <f ca="1">'Battery Design'!K155/10+2*'Battery Design'!K157/10+45*K160</f>
        <v>383.56279216123897</v>
      </c>
      <c r="L161" s="128">
        <f ca="1">'Battery Design'!L155/10+2*'Battery Design'!L157/10+45*L160</f>
        <v>365.78731095536619</v>
      </c>
    </row>
    <row r="162" spans="1:15" x14ac:dyDescent="0.2">
      <c r="A162" s="6" t="s">
        <v>572</v>
      </c>
      <c r="E162" s="160"/>
      <c r="F162" s="126">
        <f t="shared" ref="F162:K162" ca="1" si="113">1.8*F143/(F159*F160)*F122/F123</f>
        <v>130.05548149018787</v>
      </c>
      <c r="G162" s="126">
        <f t="shared" ca="1" si="113"/>
        <v>138.82647988380151</v>
      </c>
      <c r="H162" s="126">
        <f t="shared" ca="1" si="113"/>
        <v>146.97971488284253</v>
      </c>
      <c r="I162" s="126">
        <f t="shared" ca="1" si="113"/>
        <v>153.49306649979923</v>
      </c>
      <c r="J162" s="126">
        <f t="shared" ca="1" si="113"/>
        <v>137.41316345653786</v>
      </c>
      <c r="K162" s="126">
        <f t="shared" ca="1" si="113"/>
        <v>125.23135682421578</v>
      </c>
      <c r="L162" s="126">
        <f t="shared" ref="L162" ca="1" si="114">1.8*L143/(L159*L160)*L122/L123</f>
        <v>115.76656727819305</v>
      </c>
    </row>
    <row r="163" spans="1:15" x14ac:dyDescent="0.2">
      <c r="A163" s="253" t="s">
        <v>634</v>
      </c>
      <c r="F163" s="5">
        <f ca="1">IF('Battery Design'!F209=0,50,F145/10*F143)</f>
        <v>1359.7245077553061</v>
      </c>
      <c r="G163" s="5">
        <f ca="1">IF('Battery Design'!G209=0,50,G145/10*G143)</f>
        <v>1563.9033128881413</v>
      </c>
      <c r="H163" s="5">
        <f ca="1">IF('Battery Design'!H209=0,50,H145/10*H143)</f>
        <v>1758.3984569197137</v>
      </c>
      <c r="I163" s="5">
        <f ca="1">IF('Battery Design'!I209=0,50,I145/10*I143)</f>
        <v>1922.4675771042273</v>
      </c>
      <c r="J163" s="5">
        <f ca="1">IF('Battery Design'!J209=0,50,J145/10*J143)</f>
        <v>1567.8532656997654</v>
      </c>
      <c r="K163" s="5">
        <f ca="1">IF('Battery Design'!K209=0,50,K145/10*K143)</f>
        <v>1324.4856495641436</v>
      </c>
      <c r="L163" s="5">
        <f ca="1">IF('Battery Design'!L209=0,50,L145/10*L143)</f>
        <v>1149.6036743460106</v>
      </c>
    </row>
    <row r="164" spans="1:15" x14ac:dyDescent="0.2">
      <c r="A164" s="6" t="s">
        <v>583</v>
      </c>
      <c r="E164" s="128"/>
      <c r="F164" s="250">
        <v>50</v>
      </c>
      <c r="G164" s="250">
        <v>50</v>
      </c>
      <c r="H164" s="250">
        <v>50</v>
      </c>
      <c r="I164" s="250">
        <v>50</v>
      </c>
      <c r="J164" s="250">
        <v>50</v>
      </c>
      <c r="K164" s="250">
        <v>50</v>
      </c>
      <c r="L164" s="250">
        <v>50</v>
      </c>
    </row>
    <row r="165" spans="1:15" x14ac:dyDescent="0.2">
      <c r="A165" s="6" t="s">
        <v>584</v>
      </c>
      <c r="E165" s="3"/>
      <c r="F165" s="3">
        <f t="shared" ref="F165:K165" ca="1" si="115">F163/F164*100</f>
        <v>2719.4490155106123</v>
      </c>
      <c r="G165" s="3">
        <f t="shared" ca="1" si="115"/>
        <v>3127.8066257762825</v>
      </c>
      <c r="H165" s="3">
        <f t="shared" ca="1" si="115"/>
        <v>3516.7969138394278</v>
      </c>
      <c r="I165" s="3">
        <f t="shared" ca="1" si="115"/>
        <v>3844.9351542084542</v>
      </c>
      <c r="J165" s="3">
        <f t="shared" ca="1" si="115"/>
        <v>3135.7065313995308</v>
      </c>
      <c r="K165" s="3">
        <f t="shared" ca="1" si="115"/>
        <v>2648.9712991282872</v>
      </c>
      <c r="L165" s="3">
        <f t="shared" ref="L165" ca="1" si="116">L163/L164*100</f>
        <v>2299.2073486920212</v>
      </c>
    </row>
    <row r="166" spans="1:15" x14ac:dyDescent="0.2">
      <c r="A166" s="253" t="s">
        <v>666</v>
      </c>
      <c r="E166" s="3"/>
      <c r="F166" s="3">
        <f ca="1">IF(F66="CA",0,F37/IF('Battery Design'!F185="Refrig 1",Thermal!$H$195,IF('Battery Design'!F185="Refrig 2",Thermal!$H$196,IF('Battery Design'!F185="Refrig 3",Thermal!$H$197,IF('Battery Design'!F185="Refrig 4",Thermal!$H$198)))))</f>
        <v>1066.4912482676496</v>
      </c>
      <c r="G166" s="3">
        <f ca="1">IF(G66="CA",0,G37/IF('Battery Design'!G185="Refrig 1",Thermal!$H$195,IF('Battery Design'!G185="Refrig 2",Thermal!$H$196,IF('Battery Design'!G185="Refrig 3",Thermal!$H$197,IF('Battery Design'!G185="Refrig 4",Thermal!$H$198)))))</f>
        <v>1226.6375922665025</v>
      </c>
      <c r="H166" s="3">
        <f ca="1">IF(H66="CA",0,H37/IF('Battery Design'!H185="Refrig 1",Thermal!$H$195,IF('Battery Design'!H185="Refrig 2",Thermal!$H$196,IF('Battery Design'!H185="Refrig 3",Thermal!$H$197,IF('Battery Design'!H185="Refrig 4",Thermal!$H$198)))))</f>
        <v>1379.1886184193877</v>
      </c>
      <c r="I166" s="3">
        <f ca="1">IF(I66="CA",0,I37/IF('Battery Design'!I185="Refrig 1",Thermal!$H$195,IF('Battery Design'!I185="Refrig 2",Thermal!$H$196,IF('Battery Design'!I185="Refrig 3",Thermal!$H$197,IF('Battery Design'!I185="Refrig 4",Thermal!$H$198)))))</f>
        <v>1507.8751867580022</v>
      </c>
      <c r="J166" s="3">
        <f ca="1">IF(J66="CA",0,J37/IF('Battery Design'!J185="Refrig 1",Thermal!$H$195,IF('Battery Design'!J185="Refrig 2",Thermal!$H$196,IF('Battery Design'!J185="Refrig 3",Thermal!$H$197,IF('Battery Design'!J185="Refrig 4",Thermal!$H$198)))))</f>
        <v>1229.7357125717294</v>
      </c>
      <c r="K166" s="3">
        <f ca="1">IF(K66="CA",0,K37/IF('Battery Design'!K185="Refrig 1",Thermal!$H$195,IF('Battery Design'!K185="Refrig 2",Thermal!$H$196,IF('Battery Design'!K185="Refrig 3",Thermal!$H$197,IF('Battery Design'!K185="Refrig 4",Thermal!$H$198)))))</f>
        <v>1038.8518745284746</v>
      </c>
      <c r="L166" s="3">
        <f ca="1">IF(L66="CA",0,L37/IF('Battery Design'!L185="Refrig 1",Thermal!$H$195,IF('Battery Design'!L185="Refrig 2",Thermal!$H$196,IF('Battery Design'!L185="Refrig 3",Thermal!$H$197,IF('Battery Design'!L185="Refrig 4",Thermal!$H$198)))))</f>
        <v>901.68431228543704</v>
      </c>
    </row>
    <row r="167" spans="1:15" ht="15" x14ac:dyDescent="0.25">
      <c r="A167" s="259" t="s">
        <v>585</v>
      </c>
      <c r="E167" s="196"/>
      <c r="F167" s="252" t="str">
        <f t="shared" ref="F167:K167" si="117">IF(F66="CA"," ","NA")</f>
        <v>NA</v>
      </c>
      <c r="G167" s="252" t="str">
        <f t="shared" si="117"/>
        <v>NA</v>
      </c>
      <c r="H167" s="252" t="str">
        <f t="shared" si="117"/>
        <v>NA</v>
      </c>
      <c r="I167" s="252" t="str">
        <f t="shared" si="117"/>
        <v>NA</v>
      </c>
      <c r="J167" s="252" t="str">
        <f t="shared" si="117"/>
        <v>NA</v>
      </c>
      <c r="K167" s="252" t="str">
        <f t="shared" si="117"/>
        <v>NA</v>
      </c>
      <c r="L167" s="252" t="str">
        <f t="shared" ref="L167" si="118">IF(L66="CA"," ","NA")</f>
        <v>NA</v>
      </c>
    </row>
    <row r="168" spans="1:15" x14ac:dyDescent="0.2">
      <c r="A168" s="6" t="s">
        <v>390</v>
      </c>
      <c r="E168" s="3"/>
      <c r="F168" s="3">
        <f t="shared" ref="F168:K168" ca="1" si="119">2*F144*F122*F121*F148/(F124*F152*F150/F129)</f>
        <v>349.66142490191089</v>
      </c>
      <c r="G168" s="3">
        <f t="shared" ca="1" si="119"/>
        <v>292.95611222214382</v>
      </c>
      <c r="H168" s="3">
        <f t="shared" ca="1" si="119"/>
        <v>256.70579060571339</v>
      </c>
      <c r="I168" s="3">
        <f t="shared" ca="1" si="119"/>
        <v>230.49035489558028</v>
      </c>
      <c r="J168" s="3">
        <f t="shared" ca="1" si="119"/>
        <v>148.29404918480773</v>
      </c>
      <c r="K168" s="3">
        <f t="shared" ca="1" si="119"/>
        <v>102.28418808668519</v>
      </c>
      <c r="L168" s="3">
        <f t="shared" ref="L168" ca="1" si="120">2*L144*L122*L121*L148/(L124*L152*L150/L129)</f>
        <v>74.584172471652309</v>
      </c>
    </row>
    <row r="169" spans="1:15" x14ac:dyDescent="0.2">
      <c r="A169" s="6" t="s">
        <v>391</v>
      </c>
      <c r="E169" s="19"/>
      <c r="F169" s="19">
        <f t="shared" ref="F169:K169" ca="1" si="121">(8.235^3.592+(2.255*F168^(1/3))^3.592)^(1/3.592)</f>
        <v>16.290540144308679</v>
      </c>
      <c r="G169" s="19">
        <f t="shared" ca="1" si="121"/>
        <v>15.443889049086092</v>
      </c>
      <c r="H169" s="19">
        <f t="shared" ca="1" si="121"/>
        <v>14.851826463304018</v>
      </c>
      <c r="I169" s="19">
        <f t="shared" ca="1" si="121"/>
        <v>14.393633707183687</v>
      </c>
      <c r="J169" s="19">
        <f t="shared" ca="1" si="121"/>
        <v>12.739298780294176</v>
      </c>
      <c r="K169" s="19">
        <f t="shared" ca="1" si="121"/>
        <v>11.60741584425792</v>
      </c>
      <c r="L169" s="19">
        <f t="shared" ref="L169" ca="1" si="122">(8.235^3.592+(2.255*L168^(1/3))^3.592)^(1/3.592)</f>
        <v>10.819623772781162</v>
      </c>
    </row>
    <row r="170" spans="1:15" ht="14.25" x14ac:dyDescent="0.2">
      <c r="A170" s="6" t="s">
        <v>392</v>
      </c>
      <c r="E170" s="197"/>
      <c r="F170" s="197">
        <f t="shared" ref="F170:K170" ca="1" si="123">F169*F124/F148</f>
        <v>7.2737148588543268E-3</v>
      </c>
      <c r="G170" s="197">
        <f t="shared" ca="1" si="123"/>
        <v>6.6205432045183411E-3</v>
      </c>
      <c r="H170" s="197">
        <f t="shared" ca="1" si="123"/>
        <v>6.1592092987758544E-3</v>
      </c>
      <c r="I170" s="197">
        <f t="shared" ca="1" si="123"/>
        <v>5.8056445086783742E-3</v>
      </c>
      <c r="J170" s="197">
        <f t="shared" ca="1" si="123"/>
        <v>5.4685475085567937E-3</v>
      </c>
      <c r="K170" s="197">
        <f t="shared" ca="1" si="123"/>
        <v>5.2344937155537809E-3</v>
      </c>
      <c r="L170" s="197">
        <f t="shared" ref="L170" ca="1" si="124">L169*L124/L148</f>
        <v>5.0890700647839701E-3</v>
      </c>
    </row>
    <row r="171" spans="1:15" ht="14.25" x14ac:dyDescent="0.2">
      <c r="A171" s="6" t="s">
        <v>579</v>
      </c>
      <c r="E171" s="3"/>
      <c r="F171" s="3">
        <f t="shared" ref="F171:K171" ca="1" si="125">2*F152*F133</f>
        <v>13.430708432706775</v>
      </c>
      <c r="G171" s="3">
        <f t="shared" ca="1" si="125"/>
        <v>16.171610516226004</v>
      </c>
      <c r="H171" s="3">
        <f t="shared" ca="1" si="125"/>
        <v>18.524664047239515</v>
      </c>
      <c r="I171" s="3">
        <f t="shared" ca="1" si="125"/>
        <v>21.259425370286795</v>
      </c>
      <c r="J171" s="3">
        <f t="shared" ca="1" si="125"/>
        <v>22.507535819694326</v>
      </c>
      <c r="K171" s="3">
        <f t="shared" ca="1" si="125"/>
        <v>24.430823550381337</v>
      </c>
      <c r="L171" s="3">
        <f t="shared" ref="L171" ca="1" si="126">2*L152*L133</f>
        <v>26.082546613632982</v>
      </c>
    </row>
    <row r="172" spans="1:15" ht="14.25" x14ac:dyDescent="0.2">
      <c r="A172" s="6" t="s">
        <v>514</v>
      </c>
      <c r="E172" s="19"/>
      <c r="F172" s="19">
        <f t="shared" ref="F172:K172" ca="1" si="127">F149/F170/F171</f>
        <v>17.768505284591551</v>
      </c>
      <c r="G172" s="19">
        <f t="shared" ca="1" si="127"/>
        <v>15.703069317542907</v>
      </c>
      <c r="H172" s="19">
        <f t="shared" ca="1" si="127"/>
        <v>14.308511485352561</v>
      </c>
      <c r="I172" s="19">
        <f t="shared" ca="1" si="127"/>
        <v>13.25625859164802</v>
      </c>
      <c r="J172" s="19">
        <f t="shared" ca="1" si="127"/>
        <v>9.6364452339187316</v>
      </c>
      <c r="K172" s="19">
        <f t="shared" ca="1" si="127"/>
        <v>7.2947702069576419</v>
      </c>
      <c r="L172" s="19">
        <f t="shared" ref="L172" ca="1" si="128">L149/L170/L171</f>
        <v>5.706544039485526</v>
      </c>
    </row>
    <row r="173" spans="1:15" ht="14.25" x14ac:dyDescent="0.2">
      <c r="A173" s="4" t="s">
        <v>576</v>
      </c>
      <c r="E173" s="19"/>
      <c r="F173" s="5">
        <f t="shared" ref="F173:K173" ca="1" si="129">F141+F142+F118+F172</f>
        <v>42.837963357322565</v>
      </c>
      <c r="G173" s="5">
        <f t="shared" ca="1" si="129"/>
        <v>39.594735475810815</v>
      </c>
      <c r="H173" s="5">
        <f t="shared" ca="1" si="129"/>
        <v>37.601170542126447</v>
      </c>
      <c r="I173" s="5">
        <f t="shared" ca="1" si="129"/>
        <v>36.142654923481906</v>
      </c>
      <c r="J173" s="5">
        <f t="shared" ca="1" si="129"/>
        <v>31.601323586399793</v>
      </c>
      <c r="K173" s="5">
        <f t="shared" ca="1" si="129"/>
        <v>28.719329126536365</v>
      </c>
      <c r="L173" s="5">
        <f t="shared" ref="L173" ca="1" si="130">L141+L142+L118+L172</f>
        <v>26.78953697014764</v>
      </c>
    </row>
    <row r="174" spans="1:15" ht="15.75" x14ac:dyDescent="0.25">
      <c r="A174" s="17" t="s">
        <v>453</v>
      </c>
      <c r="M174" s="166"/>
      <c r="N174" s="166"/>
      <c r="O174" s="166"/>
    </row>
    <row r="175" spans="1:15" x14ac:dyDescent="0.2">
      <c r="A175" s="72" t="s">
        <v>455</v>
      </c>
      <c r="F175" s="3"/>
      <c r="G175" s="3"/>
      <c r="H175" s="3"/>
      <c r="I175" s="3"/>
      <c r="J175" s="3"/>
      <c r="K175" s="3"/>
      <c r="L175" s="3"/>
    </row>
    <row r="176" spans="1:15" ht="14.25" x14ac:dyDescent="0.2">
      <c r="A176" s="6" t="s">
        <v>456</v>
      </c>
      <c r="F176" s="386">
        <v>50</v>
      </c>
      <c r="G176" s="386">
        <v>50</v>
      </c>
      <c r="H176" s="386">
        <v>50</v>
      </c>
      <c r="I176" s="386">
        <v>50</v>
      </c>
      <c r="J176" s="386">
        <v>50</v>
      </c>
      <c r="K176" s="386">
        <v>50</v>
      </c>
      <c r="L176" s="386">
        <v>50</v>
      </c>
    </row>
    <row r="177" spans="1:17" ht="14.25" x14ac:dyDescent="0.2">
      <c r="A177" s="6" t="s">
        <v>452</v>
      </c>
      <c r="F177" s="386">
        <v>25</v>
      </c>
      <c r="G177" s="386">
        <v>25</v>
      </c>
      <c r="H177" s="386">
        <v>25</v>
      </c>
      <c r="I177" s="386">
        <v>25</v>
      </c>
      <c r="J177" s="386">
        <v>25</v>
      </c>
      <c r="K177" s="386">
        <v>25</v>
      </c>
      <c r="L177" s="386">
        <v>25</v>
      </c>
    </row>
    <row r="178" spans="1:17" x14ac:dyDescent="0.2">
      <c r="A178" s="6" t="s">
        <v>434</v>
      </c>
      <c r="F178" s="2">
        <f>'Battery Design'!F70/10</f>
        <v>1</v>
      </c>
      <c r="G178" s="257">
        <f>'Battery Design'!G70/10</f>
        <v>1</v>
      </c>
      <c r="H178" s="257">
        <f>'Battery Design'!H70/10</f>
        <v>1</v>
      </c>
      <c r="I178" s="257">
        <f>'Battery Design'!I70/10</f>
        <v>1</v>
      </c>
      <c r="J178" s="257">
        <f>'Battery Design'!J70/10</f>
        <v>1</v>
      </c>
      <c r="K178" s="257">
        <f>'Battery Design'!K70/10</f>
        <v>1</v>
      </c>
      <c r="L178" s="257">
        <f>'Battery Design'!L70/10</f>
        <v>1</v>
      </c>
    </row>
    <row r="179" spans="1:17" ht="14.25" x14ac:dyDescent="0.2">
      <c r="A179" s="6" t="s">
        <v>435</v>
      </c>
      <c r="F179" s="128">
        <f ca="1">(2*('Battery Design'!F154-'Battery Design'!F71)*('Battery Design'!F155-'Battery Design'!F71)+2*('Battery Design'!F154-'Battery Design'!F71)*('Battery Design'!F156-'Battery Design'!F71)+2*('Battery Design'!F155-'Battery Design'!F71)*('Battery Design'!F156-'Battery Design'!F71))/100</f>
        <v>6481.0631864676225</v>
      </c>
      <c r="G179" s="128">
        <f ca="1">(2*('Battery Design'!G154-'Battery Design'!G71)*('Battery Design'!G155-'Battery Design'!G71)+2*('Battery Design'!G154-'Battery Design'!G71)*('Battery Design'!G156-'Battery Design'!G71)+2*('Battery Design'!G155-'Battery Design'!G71)*('Battery Design'!G156-'Battery Design'!G71))/100</f>
        <v>7555.779797311</v>
      </c>
      <c r="H179" s="128">
        <f ca="1">(2*('Battery Design'!H154-'Battery Design'!H71)*('Battery Design'!H155-'Battery Design'!H71)+2*('Battery Design'!H154-'Battery Design'!H71)*('Battery Design'!H156-'Battery Design'!H71)+2*('Battery Design'!H155-'Battery Design'!H71)*('Battery Design'!H156-'Battery Design'!H71))/100</f>
        <v>8594.9480519768131</v>
      </c>
      <c r="I179" s="128">
        <f ca="1">(2*('Battery Design'!I154-'Battery Design'!I71)*('Battery Design'!I155-'Battery Design'!I71)+2*('Battery Design'!I154-'Battery Design'!I71)*('Battery Design'!I156-'Battery Design'!I71)+2*('Battery Design'!I155-'Battery Design'!I71)*('Battery Design'!I156-'Battery Design'!I71))/100</f>
        <v>9479.4380896676157</v>
      </c>
      <c r="J179" s="128">
        <f ca="1">(2*('Battery Design'!J154-'Battery Design'!J71)*('Battery Design'!J155-'Battery Design'!J71)+2*('Battery Design'!J154-'Battery Design'!J71)*('Battery Design'!J156-'Battery Design'!J71)+2*('Battery Design'!J155-'Battery Design'!J71)*('Battery Design'!J156-'Battery Design'!J71))/100</f>
        <v>10249.990677931759</v>
      </c>
      <c r="K179" s="128">
        <f ca="1">(2*('Battery Design'!K154-'Battery Design'!K71)*('Battery Design'!K155-'Battery Design'!K71)+2*('Battery Design'!K154-'Battery Design'!K71)*('Battery Design'!K156-'Battery Design'!K71)+2*('Battery Design'!K155-'Battery Design'!K71)*('Battery Design'!K156-'Battery Design'!K71))/100</f>
        <v>11029.8547051695</v>
      </c>
      <c r="L179" s="128">
        <f ca="1">(2*('Battery Design'!L154-'Battery Design'!L71)*('Battery Design'!L155-'Battery Design'!L71)+2*('Battery Design'!L154-'Battery Design'!L71)*('Battery Design'!L156-'Battery Design'!L71)+2*('Battery Design'!L155-'Battery Design'!L71)*('Battery Design'!L156-'Battery Design'!L71))/100</f>
        <v>11714.962974805507</v>
      </c>
    </row>
    <row r="180" spans="1:17" x14ac:dyDescent="0.2">
      <c r="A180" s="6" t="s">
        <v>461</v>
      </c>
      <c r="F180" s="92">
        <v>2.7E-4</v>
      </c>
      <c r="G180" s="92">
        <v>2.7E-4</v>
      </c>
      <c r="H180" s="92">
        <v>2.7E-4</v>
      </c>
      <c r="I180" s="92">
        <v>2.7E-4</v>
      </c>
      <c r="J180" s="92">
        <v>2.7E-4</v>
      </c>
      <c r="K180" s="92">
        <v>2.7E-4</v>
      </c>
      <c r="L180" s="92">
        <v>2.7E-4</v>
      </c>
    </row>
    <row r="181" spans="1:17" x14ac:dyDescent="0.2">
      <c r="A181" s="253" t="s">
        <v>674</v>
      </c>
      <c r="F181" s="3">
        <f t="shared" ref="F181:K181" ca="1" si="131">(F176-F177)/(F184-F183)*F185</f>
        <v>43.747176508387753</v>
      </c>
      <c r="G181" s="3">
        <f t="shared" ca="1" si="131"/>
        <v>51.001513631767736</v>
      </c>
      <c r="H181" s="3">
        <f t="shared" ca="1" si="131"/>
        <v>58.015899350830118</v>
      </c>
      <c r="I181" s="3">
        <f t="shared" ca="1" si="131"/>
        <v>63.986207105251722</v>
      </c>
      <c r="J181" s="3">
        <f t="shared" ca="1" si="131"/>
        <v>69.187437076039373</v>
      </c>
      <c r="K181" s="3">
        <f t="shared" ca="1" si="131"/>
        <v>74.451519259894127</v>
      </c>
      <c r="L181" s="3">
        <f t="shared" ref="L181" ca="1" si="132">(L176-L177)/(L184-L183)*L185</f>
        <v>79.076000079937174</v>
      </c>
    </row>
    <row r="182" spans="1:17" x14ac:dyDescent="0.2">
      <c r="A182" s="193" t="s">
        <v>454</v>
      </c>
      <c r="F182" s="2"/>
      <c r="G182" s="257"/>
      <c r="H182" s="257"/>
      <c r="I182" s="257"/>
      <c r="J182" s="257"/>
      <c r="K182" s="257"/>
      <c r="L182" s="257"/>
    </row>
    <row r="183" spans="1:17" ht="14.25" x14ac:dyDescent="0.2">
      <c r="A183" s="6" t="s">
        <v>436</v>
      </c>
      <c r="F183" s="287">
        <v>-15</v>
      </c>
      <c r="G183" s="287">
        <v>-15</v>
      </c>
      <c r="H183" s="287">
        <v>-15</v>
      </c>
      <c r="I183" s="287">
        <v>-15</v>
      </c>
      <c r="J183" s="287">
        <v>-15</v>
      </c>
      <c r="K183" s="287">
        <v>-15</v>
      </c>
      <c r="L183" s="287">
        <v>-15</v>
      </c>
    </row>
    <row r="184" spans="1:17" ht="14.25" x14ac:dyDescent="0.2">
      <c r="A184" s="6" t="s">
        <v>452</v>
      </c>
      <c r="F184" s="287">
        <v>5</v>
      </c>
      <c r="G184" s="287">
        <v>5</v>
      </c>
      <c r="H184" s="287">
        <v>5</v>
      </c>
      <c r="I184" s="287">
        <v>5</v>
      </c>
      <c r="J184" s="287">
        <v>5</v>
      </c>
      <c r="K184" s="287">
        <v>5</v>
      </c>
      <c r="L184" s="287">
        <v>5</v>
      </c>
    </row>
    <row r="185" spans="1:17" x14ac:dyDescent="0.2">
      <c r="A185" s="253" t="s">
        <v>675</v>
      </c>
      <c r="F185" s="3">
        <f t="shared" ref="F185:K185" ca="1" si="133">F180*F179/F178*(F184-F183)</f>
        <v>34.997741206925163</v>
      </c>
      <c r="G185" s="3">
        <f t="shared" ca="1" si="133"/>
        <v>40.801210905479401</v>
      </c>
      <c r="H185" s="3">
        <f t="shared" ca="1" si="133"/>
        <v>46.412719480674795</v>
      </c>
      <c r="I185" s="3">
        <f t="shared" ca="1" si="133"/>
        <v>51.188965684205129</v>
      </c>
      <c r="J185" s="3">
        <f t="shared" ca="1" si="133"/>
        <v>55.349949660831498</v>
      </c>
      <c r="K185" s="3">
        <f t="shared" ca="1" si="133"/>
        <v>59.561215407915299</v>
      </c>
      <c r="L185" s="3">
        <f t="shared" ref="L185" ca="1" si="134">L180*L179/L178*(L184-L183)</f>
        <v>63.260800063949738</v>
      </c>
    </row>
    <row r="186" spans="1:17" ht="15.75" x14ac:dyDescent="0.25">
      <c r="A186" s="17" t="s">
        <v>695</v>
      </c>
    </row>
    <row r="187" spans="1:17" ht="14.25" x14ac:dyDescent="0.2">
      <c r="A187" s="6" t="s">
        <v>440</v>
      </c>
      <c r="F187" s="287">
        <v>-15</v>
      </c>
      <c r="G187" s="287">
        <v>-15</v>
      </c>
      <c r="H187" s="287">
        <v>-15</v>
      </c>
      <c r="I187" s="287">
        <v>-15</v>
      </c>
      <c r="J187" s="287">
        <v>-15</v>
      </c>
      <c r="K187" s="287">
        <v>-15</v>
      </c>
      <c r="L187" s="287">
        <v>-15</v>
      </c>
    </row>
    <row r="188" spans="1:17" ht="14.25" x14ac:dyDescent="0.2">
      <c r="A188" s="6" t="s">
        <v>441</v>
      </c>
      <c r="F188" s="287">
        <v>5</v>
      </c>
      <c r="G188" s="287">
        <v>5</v>
      </c>
      <c r="H188" s="287">
        <v>5</v>
      </c>
      <c r="I188" s="287">
        <v>5</v>
      </c>
      <c r="J188" s="287">
        <v>5</v>
      </c>
      <c r="K188" s="287">
        <v>5</v>
      </c>
      <c r="L188" s="287">
        <v>5</v>
      </c>
    </row>
    <row r="189" spans="1:17" x14ac:dyDescent="0.2">
      <c r="A189" s="253" t="s">
        <v>694</v>
      </c>
      <c r="F189" s="3">
        <f t="shared" ref="F189:K189" ca="1" si="135">(F188-F187)*F61*F62/3600*1000</f>
        <v>190.98843093401959</v>
      </c>
      <c r="G189" s="3">
        <f t="shared" ca="1" si="135"/>
        <v>251.96653727518691</v>
      </c>
      <c r="H189" s="3">
        <f t="shared" ca="1" si="135"/>
        <v>323.06372747986984</v>
      </c>
      <c r="I189" s="3">
        <f t="shared" ca="1" si="135"/>
        <v>388.3859354774944</v>
      </c>
      <c r="J189" s="3">
        <f t="shared" ca="1" si="135"/>
        <v>450.71518336612542</v>
      </c>
      <c r="K189" s="3">
        <f t="shared" ca="1" si="135"/>
        <v>519.97812952259721</v>
      </c>
      <c r="L189" s="3">
        <f t="shared" ref="L189" ca="1" si="136">(L188-L187)*L61*L62/3600*1000</f>
        <v>582.36635080014526</v>
      </c>
    </row>
    <row r="190" spans="1:17" x14ac:dyDescent="0.2">
      <c r="A190" s="6" t="s">
        <v>513</v>
      </c>
      <c r="C190" s="193"/>
      <c r="F190" s="257">
        <f>IF('Battery Design'!F53="microHEV",1000,IF(AND('Battery Design'!F53="HEV-HP",F66="EG-W"),0,IF(OR('Battery Design'!F53="HEV-HP",'Battery Design'!F53="PHEV"),1000,ROUND(5*F62,-3))))</f>
        <v>1000</v>
      </c>
      <c r="G190" s="257">
        <f>IF('Battery Design'!G53="microHEV",1000,IF(AND('Battery Design'!G53="HEV-HP",G66="EG-W"),0,IF(OR('Battery Design'!G53="HEV-HP",'Battery Design'!G53="PHEV"),1000,ROUND(5*G62,-3))))</f>
        <v>1000</v>
      </c>
      <c r="H190" s="257">
        <f>IF('Battery Design'!H53="microHEV",1000,IF(AND('Battery Design'!H53="HEV-HP",H66="EG-W"),0,IF(OR('Battery Design'!H53="HEV-HP",'Battery Design'!H53="PHEV"),1000,ROUND(5*H62,-3))))</f>
        <v>1000</v>
      </c>
      <c r="I190" s="257">
        <f>IF('Battery Design'!I53="microHEV",1000,IF(AND('Battery Design'!I53="HEV-HP",I66="EG-W"),0,IF(OR('Battery Design'!I53="HEV-HP",'Battery Design'!I53="PHEV"),1000,ROUND(5*I62,-3))))</f>
        <v>1000</v>
      </c>
      <c r="J190" s="257">
        <f>IF('Battery Design'!J53="microHEV",1000,IF(AND('Battery Design'!J53="HEV-HP",J66="EG-W"),0,IF(OR('Battery Design'!J53="HEV-HP",'Battery Design'!J53="PHEV"),1000,ROUND(5*J62,-3))))</f>
        <v>1000</v>
      </c>
      <c r="K190" s="257">
        <f>IF('Battery Design'!K53="microHEV",1000,IF(AND('Battery Design'!K53="HEV-HP",K66="EG-W"),0,IF(OR('Battery Design'!K53="HEV-HP",'Battery Design'!K53="PHEV"),1000,ROUND(5*K62,-3))))</f>
        <v>1000</v>
      </c>
      <c r="L190" s="257">
        <f>IF('Battery Design'!L53="microHEV",1000,IF(AND('Battery Design'!L53="HEV-HP",L66="EG-W"),0,IF(OR('Battery Design'!L53="HEV-HP",'Battery Design'!L53="PHEV"),1000,ROUND(5*L62,-3))))</f>
        <v>1000</v>
      </c>
      <c r="M190" s="263"/>
      <c r="N190" s="4"/>
      <c r="O190" s="4"/>
      <c r="P190" s="4"/>
      <c r="Q190" s="4"/>
    </row>
    <row r="191" spans="1:17" x14ac:dyDescent="0.2">
      <c r="A191" s="253" t="s">
        <v>862</v>
      </c>
      <c r="F191" s="5">
        <f ca="1">IF(F190=0,0,F189/F190*60)</f>
        <v>11.459305856041176</v>
      </c>
      <c r="G191" s="5">
        <f t="shared" ref="G191:L191" ca="1" si="137">IF(G190=0,0,G189/G190*60)</f>
        <v>15.117992236511215</v>
      </c>
      <c r="H191" s="5">
        <f t="shared" ca="1" si="137"/>
        <v>19.383823648792191</v>
      </c>
      <c r="I191" s="5">
        <f t="shared" ca="1" si="137"/>
        <v>23.303156128649665</v>
      </c>
      <c r="J191" s="5">
        <f t="shared" ca="1" si="137"/>
        <v>27.042911001967525</v>
      </c>
      <c r="K191" s="5">
        <f t="shared" ca="1" si="137"/>
        <v>31.198687771355836</v>
      </c>
      <c r="L191" s="5">
        <f t="shared" ca="1" si="137"/>
        <v>34.941981048008714</v>
      </c>
    </row>
    <row r="192" spans="1:17" ht="15.75" x14ac:dyDescent="0.25">
      <c r="A192" s="17" t="s">
        <v>462</v>
      </c>
    </row>
    <row r="193" spans="4:8" x14ac:dyDescent="0.2">
      <c r="D193" s="2"/>
      <c r="E193" s="2" t="s">
        <v>437</v>
      </c>
      <c r="F193" s="126" t="s">
        <v>443</v>
      </c>
      <c r="G193" s="126" t="s">
        <v>443</v>
      </c>
      <c r="H193" s="126" t="s">
        <v>425</v>
      </c>
    </row>
    <row r="194" spans="4:8" x14ac:dyDescent="0.2">
      <c r="D194" s="203" t="s">
        <v>411</v>
      </c>
      <c r="E194" s="203" t="s">
        <v>438</v>
      </c>
      <c r="F194" s="204" t="s">
        <v>457</v>
      </c>
      <c r="G194" s="204" t="s">
        <v>410</v>
      </c>
      <c r="H194" s="209" t="s">
        <v>426</v>
      </c>
    </row>
    <row r="195" spans="4:8" x14ac:dyDescent="0.2">
      <c r="D195" s="95" t="s">
        <v>416</v>
      </c>
      <c r="E195" s="92">
        <v>500</v>
      </c>
      <c r="F195" s="158">
        <v>2</v>
      </c>
      <c r="G195" s="158">
        <f>F195/2.5</f>
        <v>0.8</v>
      </c>
      <c r="H195" s="158">
        <v>2.5</v>
      </c>
    </row>
    <row r="196" spans="4:8" x14ac:dyDescent="0.2">
      <c r="D196" s="95" t="s">
        <v>417</v>
      </c>
      <c r="E196" s="92">
        <v>1000</v>
      </c>
      <c r="F196" s="158">
        <v>3</v>
      </c>
      <c r="G196" s="158">
        <f>F196/2.5</f>
        <v>1.2</v>
      </c>
      <c r="H196" s="158">
        <v>2.5</v>
      </c>
    </row>
    <row r="197" spans="4:8" x14ac:dyDescent="0.2">
      <c r="D197" s="95" t="s">
        <v>418</v>
      </c>
      <c r="E197" s="92">
        <v>3000</v>
      </c>
      <c r="F197" s="158">
        <v>5</v>
      </c>
      <c r="G197" s="158">
        <f>F197/2.5</f>
        <v>2</v>
      </c>
      <c r="H197" s="158">
        <v>2.5</v>
      </c>
    </row>
    <row r="198" spans="4:8" x14ac:dyDescent="0.2">
      <c r="D198" s="95" t="s">
        <v>419</v>
      </c>
      <c r="E198" s="92">
        <v>6000</v>
      </c>
      <c r="F198" s="158">
        <v>7</v>
      </c>
      <c r="G198" s="158">
        <f>F198/2.5</f>
        <v>2.8</v>
      </c>
      <c r="H198" s="158">
        <v>2.5</v>
      </c>
    </row>
  </sheetData>
  <mergeCells count="3">
    <mergeCell ref="A1:L1"/>
    <mergeCell ref="V14:X14"/>
    <mergeCell ref="Q14:S14"/>
  </mergeCells>
  <phoneticPr fontId="5" type="noConversion"/>
  <pageMargins left="0.5" right="0.5" top="0.75" bottom="0.5" header="0.3" footer="0.3"/>
  <pageSetup scale="93" fitToHeight="0" orientation="landscape" r:id="rId1"/>
  <headerFooter alignWithMargins="0">
    <oddFooter>&amp;C&amp;P&amp;R&amp;F, &amp;D</oddFooter>
  </headerFooter>
  <rowBreaks count="6" manualBreakCount="6">
    <brk id="39" max="11" man="1"/>
    <brk id="64" max="11" man="1"/>
    <brk id="82" max="11" man="1"/>
    <brk id="118" max="11" man="1"/>
    <brk id="144" max="11" man="1"/>
    <brk id="173" max="11" man="1"/>
  </rowBreaks>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3"/>
  </sheetPr>
  <dimension ref="A1:T249"/>
  <sheetViews>
    <sheetView topLeftCell="A115" zoomScaleNormal="100" workbookViewId="0">
      <selection activeCell="K113" sqref="K113"/>
    </sheetView>
  </sheetViews>
  <sheetFormatPr defaultRowHeight="12.75" x14ac:dyDescent="0.2"/>
  <cols>
    <col min="1" max="3" width="10.28515625" customWidth="1"/>
    <col min="4" max="5" width="10.7109375" customWidth="1"/>
    <col min="6" max="6" width="10.28515625" customWidth="1"/>
    <col min="7" max="7" width="17.140625" customWidth="1"/>
    <col min="8" max="8" width="9.85546875" customWidth="1"/>
    <col min="9" max="9" width="14.42578125" customWidth="1"/>
    <col min="10" max="10" width="10.85546875" customWidth="1"/>
    <col min="11" max="11" width="21.85546875" customWidth="1"/>
    <col min="12" max="12" width="11" customWidth="1"/>
    <col min="15" max="15" width="10.85546875" customWidth="1"/>
    <col min="16" max="16" width="16.42578125" customWidth="1"/>
    <col min="17" max="17" width="11.7109375" customWidth="1"/>
  </cols>
  <sheetData>
    <row r="1" spans="1:16" ht="15.75" x14ac:dyDescent="0.25">
      <c r="A1" s="626" t="s">
        <v>249</v>
      </c>
      <c r="B1" s="626"/>
      <c r="C1" s="626"/>
      <c r="D1" s="626"/>
      <c r="E1" s="626"/>
      <c r="F1" s="626"/>
      <c r="G1" s="626"/>
      <c r="H1" s="626"/>
      <c r="I1" s="626"/>
      <c r="J1" s="626"/>
    </row>
    <row r="2" spans="1:16" ht="13.5" thickBot="1" x14ac:dyDescent="0.25">
      <c r="A2" s="54"/>
      <c r="B2" s="54"/>
      <c r="C2" s="54"/>
      <c r="D2" s="54"/>
      <c r="E2" s="54"/>
      <c r="F2" s="55"/>
      <c r="G2" s="55"/>
      <c r="H2" s="55"/>
      <c r="I2" s="55"/>
      <c r="J2" s="55"/>
    </row>
    <row r="3" spans="1:16" ht="15.75" x14ac:dyDescent="0.25">
      <c r="A3" s="338" t="s">
        <v>245</v>
      </c>
      <c r="B3" s="58"/>
      <c r="C3" s="58"/>
      <c r="F3" s="111" t="s">
        <v>189</v>
      </c>
      <c r="G3" s="106"/>
      <c r="H3" s="106"/>
      <c r="I3" s="107"/>
      <c r="J3" s="116"/>
    </row>
    <row r="4" spans="1:16" ht="13.5" thickBot="1" x14ac:dyDescent="0.25">
      <c r="A4" s="44" t="s">
        <v>38</v>
      </c>
      <c r="B4" s="44"/>
      <c r="C4" s="44"/>
      <c r="E4" s="89">
        <v>95</v>
      </c>
      <c r="F4" s="112" t="s">
        <v>190</v>
      </c>
      <c r="G4" s="108"/>
      <c r="H4" s="108"/>
      <c r="I4" s="109"/>
      <c r="J4" s="110"/>
      <c r="K4" s="155"/>
    </row>
    <row r="5" spans="1:16" x14ac:dyDescent="0.2">
      <c r="A5" s="4" t="s">
        <v>248</v>
      </c>
      <c r="F5" s="7" t="s">
        <v>199</v>
      </c>
      <c r="G5" s="7"/>
      <c r="H5" s="7" t="s">
        <v>243</v>
      </c>
      <c r="I5" s="7" t="s">
        <v>351</v>
      </c>
      <c r="J5" s="7" t="s">
        <v>124</v>
      </c>
      <c r="K5" s="157"/>
    </row>
    <row r="6" spans="1:16" x14ac:dyDescent="0.2">
      <c r="A6" s="4"/>
      <c r="F6" s="7" t="s">
        <v>241</v>
      </c>
      <c r="G6" s="62" t="s">
        <v>242</v>
      </c>
      <c r="H6" s="62" t="s">
        <v>227</v>
      </c>
      <c r="I6" s="62" t="s">
        <v>352</v>
      </c>
      <c r="J6" s="58" t="s">
        <v>244</v>
      </c>
      <c r="K6" s="157"/>
    </row>
    <row r="7" spans="1:16" x14ac:dyDescent="0.2">
      <c r="A7" s="6" t="s">
        <v>247</v>
      </c>
      <c r="B7" s="6"/>
      <c r="C7" s="6"/>
      <c r="E7" s="339">
        <f>ROUND(F7*G7*H7*I7/1000000,1)</f>
        <v>92.2</v>
      </c>
      <c r="F7" s="2">
        <v>99</v>
      </c>
      <c r="G7" s="59">
        <v>95</v>
      </c>
      <c r="H7" s="156">
        <v>99</v>
      </c>
      <c r="I7" s="156">
        <v>99</v>
      </c>
      <c r="J7" s="58"/>
      <c r="K7" s="159"/>
    </row>
    <row r="8" spans="1:16" x14ac:dyDescent="0.2">
      <c r="A8" s="6" t="s">
        <v>120</v>
      </c>
      <c r="B8" s="6"/>
      <c r="C8" s="6"/>
      <c r="E8" s="339">
        <f>ROUND(F8*G8*H8*I8/1000000,1)</f>
        <v>92.2</v>
      </c>
      <c r="F8" s="2">
        <v>99</v>
      </c>
      <c r="G8" s="59">
        <v>95</v>
      </c>
      <c r="H8" s="156">
        <v>99</v>
      </c>
      <c r="I8" s="156">
        <v>99</v>
      </c>
      <c r="J8" s="58"/>
      <c r="K8" s="159"/>
    </row>
    <row r="9" spans="1:16" x14ac:dyDescent="0.2">
      <c r="A9" s="6" t="s">
        <v>121</v>
      </c>
      <c r="B9" s="6"/>
      <c r="C9" s="6"/>
      <c r="E9" s="339">
        <f>ROUND(G9*H9*I9/10000,1)</f>
        <v>90.2</v>
      </c>
      <c r="F9" s="2"/>
      <c r="G9" s="2">
        <v>99</v>
      </c>
      <c r="H9" s="156">
        <v>92</v>
      </c>
      <c r="I9" s="156">
        <v>99</v>
      </c>
      <c r="J9" s="58"/>
      <c r="K9" s="159"/>
    </row>
    <row r="10" spans="1:16" x14ac:dyDescent="0.2">
      <c r="A10" s="6" t="s">
        <v>122</v>
      </c>
      <c r="B10" s="6"/>
      <c r="C10" s="6"/>
      <c r="E10" s="339">
        <f>ROUND(G10*H10*I10/10000,1)</f>
        <v>90.2</v>
      </c>
      <c r="F10" s="2"/>
      <c r="G10" s="59">
        <v>99</v>
      </c>
      <c r="H10" s="156">
        <v>92</v>
      </c>
      <c r="I10" s="156">
        <v>99</v>
      </c>
      <c r="J10" s="58"/>
      <c r="K10" s="159"/>
    </row>
    <row r="11" spans="1:16" x14ac:dyDescent="0.2">
      <c r="A11" s="6" t="s">
        <v>123</v>
      </c>
      <c r="B11" s="6"/>
      <c r="C11" s="6"/>
      <c r="E11" s="339">
        <f>I11</f>
        <v>98</v>
      </c>
      <c r="F11" s="2"/>
      <c r="G11" s="59"/>
      <c r="H11" s="156"/>
      <c r="I11" s="156">
        <v>98</v>
      </c>
      <c r="J11" s="58"/>
      <c r="K11" s="159"/>
    </row>
    <row r="12" spans="1:16" x14ac:dyDescent="0.2">
      <c r="A12" s="6" t="s">
        <v>124</v>
      </c>
      <c r="B12" s="6"/>
      <c r="C12" s="6"/>
      <c r="E12" s="339">
        <f>J12</f>
        <v>94</v>
      </c>
      <c r="F12" s="183"/>
      <c r="G12" s="156"/>
      <c r="H12" s="156"/>
      <c r="I12" s="156"/>
      <c r="J12" s="59">
        <v>94</v>
      </c>
      <c r="K12" s="159"/>
    </row>
    <row r="13" spans="1:16" x14ac:dyDescent="0.2">
      <c r="A13" s="6" t="s">
        <v>219</v>
      </c>
      <c r="B13" s="129"/>
      <c r="C13" s="129"/>
      <c r="D13" s="129"/>
      <c r="E13" s="340">
        <v>99.5</v>
      </c>
      <c r="F13" s="189"/>
      <c r="G13" s="47"/>
      <c r="H13" s="47"/>
      <c r="I13" s="47"/>
      <c r="P13" s="85"/>
    </row>
    <row r="14" spans="1:16" ht="15.75" x14ac:dyDescent="0.25">
      <c r="A14" s="17" t="s">
        <v>39</v>
      </c>
      <c r="E14" s="122"/>
      <c r="F14" s="56" t="s">
        <v>188</v>
      </c>
      <c r="L14" s="44"/>
      <c r="M14" s="44"/>
      <c r="N14" s="44"/>
      <c r="O14" s="57"/>
      <c r="P14" s="61"/>
    </row>
    <row r="15" spans="1:16" x14ac:dyDescent="0.2">
      <c r="A15" s="6" t="s">
        <v>41</v>
      </c>
      <c r="B15" s="6"/>
      <c r="C15" s="6"/>
      <c r="D15" s="7"/>
      <c r="E15" s="62" t="s">
        <v>42</v>
      </c>
      <c r="F15" s="44" t="s">
        <v>37</v>
      </c>
      <c r="G15" s="44"/>
      <c r="H15" s="44"/>
      <c r="I15" s="44"/>
      <c r="J15" s="344">
        <v>100000</v>
      </c>
      <c r="L15" s="145"/>
      <c r="M15" s="145"/>
      <c r="N15" s="145"/>
      <c r="O15" s="145"/>
      <c r="P15" s="59"/>
    </row>
    <row r="16" spans="1:16" x14ac:dyDescent="0.2">
      <c r="A16" s="6" t="s">
        <v>45</v>
      </c>
      <c r="B16" s="6"/>
      <c r="C16" s="6"/>
      <c r="D16" s="115">
        <f>Chem!D69</f>
        <v>10</v>
      </c>
      <c r="E16" s="115">
        <f>Chem!E69</f>
        <v>0.9</v>
      </c>
      <c r="F16" s="44" t="s">
        <v>220</v>
      </c>
      <c r="G16" s="44"/>
      <c r="H16" s="44"/>
      <c r="I16" s="57"/>
      <c r="J16" s="345">
        <v>300</v>
      </c>
      <c r="L16" s="145"/>
      <c r="M16" s="631"/>
      <c r="N16" s="631"/>
    </row>
    <row r="17" spans="1:14" x14ac:dyDescent="0.2">
      <c r="A17" s="6" t="s">
        <v>272</v>
      </c>
      <c r="B17" s="6"/>
      <c r="C17" s="6"/>
      <c r="D17" s="115">
        <f>Chem!D70</f>
        <v>6.8</v>
      </c>
      <c r="E17" s="115">
        <f>Chem!E70</f>
        <v>1</v>
      </c>
      <c r="F17" s="25" t="s">
        <v>763</v>
      </c>
      <c r="G17" s="44"/>
      <c r="H17" s="44"/>
      <c r="I17" s="57"/>
      <c r="J17" s="345">
        <v>3</v>
      </c>
      <c r="L17" s="145"/>
      <c r="M17" s="62"/>
      <c r="N17" s="62"/>
    </row>
    <row r="18" spans="1:14" x14ac:dyDescent="0.2">
      <c r="A18" s="6"/>
      <c r="B18" s="6"/>
      <c r="C18" s="6"/>
      <c r="D18" s="115"/>
      <c r="E18" s="115"/>
      <c r="F18" t="s">
        <v>222</v>
      </c>
      <c r="G18" s="47"/>
      <c r="H18" s="47"/>
      <c r="I18" s="57"/>
      <c r="J18" s="346">
        <f>J16*J17</f>
        <v>900</v>
      </c>
      <c r="L18" s="145"/>
      <c r="M18" s="325"/>
      <c r="N18" s="325"/>
    </row>
    <row r="19" spans="1:14" x14ac:dyDescent="0.2">
      <c r="A19" s="6" t="s">
        <v>51</v>
      </c>
      <c r="B19" s="6"/>
      <c r="C19" s="6"/>
      <c r="D19" s="115">
        <f>Chem!D71</f>
        <v>10</v>
      </c>
      <c r="E19" s="115">
        <f>Chem!E71</f>
        <v>1</v>
      </c>
      <c r="F19" s="47" t="s">
        <v>235</v>
      </c>
      <c r="G19" s="47"/>
      <c r="H19" s="47"/>
      <c r="I19" s="185"/>
      <c r="J19" s="215">
        <v>869416.40599431924</v>
      </c>
      <c r="L19" s="145"/>
      <c r="M19" s="325"/>
      <c r="N19" s="325"/>
    </row>
    <row r="20" spans="1:14" x14ac:dyDescent="0.2">
      <c r="A20" s="6" t="s">
        <v>53</v>
      </c>
      <c r="B20" s="6"/>
      <c r="C20" s="6"/>
      <c r="D20" s="115">
        <f>Chem!D72</f>
        <v>3.2</v>
      </c>
      <c r="E20" s="115">
        <f>Chem!E72</f>
        <v>1</v>
      </c>
      <c r="F20" s="44" t="s">
        <v>98</v>
      </c>
      <c r="G20" s="47"/>
      <c r="H20" s="47"/>
      <c r="I20" s="57"/>
      <c r="J20" s="184">
        <v>6000000</v>
      </c>
      <c r="L20" s="145"/>
      <c r="M20" s="325"/>
      <c r="N20" s="325"/>
    </row>
    <row r="21" spans="1:14" x14ac:dyDescent="0.2">
      <c r="A21" s="6" t="s">
        <v>54</v>
      </c>
      <c r="B21" s="6"/>
      <c r="C21" s="6"/>
      <c r="D21" s="95"/>
      <c r="E21" s="95"/>
      <c r="F21" s="47" t="s">
        <v>99</v>
      </c>
      <c r="G21" s="47"/>
      <c r="H21" s="47"/>
      <c r="I21" s="225"/>
      <c r="J21" s="184">
        <v>6315789.4736842103</v>
      </c>
      <c r="L21" s="145"/>
      <c r="M21" s="325"/>
      <c r="N21" s="325"/>
    </row>
    <row r="22" spans="1:14" ht="14.25" x14ac:dyDescent="0.2">
      <c r="A22" s="6" t="s">
        <v>45</v>
      </c>
      <c r="B22" s="6"/>
      <c r="C22" s="6"/>
      <c r="D22" s="115">
        <f>Chem!D74</f>
        <v>15</v>
      </c>
      <c r="E22" s="115">
        <f>Chem!E74</f>
        <v>0.9</v>
      </c>
      <c r="F22" s="47" t="s">
        <v>236</v>
      </c>
      <c r="G22" s="47"/>
      <c r="H22" s="47"/>
      <c r="I22" s="57"/>
      <c r="J22" s="184">
        <v>8209039.0739184599</v>
      </c>
      <c r="L22" s="145"/>
      <c r="M22" s="325"/>
      <c r="N22" s="325"/>
    </row>
    <row r="23" spans="1:14" x14ac:dyDescent="0.2">
      <c r="A23" s="6" t="s">
        <v>49</v>
      </c>
      <c r="B23" s="6"/>
      <c r="C23" s="6"/>
      <c r="D23" s="115">
        <f>Chem!D75</f>
        <v>6.8</v>
      </c>
      <c r="E23" s="115">
        <f>Chem!E75</f>
        <v>1</v>
      </c>
      <c r="F23" s="47" t="s">
        <v>237</v>
      </c>
      <c r="G23" s="47"/>
      <c r="H23" s="47"/>
      <c r="I23" s="57"/>
      <c r="J23" s="184">
        <v>1712524.2607603606</v>
      </c>
      <c r="L23" s="145"/>
      <c r="M23" s="325"/>
      <c r="N23" s="325"/>
    </row>
    <row r="24" spans="1:14" x14ac:dyDescent="0.2">
      <c r="A24" s="253" t="s">
        <v>308</v>
      </c>
      <c r="B24" s="6"/>
      <c r="C24" s="6"/>
      <c r="D24" s="115">
        <f>Chem!D76</f>
        <v>10</v>
      </c>
      <c r="E24" s="115">
        <f>Chem!E76</f>
        <v>1</v>
      </c>
      <c r="F24" s="47" t="s">
        <v>238</v>
      </c>
      <c r="G24" s="47"/>
      <c r="H24" s="47"/>
      <c r="I24" s="57"/>
      <c r="J24" s="184">
        <v>1205892.2607955937</v>
      </c>
      <c r="L24" s="145"/>
      <c r="M24" s="325"/>
      <c r="N24" s="325"/>
    </row>
    <row r="25" spans="1:14" x14ac:dyDescent="0.2">
      <c r="A25" s="6" t="s">
        <v>284</v>
      </c>
      <c r="B25" s="6"/>
      <c r="C25" s="6"/>
      <c r="D25" s="115">
        <f>Chem!D77</f>
        <v>0</v>
      </c>
      <c r="E25" s="115">
        <f>Chem!E77</f>
        <v>1</v>
      </c>
      <c r="F25" s="47" t="s">
        <v>358</v>
      </c>
      <c r="G25" s="47"/>
      <c r="H25" s="47"/>
      <c r="I25" s="57"/>
      <c r="J25" s="184">
        <v>2309021.4751825081</v>
      </c>
      <c r="L25" s="145"/>
      <c r="M25" s="325"/>
      <c r="N25" s="325"/>
    </row>
    <row r="26" spans="1:14" ht="14.25" x14ac:dyDescent="0.2">
      <c r="A26" s="6" t="s">
        <v>166</v>
      </c>
      <c r="B26" s="6"/>
      <c r="C26" s="6"/>
      <c r="D26" s="115">
        <f>Chem!D78</f>
        <v>0.3</v>
      </c>
      <c r="E26" s="115">
        <f>Chem!E78</f>
        <v>1</v>
      </c>
      <c r="F26" s="47" t="s">
        <v>359</v>
      </c>
      <c r="G26" s="47"/>
      <c r="H26" s="47"/>
      <c r="I26" s="57"/>
      <c r="J26" s="184">
        <v>1527104.6987965889</v>
      </c>
      <c r="L26" s="145"/>
      <c r="M26" s="325"/>
      <c r="N26" s="325"/>
    </row>
    <row r="27" spans="1:14" ht="15.75" x14ac:dyDescent="0.3">
      <c r="A27" s="6" t="s">
        <v>167</v>
      </c>
      <c r="B27" s="6"/>
      <c r="C27" s="6"/>
      <c r="D27" s="115">
        <f>Chem!D79</f>
        <v>1.2</v>
      </c>
      <c r="E27" s="115">
        <f>Chem!E79</f>
        <v>1</v>
      </c>
      <c r="F27" s="47" t="s">
        <v>337</v>
      </c>
      <c r="J27" s="184">
        <v>3000</v>
      </c>
      <c r="L27" s="145"/>
      <c r="M27" s="325"/>
      <c r="N27" s="325"/>
    </row>
    <row r="28" spans="1:14" ht="15.75" x14ac:dyDescent="0.25">
      <c r="A28" s="6" t="s">
        <v>58</v>
      </c>
      <c r="B28" s="6"/>
      <c r="C28" s="6"/>
      <c r="D28" s="115">
        <f>Chem!D80</f>
        <v>1.2</v>
      </c>
      <c r="E28" s="115">
        <f>Chem!E80</f>
        <v>1</v>
      </c>
      <c r="G28" s="1"/>
      <c r="H28" s="1"/>
      <c r="I28" s="1"/>
      <c r="J28" s="293"/>
      <c r="L28" s="145"/>
      <c r="M28" s="325"/>
      <c r="N28" s="325"/>
    </row>
    <row r="29" spans="1:14" ht="15.75" x14ac:dyDescent="0.25">
      <c r="A29" s="6" t="s">
        <v>59</v>
      </c>
      <c r="B29" s="6"/>
      <c r="C29" s="6"/>
      <c r="D29" s="115">
        <f>Chem!D81</f>
        <v>17</v>
      </c>
      <c r="E29" s="115">
        <f>Chem!E81</f>
        <v>1</v>
      </c>
      <c r="F29" s="15"/>
      <c r="G29" s="341"/>
      <c r="H29" s="341"/>
      <c r="I29" s="341"/>
      <c r="J29" s="293"/>
      <c r="L29" s="145"/>
      <c r="M29" s="325"/>
      <c r="N29" s="325"/>
    </row>
    <row r="30" spans="1:14" ht="15.75" x14ac:dyDescent="0.25">
      <c r="A30" s="17" t="s">
        <v>169</v>
      </c>
      <c r="F30" s="15" t="s">
        <v>178</v>
      </c>
      <c r="G30" s="341"/>
      <c r="H30" s="341"/>
      <c r="I30" s="341"/>
      <c r="J30" s="293"/>
      <c r="L30" s="145"/>
      <c r="M30" s="325"/>
      <c r="N30" s="325"/>
    </row>
    <row r="31" spans="1:14" ht="15.75" x14ac:dyDescent="0.25">
      <c r="A31" s="188"/>
      <c r="C31" s="630" t="s">
        <v>40</v>
      </c>
      <c r="D31" s="630"/>
      <c r="F31" s="4" t="s">
        <v>84</v>
      </c>
      <c r="G31" s="1"/>
      <c r="H31" s="1"/>
      <c r="I31" s="1"/>
      <c r="J31" s="293"/>
      <c r="L31" s="145"/>
      <c r="M31" s="325"/>
      <c r="N31" s="325"/>
    </row>
    <row r="32" spans="1:14" ht="14.25" x14ac:dyDescent="0.2">
      <c r="C32" s="7" t="s">
        <v>43</v>
      </c>
      <c r="D32" s="7" t="s">
        <v>44</v>
      </c>
      <c r="F32" t="s">
        <v>181</v>
      </c>
      <c r="J32" s="92">
        <v>3000</v>
      </c>
      <c r="L32" s="145"/>
      <c r="M32" s="325"/>
      <c r="N32" s="325"/>
    </row>
    <row r="33" spans="1:14" x14ac:dyDescent="0.2">
      <c r="C33" s="7" t="s">
        <v>46</v>
      </c>
      <c r="D33" s="7" t="s">
        <v>47</v>
      </c>
      <c r="E33" s="7" t="s">
        <v>42</v>
      </c>
      <c r="F33" t="s">
        <v>85</v>
      </c>
      <c r="J33" s="2"/>
      <c r="L33" s="145"/>
      <c r="M33" s="325"/>
      <c r="N33" s="325"/>
    </row>
    <row r="34" spans="1:14" x14ac:dyDescent="0.2">
      <c r="A34" s="44" t="s">
        <v>48</v>
      </c>
      <c r="C34" s="90">
        <v>4</v>
      </c>
      <c r="D34" s="90">
        <v>0.25</v>
      </c>
      <c r="E34" s="90">
        <v>0.8</v>
      </c>
      <c r="F34" t="s">
        <v>778</v>
      </c>
      <c r="J34" s="92">
        <v>5</v>
      </c>
      <c r="L34" s="145"/>
      <c r="M34" s="325"/>
      <c r="N34" s="325"/>
    </row>
    <row r="35" spans="1:14" x14ac:dyDescent="0.2">
      <c r="A35" s="44" t="s">
        <v>50</v>
      </c>
      <c r="C35" s="90">
        <f>IF(D27&gt;D26,6,C34)</f>
        <v>6</v>
      </c>
      <c r="D35" s="90">
        <v>0.25</v>
      </c>
      <c r="E35" s="90">
        <v>0.8</v>
      </c>
      <c r="F35" t="s">
        <v>86</v>
      </c>
      <c r="J35" s="92">
        <v>10</v>
      </c>
      <c r="L35" s="145"/>
      <c r="M35" s="325"/>
      <c r="N35" s="325"/>
    </row>
    <row r="36" spans="1:14" x14ac:dyDescent="0.2">
      <c r="A36" s="44" t="s">
        <v>52</v>
      </c>
      <c r="C36" s="90">
        <v>3</v>
      </c>
      <c r="D36" s="90">
        <v>0.2</v>
      </c>
      <c r="E36" s="90">
        <v>0.8</v>
      </c>
      <c r="F36" t="s">
        <v>87</v>
      </c>
      <c r="J36" s="92">
        <v>15</v>
      </c>
      <c r="L36" s="145"/>
      <c r="M36" s="325"/>
      <c r="N36" s="325"/>
    </row>
    <row r="37" spans="1:14" x14ac:dyDescent="0.2">
      <c r="A37" s="47" t="s">
        <v>471</v>
      </c>
      <c r="C37" s="90">
        <v>4</v>
      </c>
      <c r="D37" s="90">
        <v>0.1</v>
      </c>
      <c r="E37" s="90">
        <v>0.8</v>
      </c>
      <c r="F37" s="4" t="s">
        <v>88</v>
      </c>
      <c r="J37" s="2"/>
      <c r="L37" s="145"/>
      <c r="M37" s="325"/>
      <c r="N37" s="325"/>
    </row>
    <row r="38" spans="1:14" x14ac:dyDescent="0.2">
      <c r="A38" s="47" t="s">
        <v>582</v>
      </c>
      <c r="B38" s="99"/>
      <c r="C38" s="95"/>
      <c r="D38" s="95"/>
      <c r="E38" s="95"/>
      <c r="F38" s="72" t="s">
        <v>89</v>
      </c>
      <c r="J38" s="2"/>
      <c r="L38" s="145"/>
      <c r="M38" s="325"/>
      <c r="N38" s="325"/>
    </row>
    <row r="39" spans="1:14" ht="15.75" x14ac:dyDescent="0.25">
      <c r="A39" s="17" t="s">
        <v>466</v>
      </c>
      <c r="B39" s="17"/>
      <c r="C39" s="17"/>
      <c r="D39" s="63"/>
      <c r="F39" t="s">
        <v>90</v>
      </c>
      <c r="J39" s="92">
        <v>18</v>
      </c>
      <c r="L39" s="145"/>
      <c r="M39" s="325"/>
      <c r="N39" s="325"/>
    </row>
    <row r="40" spans="1:14" x14ac:dyDescent="0.2">
      <c r="A40" s="6" t="s">
        <v>465</v>
      </c>
      <c r="F40" t="s">
        <v>497</v>
      </c>
      <c r="J40" s="124"/>
      <c r="L40" s="145"/>
      <c r="M40" s="325"/>
      <c r="N40" s="325"/>
    </row>
    <row r="41" spans="1:14" x14ac:dyDescent="0.2">
      <c r="A41" s="6" t="s">
        <v>56</v>
      </c>
      <c r="E41" s="90">
        <v>2.5</v>
      </c>
      <c r="F41" t="s">
        <v>496</v>
      </c>
      <c r="J41" s="92">
        <v>40</v>
      </c>
      <c r="L41" s="145"/>
      <c r="M41" s="325"/>
      <c r="N41" s="325"/>
    </row>
    <row r="42" spans="1:14" x14ac:dyDescent="0.2">
      <c r="A42" s="6" t="s">
        <v>580</v>
      </c>
      <c r="E42" s="91">
        <v>0.01</v>
      </c>
      <c r="F42" s="6" t="s">
        <v>508</v>
      </c>
      <c r="J42" s="92">
        <v>20</v>
      </c>
      <c r="L42" s="145"/>
      <c r="M42" s="325"/>
      <c r="N42" s="325"/>
    </row>
    <row r="43" spans="1:14" x14ac:dyDescent="0.2">
      <c r="A43" s="6" t="s">
        <v>348</v>
      </c>
      <c r="F43" s="72" t="s">
        <v>91</v>
      </c>
      <c r="J43" s="2"/>
      <c r="L43" s="145"/>
      <c r="M43" s="325"/>
      <c r="N43" s="325"/>
    </row>
    <row r="44" spans="1:14" x14ac:dyDescent="0.2">
      <c r="A44" s="6" t="s">
        <v>581</v>
      </c>
      <c r="E44" s="90">
        <v>5</v>
      </c>
      <c r="F44" s="6" t="s">
        <v>92</v>
      </c>
      <c r="J44" s="2"/>
      <c r="K44" s="145"/>
      <c r="L44" s="325"/>
      <c r="M44" s="325"/>
    </row>
    <row r="45" spans="1:14" x14ac:dyDescent="0.2">
      <c r="A45" s="6" t="s">
        <v>57</v>
      </c>
      <c r="E45" s="92">
        <v>0.75</v>
      </c>
      <c r="F45" s="6" t="s">
        <v>86</v>
      </c>
      <c r="J45" s="92">
        <v>25</v>
      </c>
      <c r="K45" s="145"/>
      <c r="L45" s="325"/>
      <c r="M45" s="325"/>
    </row>
    <row r="46" spans="1:14" x14ac:dyDescent="0.2">
      <c r="A46" s="400" t="s">
        <v>840</v>
      </c>
      <c r="B46" s="372"/>
      <c r="C46" s="372"/>
      <c r="D46" s="372"/>
      <c r="E46" s="90">
        <v>1.5</v>
      </c>
      <c r="F46" s="6" t="s">
        <v>93</v>
      </c>
      <c r="J46" s="92">
        <v>25</v>
      </c>
      <c r="K46" s="145"/>
      <c r="L46" s="325"/>
      <c r="M46" s="377"/>
    </row>
    <row r="47" spans="1:14" x14ac:dyDescent="0.2">
      <c r="A47" s="253" t="s">
        <v>843</v>
      </c>
      <c r="F47" s="6" t="s">
        <v>94</v>
      </c>
      <c r="J47" s="92">
        <v>40</v>
      </c>
      <c r="K47" s="145"/>
      <c r="L47" s="325"/>
      <c r="M47" s="325"/>
    </row>
    <row r="48" spans="1:14" x14ac:dyDescent="0.2">
      <c r="A48" s="6" t="s">
        <v>581</v>
      </c>
      <c r="E48" s="90">
        <v>3</v>
      </c>
      <c r="F48" s="6" t="s">
        <v>95</v>
      </c>
      <c r="J48" s="2"/>
      <c r="K48" s="145"/>
      <c r="L48" s="325"/>
      <c r="M48" s="325"/>
    </row>
    <row r="49" spans="1:14" x14ac:dyDescent="0.2">
      <c r="A49" s="6" t="s">
        <v>57</v>
      </c>
      <c r="E49" s="90">
        <v>1</v>
      </c>
      <c r="F49" s="6" t="s">
        <v>463</v>
      </c>
      <c r="J49" s="158">
        <f>16+2/3</f>
        <v>16.666666666666668</v>
      </c>
      <c r="K49" s="145"/>
      <c r="L49" s="325"/>
      <c r="M49" s="325"/>
    </row>
    <row r="50" spans="1:14" ht="15.75" x14ac:dyDescent="0.25">
      <c r="A50" s="17" t="s">
        <v>467</v>
      </c>
      <c r="E50" s="90"/>
      <c r="F50" s="6" t="s">
        <v>464</v>
      </c>
      <c r="J50" s="92">
        <v>5</v>
      </c>
      <c r="K50" s="145"/>
      <c r="L50" s="325"/>
      <c r="M50" s="325"/>
    </row>
    <row r="51" spans="1:14" x14ac:dyDescent="0.2">
      <c r="A51" s="6" t="s">
        <v>470</v>
      </c>
      <c r="E51" s="90"/>
      <c r="F51" s="72" t="s">
        <v>96</v>
      </c>
      <c r="J51" s="92">
        <v>5</v>
      </c>
      <c r="K51" s="145"/>
      <c r="L51" s="325"/>
      <c r="M51" s="325"/>
    </row>
    <row r="52" spans="1:14" x14ac:dyDescent="0.2">
      <c r="A52" s="6" t="s">
        <v>581</v>
      </c>
      <c r="E52" s="90">
        <v>5</v>
      </c>
      <c r="F52" s="72" t="s">
        <v>310</v>
      </c>
      <c r="J52" s="92">
        <v>5.6</v>
      </c>
      <c r="K52" s="145"/>
      <c r="L52" s="325"/>
      <c r="M52" s="325"/>
    </row>
    <row r="53" spans="1:14" x14ac:dyDescent="0.2">
      <c r="A53" s="6" t="s">
        <v>484</v>
      </c>
      <c r="E53" s="90">
        <v>1</v>
      </c>
      <c r="F53" s="72"/>
      <c r="J53" s="124"/>
      <c r="K53" s="382"/>
      <c r="L53" s="377"/>
      <c r="M53" s="325"/>
    </row>
    <row r="54" spans="1:14" ht="15.75" x14ac:dyDescent="0.25">
      <c r="A54" t="s">
        <v>468</v>
      </c>
      <c r="E54" s="90">
        <v>2</v>
      </c>
      <c r="F54" s="205" t="s">
        <v>777</v>
      </c>
      <c r="K54" s="145"/>
      <c r="L54" s="62"/>
      <c r="M54" s="377"/>
    </row>
    <row r="55" spans="1:14" x14ac:dyDescent="0.2">
      <c r="A55" s="6" t="s">
        <v>479</v>
      </c>
      <c r="B55" s="175"/>
      <c r="E55" s="92"/>
      <c r="H55" s="2"/>
      <c r="I55" s="2"/>
      <c r="J55" s="2" t="s">
        <v>439</v>
      </c>
      <c r="K55" s="145"/>
      <c r="L55" s="206"/>
      <c r="M55" s="62"/>
    </row>
    <row r="56" spans="1:14" x14ac:dyDescent="0.2">
      <c r="A56" s="6" t="s">
        <v>442</v>
      </c>
      <c r="E56" s="213">
        <v>15</v>
      </c>
      <c r="H56" s="2" t="s">
        <v>472</v>
      </c>
      <c r="I56" s="2" t="s">
        <v>473</v>
      </c>
      <c r="J56" s="2" t="s">
        <v>474</v>
      </c>
      <c r="K56" s="145"/>
      <c r="L56" s="206"/>
      <c r="M56" s="206"/>
    </row>
    <row r="57" spans="1:14" x14ac:dyDescent="0.2">
      <c r="A57" s="6" t="s">
        <v>469</v>
      </c>
      <c r="E57" s="92">
        <v>0.02</v>
      </c>
      <c r="F57" t="s">
        <v>478</v>
      </c>
      <c r="H57" s="92">
        <v>40</v>
      </c>
      <c r="I57" s="92">
        <v>70</v>
      </c>
      <c r="J57" s="92">
        <v>100</v>
      </c>
      <c r="K57" s="145"/>
      <c r="L57" s="206"/>
      <c r="M57" s="206"/>
    </row>
    <row r="58" spans="1:14" x14ac:dyDescent="0.2">
      <c r="A58" s="253" t="s">
        <v>640</v>
      </c>
      <c r="F58" t="s">
        <v>477</v>
      </c>
      <c r="H58" s="92">
        <v>10</v>
      </c>
      <c r="I58" s="92">
        <v>10</v>
      </c>
      <c r="J58" s="92">
        <v>20</v>
      </c>
      <c r="K58" s="145"/>
      <c r="L58" s="206"/>
      <c r="M58" s="206"/>
    </row>
    <row r="59" spans="1:14" x14ac:dyDescent="0.2">
      <c r="A59" s="253" t="s">
        <v>641</v>
      </c>
      <c r="E59" s="90">
        <v>20</v>
      </c>
      <c r="F59" t="s">
        <v>482</v>
      </c>
      <c r="H59" s="92">
        <v>50</v>
      </c>
      <c r="I59" s="92">
        <v>70</v>
      </c>
      <c r="J59" s="92">
        <v>200</v>
      </c>
      <c r="K59" s="145"/>
      <c r="L59" s="206"/>
      <c r="M59" s="206"/>
    </row>
    <row r="60" spans="1:14" ht="15.75" x14ac:dyDescent="0.25">
      <c r="A60" s="6" t="s">
        <v>450</v>
      </c>
      <c r="F60" t="s">
        <v>701</v>
      </c>
      <c r="H60" s="92">
        <v>15</v>
      </c>
      <c r="I60" s="92">
        <v>15</v>
      </c>
      <c r="J60" s="92">
        <v>15</v>
      </c>
      <c r="K60" s="205"/>
      <c r="L60" s="205"/>
      <c r="M60" s="206"/>
    </row>
    <row r="61" spans="1:14" ht="15" x14ac:dyDescent="0.2">
      <c r="A61" s="6" t="s">
        <v>353</v>
      </c>
      <c r="E61" s="90">
        <v>7</v>
      </c>
      <c r="F61" t="s">
        <v>645</v>
      </c>
      <c r="J61" s="92">
        <v>100</v>
      </c>
      <c r="K61" s="145"/>
      <c r="L61" s="145"/>
      <c r="M61" s="207"/>
    </row>
    <row r="62" spans="1:14" ht="15.75" x14ac:dyDescent="0.25">
      <c r="A62" s="6" t="s">
        <v>60</v>
      </c>
      <c r="E62" s="90">
        <v>30</v>
      </c>
      <c r="F62" s="17" t="s">
        <v>476</v>
      </c>
      <c r="H62" s="2"/>
      <c r="I62" s="2"/>
      <c r="J62" s="2" t="s">
        <v>439</v>
      </c>
      <c r="K62" s="145"/>
      <c r="L62" s="145"/>
      <c r="M62" s="145"/>
    </row>
    <row r="63" spans="1:14" ht="15.75" x14ac:dyDescent="0.25">
      <c r="A63" s="350" t="s">
        <v>761</v>
      </c>
      <c r="B63" s="350"/>
      <c r="C63" s="350"/>
      <c r="D63" s="348"/>
      <c r="E63" s="349"/>
      <c r="H63" s="2" t="s">
        <v>472</v>
      </c>
      <c r="I63" s="2" t="s">
        <v>473</v>
      </c>
      <c r="J63" s="2" t="s">
        <v>474</v>
      </c>
      <c r="M63" s="145"/>
    </row>
    <row r="64" spans="1:14" x14ac:dyDescent="0.2">
      <c r="A64" s="632" t="s">
        <v>727</v>
      </c>
      <c r="B64" s="632"/>
      <c r="C64" s="632"/>
      <c r="D64" s="302"/>
      <c r="E64" s="342" t="s">
        <v>762</v>
      </c>
      <c r="F64" t="s">
        <v>698</v>
      </c>
      <c r="H64" s="92">
        <v>30</v>
      </c>
      <c r="I64" s="92">
        <v>80</v>
      </c>
      <c r="J64" s="92">
        <v>120</v>
      </c>
      <c r="N64" s="19"/>
    </row>
    <row r="65" spans="1:16" x14ac:dyDescent="0.2">
      <c r="A65" s="297" t="s">
        <v>745</v>
      </c>
      <c r="E65" s="278">
        <v>1.0665599999999995</v>
      </c>
      <c r="F65" s="261" t="s">
        <v>696</v>
      </c>
      <c r="H65" s="92">
        <v>40</v>
      </c>
      <c r="I65" s="92">
        <v>40</v>
      </c>
      <c r="J65" s="92">
        <v>40</v>
      </c>
    </row>
    <row r="66" spans="1:16" x14ac:dyDescent="0.2">
      <c r="A66" s="297" t="s">
        <v>746</v>
      </c>
      <c r="E66" s="278">
        <v>1.8664799999999968</v>
      </c>
      <c r="F66" s="253" t="s">
        <v>779</v>
      </c>
      <c r="H66" s="92">
        <v>20</v>
      </c>
      <c r="I66" s="92">
        <v>20</v>
      </c>
      <c r="J66" s="92">
        <v>20</v>
      </c>
      <c r="N66" s="2"/>
    </row>
    <row r="67" spans="1:16" x14ac:dyDescent="0.2">
      <c r="A67" s="297" t="s">
        <v>732</v>
      </c>
      <c r="E67" s="278">
        <v>3.8763999999999954</v>
      </c>
      <c r="F67" t="s">
        <v>647</v>
      </c>
      <c r="H67" s="124"/>
      <c r="I67" s="124"/>
      <c r="J67" s="92">
        <v>100</v>
      </c>
      <c r="K67" s="99"/>
      <c r="L67" s="99"/>
      <c r="N67" s="19"/>
    </row>
    <row r="68" spans="1:16" x14ac:dyDescent="0.2">
      <c r="A68" s="297" t="s">
        <v>744</v>
      </c>
      <c r="E68" s="347">
        <v>1.5325199999999901</v>
      </c>
      <c r="F68" s="291" t="s">
        <v>714</v>
      </c>
      <c r="G68" s="291"/>
      <c r="H68" s="291"/>
      <c r="K68" s="99"/>
      <c r="L68" s="99"/>
      <c r="M68" s="99"/>
      <c r="N68" s="99"/>
      <c r="O68" s="99"/>
    </row>
    <row r="69" spans="1:16" x14ac:dyDescent="0.2">
      <c r="A69" s="351" t="s">
        <v>733</v>
      </c>
      <c r="B69" s="291"/>
      <c r="C69" s="291"/>
      <c r="D69" s="291"/>
      <c r="E69" s="291"/>
      <c r="F69" s="292" t="s">
        <v>697</v>
      </c>
      <c r="G69" s="291"/>
      <c r="K69" s="217"/>
      <c r="L69" s="99"/>
      <c r="M69" s="99"/>
      <c r="N69" s="99"/>
      <c r="O69" s="99"/>
      <c r="P69" s="99"/>
    </row>
    <row r="70" spans="1:16" ht="20.25" x14ac:dyDescent="0.3">
      <c r="A70" s="353" t="s">
        <v>61</v>
      </c>
      <c r="B70" s="352"/>
      <c r="C70" s="352"/>
      <c r="D70" s="352"/>
      <c r="E70" s="352"/>
      <c r="F70" s="352"/>
      <c r="G70" s="352"/>
      <c r="H70" s="352"/>
      <c r="I70" s="352"/>
      <c r="J70" s="352"/>
      <c r="K70" s="218"/>
      <c r="L70" s="99"/>
      <c r="M70" s="99"/>
      <c r="N70" s="99"/>
      <c r="O70" s="95"/>
      <c r="P70" s="73"/>
    </row>
    <row r="71" spans="1:16" x14ac:dyDescent="0.2">
      <c r="A71" s="9"/>
      <c r="B71" s="9"/>
      <c r="C71" s="9"/>
      <c r="D71" s="65" t="s">
        <v>40</v>
      </c>
      <c r="E71" s="66"/>
      <c r="F71" s="9"/>
      <c r="G71" s="9"/>
      <c r="H71" s="9"/>
      <c r="I71" s="65" t="s">
        <v>40</v>
      </c>
      <c r="J71" s="66"/>
      <c r="K71" s="218"/>
      <c r="L71" s="99"/>
      <c r="M71" s="99"/>
      <c r="N71" s="99"/>
      <c r="O71" s="95"/>
      <c r="P71" s="47"/>
    </row>
    <row r="72" spans="1:16" x14ac:dyDescent="0.2">
      <c r="A72" s="67" t="s">
        <v>62</v>
      </c>
      <c r="B72" s="55"/>
      <c r="C72" s="55"/>
      <c r="D72" s="68" t="s">
        <v>63</v>
      </c>
      <c r="E72" s="55" t="s">
        <v>42</v>
      </c>
      <c r="F72" s="67" t="s">
        <v>62</v>
      </c>
      <c r="G72" s="55"/>
      <c r="H72" s="55"/>
      <c r="I72" s="68" t="s">
        <v>63</v>
      </c>
      <c r="J72" s="55" t="s">
        <v>42</v>
      </c>
      <c r="K72" s="218"/>
      <c r="L72" s="99"/>
      <c r="M72" s="99"/>
      <c r="N72" s="99"/>
      <c r="O72" s="95"/>
      <c r="P72" s="47"/>
    </row>
    <row r="73" spans="1:16" ht="15.75" x14ac:dyDescent="0.25">
      <c r="A73" s="4" t="s">
        <v>64</v>
      </c>
      <c r="B73" s="4"/>
      <c r="C73" s="4"/>
      <c r="E73" s="69"/>
      <c r="F73" s="4" t="s">
        <v>299</v>
      </c>
      <c r="K73" s="219"/>
      <c r="L73" s="99"/>
      <c r="M73" s="99"/>
      <c r="N73" s="99"/>
      <c r="O73" s="95"/>
      <c r="P73" s="218"/>
    </row>
    <row r="74" spans="1:16" x14ac:dyDescent="0.2">
      <c r="A74" s="6" t="s">
        <v>65</v>
      </c>
      <c r="B74" s="6"/>
      <c r="C74" s="6"/>
      <c r="D74" s="13"/>
      <c r="E74" s="69"/>
      <c r="F74" s="6" t="s">
        <v>285</v>
      </c>
      <c r="G74" s="6"/>
      <c r="H74" s="6"/>
      <c r="I74" s="9"/>
      <c r="J74" s="69"/>
      <c r="K74" s="99"/>
      <c r="L74" s="99"/>
      <c r="M74" s="99"/>
      <c r="N74" s="99"/>
      <c r="O74" s="95"/>
      <c r="P74" s="218"/>
    </row>
    <row r="75" spans="1:16" x14ac:dyDescent="0.2">
      <c r="A75" s="6" t="s">
        <v>66</v>
      </c>
      <c r="B75" s="6"/>
      <c r="C75" s="6"/>
      <c r="D75" s="93">
        <v>14400</v>
      </c>
      <c r="E75" s="90">
        <v>0.4</v>
      </c>
      <c r="F75" s="6" t="s">
        <v>74</v>
      </c>
      <c r="G75" s="6"/>
      <c r="H75" s="6"/>
      <c r="I75" s="9"/>
      <c r="J75" s="69"/>
      <c r="K75" s="99"/>
      <c r="L75" s="99"/>
      <c r="M75" s="124"/>
      <c r="N75" s="99"/>
      <c r="O75" s="99"/>
      <c r="P75" s="99"/>
    </row>
    <row r="76" spans="1:16" ht="12.75" customHeight="1" x14ac:dyDescent="0.2">
      <c r="A76" s="6" t="s">
        <v>68</v>
      </c>
      <c r="B76" s="6"/>
      <c r="C76" s="6"/>
      <c r="D76" s="76">
        <v>3.6</v>
      </c>
      <c r="E76" s="90">
        <v>0.6</v>
      </c>
      <c r="F76" s="6" t="s">
        <v>234</v>
      </c>
      <c r="G76" s="6"/>
      <c r="H76" s="6"/>
      <c r="I76" s="152">
        <v>40</v>
      </c>
      <c r="J76" s="153">
        <v>0.3</v>
      </c>
      <c r="K76" s="99"/>
      <c r="L76" s="99"/>
      <c r="M76" s="124"/>
      <c r="N76" s="99"/>
      <c r="O76" s="99"/>
      <c r="P76" s="99"/>
    </row>
    <row r="77" spans="1:16" ht="12.75" customHeight="1" x14ac:dyDescent="0.2">
      <c r="A77" s="6" t="s">
        <v>69</v>
      </c>
      <c r="B77" s="6"/>
      <c r="C77" s="6"/>
      <c r="D77" s="93">
        <v>900</v>
      </c>
      <c r="E77" s="90">
        <v>0.5</v>
      </c>
      <c r="F77" s="6" t="s">
        <v>66</v>
      </c>
      <c r="G77" s="6"/>
      <c r="H77" s="6"/>
      <c r="I77" s="94">
        <v>36000</v>
      </c>
      <c r="J77" s="90">
        <v>0.7</v>
      </c>
      <c r="K77" s="99"/>
      <c r="L77" s="162"/>
      <c r="M77" s="124"/>
      <c r="N77" s="124"/>
      <c r="O77" s="99"/>
      <c r="P77" s="99"/>
    </row>
    <row r="78" spans="1:16" x14ac:dyDescent="0.2">
      <c r="A78" s="4" t="s">
        <v>70</v>
      </c>
      <c r="B78" s="4"/>
      <c r="C78" s="4"/>
      <c r="D78" s="71"/>
      <c r="E78" s="69"/>
      <c r="F78" s="6" t="s">
        <v>68</v>
      </c>
      <c r="G78" s="6"/>
      <c r="H78" s="6"/>
      <c r="I78" s="123">
        <v>4</v>
      </c>
      <c r="J78" s="90">
        <v>0.8</v>
      </c>
      <c r="K78" s="99"/>
      <c r="L78" s="145"/>
      <c r="M78" s="124"/>
      <c r="N78" s="124"/>
      <c r="O78" s="99"/>
      <c r="P78" s="99"/>
    </row>
    <row r="79" spans="1:16" x14ac:dyDescent="0.2">
      <c r="A79" s="6" t="s">
        <v>228</v>
      </c>
      <c r="B79" s="6"/>
      <c r="C79" s="6"/>
      <c r="D79" s="71"/>
      <c r="E79" s="69"/>
      <c r="F79" s="6" t="s">
        <v>69</v>
      </c>
      <c r="G79" s="6"/>
      <c r="H79" s="6"/>
      <c r="I79" s="94">
        <v>600</v>
      </c>
      <c r="J79" s="90">
        <v>0.8</v>
      </c>
      <c r="K79" s="99"/>
      <c r="L79" s="145"/>
      <c r="M79" s="145"/>
      <c r="N79" s="145"/>
      <c r="O79" s="99"/>
      <c r="P79" s="99"/>
    </row>
    <row r="80" spans="1:16" x14ac:dyDescent="0.2">
      <c r="A80" s="6" t="s">
        <v>72</v>
      </c>
      <c r="B80" s="6"/>
      <c r="C80" s="6"/>
      <c r="D80" s="71"/>
      <c r="E80" s="69"/>
      <c r="F80" s="6" t="s">
        <v>77</v>
      </c>
      <c r="G80" s="6"/>
      <c r="H80" s="6"/>
      <c r="I80" s="9"/>
      <c r="J80" s="69"/>
      <c r="K80" s="99"/>
      <c r="L80" s="145"/>
      <c r="M80" s="145"/>
      <c r="N80" s="145"/>
      <c r="O80" s="99"/>
      <c r="P80" s="99"/>
    </row>
    <row r="81" spans="1:16" x14ac:dyDescent="0.2">
      <c r="A81" s="6" t="s">
        <v>73</v>
      </c>
      <c r="B81" s="6"/>
      <c r="C81" s="6"/>
      <c r="D81" s="71"/>
      <c r="E81" s="69"/>
      <c r="F81" s="6" t="s">
        <v>74</v>
      </c>
      <c r="G81" s="6"/>
      <c r="H81" s="6"/>
      <c r="I81" s="9"/>
      <c r="J81" s="69"/>
      <c r="K81" s="99"/>
      <c r="L81" s="145"/>
      <c r="M81" s="145"/>
      <c r="N81" s="145"/>
      <c r="O81" s="99"/>
      <c r="P81" s="99"/>
    </row>
    <row r="82" spans="1:16" x14ac:dyDescent="0.2">
      <c r="A82" s="6" t="s">
        <v>66</v>
      </c>
      <c r="B82" s="6"/>
      <c r="C82" s="6"/>
      <c r="D82" s="94">
        <v>14400</v>
      </c>
      <c r="E82" s="90">
        <v>0.5</v>
      </c>
      <c r="F82" s="6" t="s">
        <v>66</v>
      </c>
      <c r="G82" s="6"/>
      <c r="H82" s="6"/>
      <c r="I82" s="94">
        <v>36000</v>
      </c>
      <c r="J82" s="90">
        <v>0.7</v>
      </c>
      <c r="K82" s="99"/>
      <c r="L82" s="145"/>
      <c r="M82" s="145"/>
      <c r="N82" s="145"/>
      <c r="O82" s="99"/>
      <c r="P82" s="99"/>
    </row>
    <row r="83" spans="1:16" ht="15.75" x14ac:dyDescent="0.25">
      <c r="A83" s="6" t="s">
        <v>68</v>
      </c>
      <c r="B83" s="6"/>
      <c r="C83" s="6"/>
      <c r="D83" s="123">
        <v>2</v>
      </c>
      <c r="E83" s="90">
        <v>0.7</v>
      </c>
      <c r="F83" s="6" t="s">
        <v>68</v>
      </c>
      <c r="G83" s="6"/>
      <c r="H83" s="6"/>
      <c r="I83" s="123">
        <v>4</v>
      </c>
      <c r="J83" s="90">
        <v>0.8</v>
      </c>
      <c r="K83" s="217"/>
      <c r="L83" s="219"/>
      <c r="M83" s="145"/>
      <c r="N83" s="145"/>
      <c r="O83" s="99"/>
      <c r="P83" s="99"/>
    </row>
    <row r="84" spans="1:16" ht="15.75" x14ac:dyDescent="0.25">
      <c r="A84" s="6" t="s">
        <v>69</v>
      </c>
      <c r="B84" s="6"/>
      <c r="C84" s="6"/>
      <c r="D84" s="94">
        <v>600</v>
      </c>
      <c r="E84" s="90">
        <v>0.6</v>
      </c>
      <c r="F84" s="6" t="s">
        <v>69</v>
      </c>
      <c r="G84" s="6"/>
      <c r="H84" s="6"/>
      <c r="I84" s="94">
        <v>600</v>
      </c>
      <c r="J84" s="90">
        <v>0.8</v>
      </c>
      <c r="K84" s="99"/>
      <c r="L84" s="99"/>
      <c r="M84" s="219"/>
      <c r="N84" s="219"/>
      <c r="O84" s="219"/>
      <c r="P84" s="219"/>
    </row>
    <row r="85" spans="1:16" x14ac:dyDescent="0.2">
      <c r="A85" s="6" t="s">
        <v>75</v>
      </c>
      <c r="B85" s="6"/>
      <c r="C85" s="6"/>
      <c r="D85" s="71"/>
      <c r="E85" s="69"/>
      <c r="F85" s="6" t="s">
        <v>229</v>
      </c>
      <c r="G85" s="6"/>
      <c r="H85" s="6"/>
      <c r="I85" s="9"/>
      <c r="J85" s="69"/>
      <c r="K85" s="99"/>
      <c r="L85" s="99"/>
      <c r="M85" s="99"/>
      <c r="N85" s="99"/>
      <c r="O85" s="99"/>
      <c r="P85" s="124"/>
    </row>
    <row r="86" spans="1:16" x14ac:dyDescent="0.2">
      <c r="A86" s="6" t="s">
        <v>76</v>
      </c>
      <c r="B86" s="6"/>
      <c r="C86" s="6"/>
      <c r="D86" s="71"/>
      <c r="E86" s="69"/>
      <c r="F86" s="6" t="s">
        <v>74</v>
      </c>
      <c r="G86" s="6"/>
      <c r="H86" s="6"/>
      <c r="I86" s="9"/>
      <c r="J86" s="69"/>
      <c r="K86" s="99"/>
      <c r="L86" s="99"/>
      <c r="M86" s="99"/>
      <c r="N86" s="99"/>
      <c r="O86" s="99"/>
      <c r="P86" s="124"/>
    </row>
    <row r="87" spans="1:16" x14ac:dyDescent="0.2">
      <c r="A87" s="6" t="s">
        <v>66</v>
      </c>
      <c r="B87" s="6"/>
      <c r="C87" s="6"/>
      <c r="D87" s="94">
        <v>14400</v>
      </c>
      <c r="E87" s="90">
        <v>0.5</v>
      </c>
      <c r="F87" s="6" t="s">
        <v>66</v>
      </c>
      <c r="G87" s="6"/>
      <c r="H87" s="6"/>
      <c r="I87" s="94">
        <v>21600</v>
      </c>
      <c r="J87" s="90">
        <v>0.5</v>
      </c>
      <c r="K87" s="99"/>
      <c r="L87" s="99"/>
      <c r="M87" s="99"/>
      <c r="N87" s="99"/>
      <c r="O87" s="99"/>
      <c r="P87" s="124"/>
    </row>
    <row r="88" spans="1:16" x14ac:dyDescent="0.2">
      <c r="A88" s="6" t="s">
        <v>68</v>
      </c>
      <c r="B88" s="6"/>
      <c r="C88" s="6"/>
      <c r="D88" s="123">
        <v>2</v>
      </c>
      <c r="E88" s="90">
        <v>0.7</v>
      </c>
      <c r="F88" s="6" t="s">
        <v>68</v>
      </c>
      <c r="G88" s="6"/>
      <c r="H88" s="6"/>
      <c r="I88" s="123">
        <v>3</v>
      </c>
      <c r="J88" s="90">
        <v>0.7</v>
      </c>
      <c r="K88" s="99"/>
      <c r="L88" s="99"/>
      <c r="M88" s="99"/>
      <c r="N88" s="99"/>
      <c r="O88" s="99"/>
      <c r="P88" s="124"/>
    </row>
    <row r="89" spans="1:16" x14ac:dyDescent="0.2">
      <c r="A89" s="6" t="s">
        <v>69</v>
      </c>
      <c r="B89" s="6"/>
      <c r="C89" s="6"/>
      <c r="D89" s="94">
        <v>600</v>
      </c>
      <c r="E89" s="90">
        <v>0.6</v>
      </c>
      <c r="F89" s="6" t="s">
        <v>69</v>
      </c>
      <c r="G89" s="6"/>
      <c r="H89" s="6"/>
      <c r="I89" s="94">
        <v>600</v>
      </c>
      <c r="J89" s="90">
        <v>0.6</v>
      </c>
      <c r="K89" s="217"/>
      <c r="L89" s="99"/>
      <c r="M89" s="99"/>
      <c r="N89" s="99"/>
      <c r="O89" s="99"/>
      <c r="P89" s="124"/>
    </row>
    <row r="90" spans="1:16" x14ac:dyDescent="0.2">
      <c r="A90" s="6" t="s">
        <v>78</v>
      </c>
      <c r="B90" s="6"/>
      <c r="C90" s="6"/>
      <c r="D90" s="71"/>
      <c r="E90" s="69"/>
      <c r="F90" s="6" t="s">
        <v>79</v>
      </c>
      <c r="G90" s="6"/>
      <c r="H90" s="6"/>
      <c r="I90" s="9"/>
      <c r="J90" s="69"/>
      <c r="K90" s="220"/>
      <c r="L90" s="99"/>
      <c r="M90" s="99"/>
      <c r="N90" s="99"/>
      <c r="O90" s="99"/>
      <c r="P90" s="124"/>
    </row>
    <row r="91" spans="1:16" x14ac:dyDescent="0.2">
      <c r="A91" s="6" t="s">
        <v>72</v>
      </c>
      <c r="B91" s="6"/>
      <c r="C91" s="6"/>
      <c r="D91" s="187"/>
      <c r="E91" s="69"/>
      <c r="F91" s="6" t="s">
        <v>74</v>
      </c>
      <c r="G91" s="6"/>
      <c r="H91" s="6"/>
      <c r="I91" s="9"/>
      <c r="J91" s="69"/>
      <c r="K91" s="99"/>
      <c r="L91" s="99"/>
      <c r="M91" s="99"/>
      <c r="N91" s="99"/>
      <c r="O91" s="99"/>
      <c r="P91" s="124"/>
    </row>
    <row r="92" spans="1:16" x14ac:dyDescent="0.2">
      <c r="A92" s="6" t="s">
        <v>67</v>
      </c>
      <c r="B92" s="6"/>
      <c r="C92" s="6"/>
      <c r="D92" s="71"/>
      <c r="E92" s="69"/>
      <c r="F92" s="6" t="s">
        <v>66</v>
      </c>
      <c r="G92" s="6"/>
      <c r="H92" s="6"/>
      <c r="I92" s="94">
        <v>36000</v>
      </c>
      <c r="J92" s="90">
        <v>0.5</v>
      </c>
      <c r="K92" s="99"/>
      <c r="L92" s="99"/>
      <c r="M92" s="99"/>
      <c r="N92" s="99"/>
      <c r="O92" s="99"/>
      <c r="P92" s="124"/>
    </row>
    <row r="93" spans="1:16" ht="14.25" x14ac:dyDescent="0.2">
      <c r="A93" s="253" t="s">
        <v>719</v>
      </c>
      <c r="B93" s="6"/>
      <c r="C93" s="6"/>
      <c r="D93" s="294">
        <f>J25/J22</f>
        <v>0.28127792478399444</v>
      </c>
      <c r="E93" s="90"/>
      <c r="F93" s="6" t="s">
        <v>68</v>
      </c>
      <c r="G93" s="6"/>
      <c r="H93" s="6"/>
      <c r="I93" s="123">
        <v>5</v>
      </c>
      <c r="J93" s="90">
        <v>0.7</v>
      </c>
      <c r="K93" s="99"/>
      <c r="L93" s="99"/>
      <c r="M93" s="99"/>
      <c r="N93" s="99"/>
      <c r="O93" s="99"/>
      <c r="P93" s="124"/>
    </row>
    <row r="94" spans="1:16" x14ac:dyDescent="0.2">
      <c r="A94" s="6" t="s">
        <v>66</v>
      </c>
      <c r="B94" s="6"/>
      <c r="C94" s="6"/>
      <c r="D94" s="186">
        <v>28800</v>
      </c>
      <c r="E94" s="90">
        <v>0.5</v>
      </c>
      <c r="F94" s="6" t="s">
        <v>69</v>
      </c>
      <c r="G94" s="6"/>
      <c r="H94" s="6"/>
      <c r="I94" s="94">
        <v>900</v>
      </c>
      <c r="J94" s="90">
        <v>0.6</v>
      </c>
      <c r="K94" s="218"/>
      <c r="L94" s="99"/>
      <c r="M94" s="99"/>
      <c r="N94" s="99"/>
      <c r="O94" s="99"/>
      <c r="P94" s="124"/>
    </row>
    <row r="95" spans="1:16" x14ac:dyDescent="0.2">
      <c r="A95" s="6" t="s">
        <v>68</v>
      </c>
      <c r="B95" s="6"/>
      <c r="C95" s="6"/>
      <c r="D95" s="123">
        <v>8</v>
      </c>
      <c r="E95" s="90">
        <v>0.8</v>
      </c>
      <c r="F95" s="6" t="s">
        <v>311</v>
      </c>
      <c r="K95" s="220"/>
      <c r="L95" s="99"/>
      <c r="M95" s="99"/>
      <c r="N95" s="99"/>
      <c r="O95" s="99"/>
      <c r="P95" s="124"/>
    </row>
    <row r="96" spans="1:16" x14ac:dyDescent="0.2">
      <c r="A96" s="6" t="s">
        <v>69</v>
      </c>
      <c r="B96" s="6"/>
      <c r="C96" s="6"/>
      <c r="D96" s="94">
        <v>750</v>
      </c>
      <c r="E96" s="90">
        <v>0.8</v>
      </c>
      <c r="F96" s="6" t="s">
        <v>300</v>
      </c>
      <c r="K96" s="218"/>
      <c r="L96" s="99"/>
      <c r="M96" s="99"/>
      <c r="N96" s="99"/>
      <c r="O96" s="99"/>
      <c r="P96" s="124"/>
    </row>
    <row r="97" spans="1:20" x14ac:dyDescent="0.2">
      <c r="A97" s="6" t="s">
        <v>75</v>
      </c>
      <c r="B97" s="6"/>
      <c r="C97" s="175"/>
      <c r="E97" s="187"/>
      <c r="F97" s="6" t="s">
        <v>66</v>
      </c>
      <c r="G97" s="6"/>
      <c r="H97" s="6"/>
      <c r="I97" s="605">
        <v>7200</v>
      </c>
      <c r="J97" s="90">
        <v>0.4</v>
      </c>
      <c r="K97" s="218"/>
      <c r="L97" s="266"/>
      <c r="M97" s="99"/>
      <c r="N97" s="99"/>
      <c r="O97" s="99"/>
      <c r="P97" s="124"/>
    </row>
    <row r="98" spans="1:20" x14ac:dyDescent="0.2">
      <c r="A98" s="6" t="s">
        <v>67</v>
      </c>
      <c r="B98" s="6"/>
      <c r="C98" s="6"/>
      <c r="D98" s="71"/>
      <c r="E98" s="69"/>
      <c r="F98" s="6" t="s">
        <v>68</v>
      </c>
      <c r="G98" s="6"/>
      <c r="H98" s="6"/>
      <c r="I98" s="606">
        <v>6</v>
      </c>
      <c r="J98" s="90">
        <v>0.6</v>
      </c>
      <c r="K98" s="218"/>
      <c r="L98" s="266"/>
      <c r="M98" s="99"/>
      <c r="N98" s="99"/>
      <c r="O98" s="99"/>
      <c r="P98" s="124"/>
    </row>
    <row r="99" spans="1:20" ht="14.25" x14ac:dyDescent="0.2">
      <c r="A99" s="253" t="s">
        <v>719</v>
      </c>
      <c r="B99" s="6"/>
      <c r="C99" s="6"/>
      <c r="D99" s="294">
        <f>J26/J22</f>
        <v>0.18602721768598535</v>
      </c>
      <c r="E99" s="90"/>
      <c r="F99" s="6" t="s">
        <v>69</v>
      </c>
      <c r="G99" s="6"/>
      <c r="H99" s="6"/>
      <c r="I99" s="94">
        <v>100</v>
      </c>
      <c r="J99" s="90">
        <v>0.4</v>
      </c>
      <c r="K99" s="218"/>
      <c r="L99" s="99"/>
      <c r="M99" s="99"/>
      <c r="N99" s="99"/>
      <c r="O99" s="99"/>
      <c r="P99" s="124"/>
      <c r="Q99" s="38"/>
      <c r="R99" s="127"/>
      <c r="S99" s="86"/>
    </row>
    <row r="100" spans="1:20" x14ac:dyDescent="0.2">
      <c r="A100" s="6" t="s">
        <v>66</v>
      </c>
      <c r="B100" s="6"/>
      <c r="C100" s="6"/>
      <c r="D100" s="186">
        <v>28800</v>
      </c>
      <c r="E100" s="90">
        <v>0.5</v>
      </c>
      <c r="F100" s="4" t="s">
        <v>80</v>
      </c>
      <c r="G100" s="4"/>
      <c r="H100" s="4"/>
      <c r="I100" s="9"/>
      <c r="J100" s="69"/>
      <c r="K100" s="218"/>
      <c r="L100" s="99"/>
      <c r="M100" s="99"/>
      <c r="N100" s="99"/>
      <c r="O100" s="99"/>
      <c r="P100" s="124"/>
      <c r="Q100" s="38"/>
      <c r="R100" s="127"/>
      <c r="S100" s="86"/>
    </row>
    <row r="101" spans="1:20" x14ac:dyDescent="0.2">
      <c r="A101" s="6" t="s">
        <v>68</v>
      </c>
      <c r="B101" s="6"/>
      <c r="C101" s="6"/>
      <c r="D101" s="123">
        <v>8</v>
      </c>
      <c r="E101" s="90">
        <v>0.8</v>
      </c>
      <c r="F101" s="6" t="s">
        <v>74</v>
      </c>
      <c r="G101" s="6"/>
      <c r="H101" s="6"/>
      <c r="I101" s="9"/>
      <c r="J101" s="69"/>
      <c r="K101" s="218"/>
      <c r="L101" s="99"/>
      <c r="M101" s="99"/>
      <c r="N101" s="99"/>
      <c r="O101" s="99"/>
      <c r="P101" s="124"/>
      <c r="Q101" s="38"/>
      <c r="R101" s="127"/>
      <c r="S101" s="86"/>
    </row>
    <row r="102" spans="1:20" x14ac:dyDescent="0.2">
      <c r="A102" s="6" t="s">
        <v>69</v>
      </c>
      <c r="B102" s="6"/>
      <c r="C102" s="6"/>
      <c r="D102" s="94">
        <v>750</v>
      </c>
      <c r="E102" s="90">
        <v>0.8</v>
      </c>
      <c r="F102" s="6" t="s">
        <v>234</v>
      </c>
      <c r="G102" s="6"/>
      <c r="H102" s="6"/>
      <c r="I102" s="152">
        <v>40</v>
      </c>
      <c r="J102" s="153">
        <v>0.3</v>
      </c>
      <c r="K102" s="218"/>
      <c r="L102" s="99"/>
      <c r="M102" s="99"/>
      <c r="N102" s="99"/>
      <c r="O102" s="99"/>
      <c r="P102" s="124"/>
      <c r="Q102" s="38"/>
      <c r="R102" s="127"/>
      <c r="S102" s="86"/>
      <c r="T102" s="127"/>
    </row>
    <row r="103" spans="1:20" x14ac:dyDescent="0.2">
      <c r="A103" s="6" t="s">
        <v>278</v>
      </c>
      <c r="B103" s="6"/>
      <c r="C103" s="6"/>
      <c r="D103" s="71"/>
      <c r="E103" s="187"/>
      <c r="F103" s="6" t="s">
        <v>66</v>
      </c>
      <c r="G103" s="6"/>
      <c r="H103" s="6"/>
      <c r="I103" s="94">
        <v>57600</v>
      </c>
      <c r="J103" s="90">
        <v>0.7</v>
      </c>
      <c r="K103" s="220"/>
      <c r="L103" s="99"/>
      <c r="M103" s="99"/>
      <c r="N103" s="99"/>
      <c r="O103" s="99"/>
      <c r="P103" s="124"/>
      <c r="Q103" s="38"/>
      <c r="R103" s="127"/>
      <c r="S103" s="86"/>
    </row>
    <row r="104" spans="1:20" x14ac:dyDescent="0.2">
      <c r="A104" s="6" t="s">
        <v>240</v>
      </c>
      <c r="B104" s="6"/>
      <c r="C104" s="6"/>
      <c r="D104" s="154"/>
      <c r="E104" s="95"/>
      <c r="F104" s="6" t="s">
        <v>68</v>
      </c>
      <c r="G104" s="6"/>
      <c r="H104" s="6"/>
      <c r="I104" s="123">
        <v>30</v>
      </c>
      <c r="J104" s="90">
        <v>0.8</v>
      </c>
      <c r="K104" s="220"/>
      <c r="L104" s="99"/>
      <c r="M104" s="99"/>
      <c r="N104" s="99"/>
      <c r="O104" s="99"/>
      <c r="P104" s="124"/>
      <c r="Q104" s="38"/>
      <c r="R104" s="127"/>
      <c r="S104" s="86"/>
    </row>
    <row r="105" spans="1:20" x14ac:dyDescent="0.2">
      <c r="A105" s="6" t="s">
        <v>66</v>
      </c>
      <c r="B105" s="6"/>
      <c r="C105" s="6"/>
      <c r="D105" s="605">
        <v>10800</v>
      </c>
      <c r="E105" s="171">
        <v>0.4</v>
      </c>
      <c r="F105" s="6" t="s">
        <v>69</v>
      </c>
      <c r="G105" s="6"/>
      <c r="H105" s="6"/>
      <c r="I105" s="94">
        <v>2200</v>
      </c>
      <c r="J105" s="90">
        <v>0.8</v>
      </c>
      <c r="K105" s="99"/>
      <c r="L105" s="221"/>
      <c r="M105" s="99"/>
      <c r="N105" s="99"/>
      <c r="O105" s="99"/>
      <c r="P105" s="124"/>
      <c r="Q105" s="38"/>
      <c r="R105" s="127"/>
      <c r="S105" s="86"/>
    </row>
    <row r="106" spans="1:20" x14ac:dyDescent="0.2">
      <c r="A106" s="6" t="s">
        <v>68</v>
      </c>
      <c r="B106" s="6"/>
      <c r="C106" s="6"/>
      <c r="D106" s="606">
        <v>5</v>
      </c>
      <c r="E106" s="171">
        <v>0.6</v>
      </c>
      <c r="F106" s="4" t="s">
        <v>301</v>
      </c>
      <c r="G106" s="4"/>
      <c r="H106" s="4"/>
      <c r="I106" s="9"/>
      <c r="J106" s="70"/>
      <c r="K106" s="99"/>
      <c r="L106" s="221"/>
      <c r="M106" s="99"/>
      <c r="N106" s="99"/>
      <c r="O106" s="222"/>
      <c r="P106" s="223"/>
      <c r="Q106" s="38"/>
      <c r="R106" s="127"/>
      <c r="S106" s="86"/>
    </row>
    <row r="107" spans="1:20" x14ac:dyDescent="0.2">
      <c r="A107" s="6" t="s">
        <v>69</v>
      </c>
      <c r="B107" s="6"/>
      <c r="C107" s="6"/>
      <c r="D107" s="94">
        <v>225</v>
      </c>
      <c r="E107" s="171">
        <v>0.6</v>
      </c>
      <c r="F107" s="6" t="s">
        <v>74</v>
      </c>
      <c r="G107" s="6"/>
      <c r="H107" s="6"/>
      <c r="I107" s="9"/>
      <c r="J107" s="70"/>
      <c r="M107" s="99"/>
      <c r="N107" s="99"/>
      <c r="O107" s="222"/>
      <c r="P107" s="223"/>
      <c r="Q107" s="38"/>
      <c r="R107" s="127"/>
      <c r="S107" s="86"/>
    </row>
    <row r="108" spans="1:20" x14ac:dyDescent="0.2">
      <c r="A108" s="6" t="s">
        <v>226</v>
      </c>
      <c r="B108" s="6"/>
      <c r="C108" s="6"/>
      <c r="D108" s="71"/>
      <c r="E108" s="69"/>
      <c r="F108" s="6" t="s">
        <v>66</v>
      </c>
      <c r="G108" s="6"/>
      <c r="H108" s="6"/>
      <c r="I108" s="94">
        <v>14400</v>
      </c>
      <c r="J108" s="90">
        <v>0.5</v>
      </c>
      <c r="O108" s="86"/>
      <c r="P108" s="127"/>
      <c r="Q108" s="38"/>
      <c r="R108" s="127"/>
      <c r="S108" s="86"/>
    </row>
    <row r="109" spans="1:20" x14ac:dyDescent="0.2">
      <c r="A109" s="6" t="s">
        <v>72</v>
      </c>
      <c r="B109" s="6"/>
      <c r="C109" s="6"/>
      <c r="D109" s="71"/>
      <c r="E109" s="69"/>
      <c r="F109" s="6" t="s">
        <v>68</v>
      </c>
      <c r="G109" s="6"/>
      <c r="H109" s="6"/>
      <c r="I109" s="123">
        <v>2</v>
      </c>
      <c r="J109" s="90">
        <v>0.7</v>
      </c>
      <c r="O109" s="86"/>
      <c r="P109" s="127"/>
      <c r="Q109" s="38"/>
      <c r="R109" s="127"/>
      <c r="S109" s="86"/>
      <c r="T109" s="86"/>
    </row>
    <row r="110" spans="1:20" x14ac:dyDescent="0.2">
      <c r="A110" s="6" t="s">
        <v>67</v>
      </c>
      <c r="B110" s="6"/>
      <c r="C110" s="6"/>
      <c r="D110" s="71"/>
      <c r="E110" s="69"/>
      <c r="F110" s="6" t="s">
        <v>69</v>
      </c>
      <c r="G110" s="6"/>
      <c r="H110" s="6"/>
      <c r="I110" s="94">
        <v>450</v>
      </c>
      <c r="J110" s="90">
        <v>0.6</v>
      </c>
      <c r="O110" s="86"/>
      <c r="P110" s="127"/>
      <c r="Q110" s="38"/>
      <c r="R110" s="127"/>
      <c r="S110" s="86"/>
    </row>
    <row r="111" spans="1:20" x14ac:dyDescent="0.2">
      <c r="A111" s="6" t="s">
        <v>66</v>
      </c>
      <c r="B111" s="6"/>
      <c r="C111" s="6"/>
      <c r="D111" s="94">
        <v>14400</v>
      </c>
      <c r="E111" s="90">
        <v>0.5</v>
      </c>
      <c r="F111" s="4" t="s">
        <v>302</v>
      </c>
      <c r="G111" s="4"/>
      <c r="H111" s="4"/>
      <c r="I111" s="9"/>
      <c r="J111" s="70"/>
      <c r="L111" s="86"/>
      <c r="O111" s="86"/>
      <c r="P111" s="127"/>
      <c r="Q111" s="38"/>
      <c r="R111" s="127"/>
      <c r="S111" s="86"/>
    </row>
    <row r="112" spans="1:20" x14ac:dyDescent="0.2">
      <c r="A112" s="6" t="s">
        <v>68</v>
      </c>
      <c r="B112" s="6"/>
      <c r="C112" s="6"/>
      <c r="D112" s="123">
        <v>1</v>
      </c>
      <c r="E112" s="90">
        <v>0.7</v>
      </c>
      <c r="F112" s="6" t="s">
        <v>74</v>
      </c>
      <c r="G112" s="6"/>
      <c r="H112" s="6"/>
      <c r="I112" s="9"/>
      <c r="J112" s="70"/>
      <c r="L112" s="86"/>
      <c r="O112" s="86"/>
      <c r="P112" s="127"/>
      <c r="Q112" s="38"/>
      <c r="R112" s="127"/>
      <c r="S112" s="86"/>
    </row>
    <row r="113" spans="1:19" x14ac:dyDescent="0.2">
      <c r="A113" s="6" t="s">
        <v>69</v>
      </c>
      <c r="B113" s="6"/>
      <c r="C113" s="6"/>
      <c r="D113" s="94">
        <v>225</v>
      </c>
      <c r="E113" s="90">
        <v>0.6</v>
      </c>
      <c r="F113" s="6" t="s">
        <v>66</v>
      </c>
      <c r="G113" s="6"/>
      <c r="H113" s="6"/>
      <c r="I113" s="94">
        <v>21600</v>
      </c>
      <c r="J113" s="90">
        <v>0.4</v>
      </c>
      <c r="L113" s="86"/>
      <c r="O113" s="86"/>
      <c r="P113" s="127"/>
      <c r="Q113" s="38"/>
      <c r="R113" s="127"/>
    </row>
    <row r="114" spans="1:19" x14ac:dyDescent="0.2">
      <c r="A114" s="6" t="s">
        <v>75</v>
      </c>
      <c r="B114" s="6"/>
      <c r="C114" s="6"/>
      <c r="D114" s="69"/>
      <c r="E114" s="19"/>
      <c r="F114" s="6" t="s">
        <v>68</v>
      </c>
      <c r="G114" s="6"/>
      <c r="H114" s="6"/>
      <c r="I114" s="172">
        <v>4.75</v>
      </c>
      <c r="J114" s="90">
        <v>0.7</v>
      </c>
      <c r="L114" s="86"/>
      <c r="O114" s="86"/>
      <c r="P114" s="127"/>
      <c r="Q114" s="38"/>
      <c r="R114" s="127"/>
      <c r="S114" s="86"/>
    </row>
    <row r="115" spans="1:19" x14ac:dyDescent="0.2">
      <c r="A115" s="6" t="s">
        <v>67</v>
      </c>
      <c r="B115" s="6"/>
      <c r="C115" s="6"/>
      <c r="D115" s="69"/>
      <c r="E115" s="19"/>
      <c r="F115" s="6" t="s">
        <v>69</v>
      </c>
      <c r="G115" s="6"/>
      <c r="H115" s="6"/>
      <c r="I115" s="94">
        <v>900</v>
      </c>
      <c r="J115" s="90">
        <v>0.6</v>
      </c>
      <c r="L115" s="88"/>
      <c r="O115" s="86"/>
      <c r="P115" s="127"/>
      <c r="Q115" s="38"/>
      <c r="R115" s="127"/>
      <c r="S115" s="86"/>
    </row>
    <row r="116" spans="1:19" x14ac:dyDescent="0.2">
      <c r="A116" s="6" t="s">
        <v>66</v>
      </c>
      <c r="B116" s="6"/>
      <c r="C116" s="6"/>
      <c r="D116" s="94">
        <v>7200</v>
      </c>
      <c r="E116" s="90">
        <v>0.5</v>
      </c>
      <c r="F116" s="4" t="s">
        <v>81</v>
      </c>
      <c r="G116" s="4"/>
      <c r="H116" s="4"/>
      <c r="I116" s="9"/>
      <c r="J116" s="70"/>
      <c r="L116" s="86"/>
      <c r="O116" s="86"/>
      <c r="P116" s="127"/>
      <c r="Q116" s="38"/>
      <c r="R116" s="127"/>
      <c r="S116" s="86"/>
    </row>
    <row r="117" spans="1:19" x14ac:dyDescent="0.2">
      <c r="A117" s="6" t="s">
        <v>68</v>
      </c>
      <c r="B117" s="6"/>
      <c r="C117" s="6"/>
      <c r="D117" s="123">
        <v>1</v>
      </c>
      <c r="E117" s="90">
        <v>0.7</v>
      </c>
      <c r="F117" s="6" t="s">
        <v>74</v>
      </c>
      <c r="G117" s="6"/>
      <c r="H117" s="6"/>
      <c r="I117" s="9"/>
      <c r="J117" s="70"/>
      <c r="L117" s="86"/>
      <c r="O117" s="86"/>
      <c r="P117" s="127"/>
      <c r="Q117" s="38"/>
      <c r="R117" s="127"/>
      <c r="S117" s="86"/>
    </row>
    <row r="118" spans="1:19" x14ac:dyDescent="0.2">
      <c r="A118" s="6" t="s">
        <v>69</v>
      </c>
      <c r="B118" s="6"/>
      <c r="C118" s="6"/>
      <c r="D118" s="94">
        <v>225</v>
      </c>
      <c r="E118" s="90">
        <v>0.6</v>
      </c>
      <c r="F118" s="6" t="s">
        <v>66</v>
      </c>
      <c r="G118" s="6"/>
      <c r="H118" s="6"/>
      <c r="I118" s="94">
        <v>43200</v>
      </c>
      <c r="J118" s="90">
        <v>0.5</v>
      </c>
      <c r="L118" s="86"/>
      <c r="O118" s="86"/>
      <c r="Q118" s="38"/>
      <c r="S118" s="86"/>
    </row>
    <row r="119" spans="1:19" x14ac:dyDescent="0.2">
      <c r="A119" s="4" t="s">
        <v>303</v>
      </c>
      <c r="B119" s="4"/>
      <c r="C119" s="4"/>
      <c r="D119" s="9"/>
      <c r="E119" s="70"/>
      <c r="F119" s="6" t="s">
        <v>68</v>
      </c>
      <c r="G119" s="6"/>
      <c r="H119" s="6"/>
      <c r="I119" s="123">
        <v>6</v>
      </c>
      <c r="J119" s="90">
        <v>0.7</v>
      </c>
      <c r="L119" s="86"/>
      <c r="O119" s="86"/>
      <c r="P119" s="127"/>
      <c r="Q119" s="38"/>
      <c r="R119" s="127"/>
      <c r="S119" s="86"/>
    </row>
    <row r="120" spans="1:19" x14ac:dyDescent="0.2">
      <c r="A120" s="6" t="s">
        <v>67</v>
      </c>
      <c r="B120" s="6"/>
      <c r="C120" s="6"/>
      <c r="D120" s="9"/>
      <c r="E120" s="70"/>
      <c r="F120" s="6" t="s">
        <v>69</v>
      </c>
      <c r="G120" s="6"/>
      <c r="H120" s="6"/>
      <c r="I120" s="94">
        <v>600</v>
      </c>
      <c r="J120" s="90">
        <v>0.6</v>
      </c>
      <c r="L120" s="86"/>
      <c r="O120" s="86"/>
      <c r="P120" s="127"/>
      <c r="Q120" s="38"/>
      <c r="R120" s="127"/>
      <c r="S120" s="86"/>
    </row>
    <row r="121" spans="1:19" x14ac:dyDescent="0.2">
      <c r="A121" s="6" t="s">
        <v>66</v>
      </c>
      <c r="B121" s="6"/>
      <c r="C121" s="6"/>
      <c r="D121" s="94">
        <v>28800</v>
      </c>
      <c r="E121" s="90">
        <v>0.7</v>
      </c>
      <c r="F121" s="4" t="s">
        <v>230</v>
      </c>
      <c r="G121" s="4"/>
      <c r="H121" s="4"/>
      <c r="I121" s="9"/>
      <c r="J121" s="70"/>
      <c r="L121" s="86"/>
      <c r="O121" s="86"/>
      <c r="P121" s="127"/>
      <c r="Q121" s="38"/>
      <c r="R121" s="127"/>
      <c r="S121" s="86"/>
    </row>
    <row r="122" spans="1:19" x14ac:dyDescent="0.2">
      <c r="A122" s="6" t="s">
        <v>68</v>
      </c>
      <c r="B122" s="6"/>
      <c r="C122" s="6"/>
      <c r="D122" s="123">
        <v>1.5</v>
      </c>
      <c r="E122" s="90">
        <v>0.7</v>
      </c>
      <c r="F122" s="6" t="s">
        <v>74</v>
      </c>
      <c r="G122" s="6"/>
      <c r="H122" s="6"/>
      <c r="I122" s="9"/>
      <c r="J122" s="70"/>
      <c r="L122" s="86"/>
      <c r="O122" s="86"/>
      <c r="P122" s="127"/>
      <c r="Q122" s="38"/>
      <c r="R122" s="127"/>
      <c r="S122" s="86"/>
    </row>
    <row r="123" spans="1:19" x14ac:dyDescent="0.2">
      <c r="A123" s="6" t="s">
        <v>69</v>
      </c>
      <c r="B123" s="6"/>
      <c r="C123" s="6"/>
      <c r="D123" s="94">
        <v>900</v>
      </c>
      <c r="E123" s="90">
        <v>0.6</v>
      </c>
      <c r="F123" s="6" t="s">
        <v>350</v>
      </c>
      <c r="G123" s="6"/>
      <c r="H123" s="6"/>
      <c r="I123" s="152">
        <v>4</v>
      </c>
      <c r="J123" s="90">
        <v>0.3</v>
      </c>
      <c r="L123" s="86"/>
      <c r="O123" s="86"/>
      <c r="P123" s="127"/>
      <c r="Q123" s="38"/>
      <c r="R123" s="127"/>
      <c r="S123" s="86"/>
    </row>
    <row r="124" spans="1:19" x14ac:dyDescent="0.2">
      <c r="A124" s="4" t="s">
        <v>304</v>
      </c>
      <c r="B124" s="6"/>
      <c r="C124" s="6"/>
      <c r="D124" s="9"/>
      <c r="E124" s="69"/>
      <c r="F124" s="6" t="s">
        <v>66</v>
      </c>
      <c r="G124" s="6"/>
      <c r="H124" s="6"/>
      <c r="I124" s="94">
        <v>43200</v>
      </c>
      <c r="J124" s="90">
        <v>0.5</v>
      </c>
      <c r="L124" s="86"/>
      <c r="O124" s="86"/>
      <c r="P124" s="127"/>
      <c r="Q124" s="38"/>
      <c r="R124" s="127"/>
      <c r="S124" s="86"/>
    </row>
    <row r="125" spans="1:19" x14ac:dyDescent="0.2">
      <c r="A125" s="6" t="s">
        <v>67</v>
      </c>
      <c r="B125" s="6"/>
      <c r="C125" s="6"/>
      <c r="D125" s="9"/>
      <c r="E125" s="69"/>
      <c r="F125" s="6" t="s">
        <v>68</v>
      </c>
      <c r="G125" s="6"/>
      <c r="H125" s="6"/>
      <c r="I125" s="123">
        <v>6</v>
      </c>
      <c r="J125" s="90">
        <v>0.7</v>
      </c>
      <c r="L125" s="86"/>
      <c r="O125" s="86"/>
      <c r="P125" s="127"/>
      <c r="Q125" s="38"/>
      <c r="R125" s="127"/>
      <c r="S125" s="86"/>
    </row>
    <row r="126" spans="1:19" x14ac:dyDescent="0.2">
      <c r="A126" s="6" t="s">
        <v>66</v>
      </c>
      <c r="B126" s="6"/>
      <c r="C126" s="6"/>
      <c r="D126" s="94">
        <v>28800</v>
      </c>
      <c r="E126" s="90">
        <v>0.5</v>
      </c>
      <c r="F126" s="6" t="s">
        <v>69</v>
      </c>
      <c r="G126" s="6"/>
      <c r="H126" s="6"/>
      <c r="I126" s="94">
        <v>900</v>
      </c>
      <c r="J126" s="90">
        <v>0.6</v>
      </c>
      <c r="L126" s="86"/>
      <c r="O126" s="86"/>
      <c r="Q126" s="38"/>
      <c r="S126" s="86"/>
    </row>
    <row r="127" spans="1:19" x14ac:dyDescent="0.2">
      <c r="A127" s="6" t="s">
        <v>68</v>
      </c>
      <c r="B127" s="6"/>
      <c r="C127" s="6"/>
      <c r="D127" s="123">
        <v>2</v>
      </c>
      <c r="E127" s="90">
        <v>0.7</v>
      </c>
      <c r="F127" s="4" t="s">
        <v>82</v>
      </c>
      <c r="G127" s="4"/>
      <c r="H127" s="4"/>
      <c r="I127" s="69"/>
      <c r="J127" s="19"/>
      <c r="L127" s="86"/>
      <c r="O127" s="86"/>
      <c r="Q127" s="38"/>
      <c r="S127" s="86"/>
    </row>
    <row r="128" spans="1:19" x14ac:dyDescent="0.2">
      <c r="A128" s="6" t="s">
        <v>69</v>
      </c>
      <c r="B128" s="6"/>
      <c r="C128" s="6"/>
      <c r="D128" s="94">
        <v>300</v>
      </c>
      <c r="E128" s="90">
        <v>0.6</v>
      </c>
      <c r="F128" s="6" t="s">
        <v>74</v>
      </c>
      <c r="G128" s="6"/>
      <c r="H128" s="6"/>
      <c r="I128" s="69"/>
      <c r="J128" s="19"/>
      <c r="L128" s="86"/>
      <c r="O128" s="86"/>
    </row>
    <row r="129" spans="1:12" x14ac:dyDescent="0.2">
      <c r="A129" s="4" t="s">
        <v>305</v>
      </c>
      <c r="F129" s="6" t="s">
        <v>66</v>
      </c>
      <c r="G129" s="6"/>
      <c r="H129" s="6"/>
      <c r="I129" s="94">
        <v>36000</v>
      </c>
      <c r="J129" s="90">
        <v>0.7</v>
      </c>
      <c r="L129" s="86"/>
    </row>
    <row r="130" spans="1:12" x14ac:dyDescent="0.2">
      <c r="A130" s="6" t="s">
        <v>67</v>
      </c>
      <c r="B130" s="6"/>
      <c r="C130" s="6"/>
      <c r="F130" s="6" t="s">
        <v>68</v>
      </c>
      <c r="G130" s="6"/>
      <c r="H130" s="6"/>
      <c r="I130" s="123">
        <v>2.5</v>
      </c>
      <c r="J130" s="90">
        <v>0.7</v>
      </c>
      <c r="L130" s="86"/>
    </row>
    <row r="131" spans="1:12" x14ac:dyDescent="0.2">
      <c r="A131" s="6" t="s">
        <v>66</v>
      </c>
      <c r="B131" s="6"/>
      <c r="C131" s="6"/>
      <c r="D131" s="94">
        <v>14400</v>
      </c>
      <c r="E131" s="90">
        <v>0.5</v>
      </c>
      <c r="F131" s="6" t="s">
        <v>69</v>
      </c>
      <c r="G131" s="6"/>
      <c r="H131" s="6"/>
      <c r="I131" s="94">
        <v>600</v>
      </c>
      <c r="J131" s="90">
        <v>0.6</v>
      </c>
      <c r="L131" s="86"/>
    </row>
    <row r="132" spans="1:12" x14ac:dyDescent="0.2">
      <c r="A132" s="6" t="s">
        <v>68</v>
      </c>
      <c r="B132" s="6"/>
      <c r="C132" s="6"/>
      <c r="D132" s="123">
        <v>1.6</v>
      </c>
      <c r="E132" s="90">
        <v>0.7</v>
      </c>
      <c r="F132" s="4" t="s">
        <v>83</v>
      </c>
      <c r="G132" s="4"/>
      <c r="H132" s="4"/>
      <c r="I132" s="69"/>
      <c r="J132" s="19"/>
      <c r="L132" s="86"/>
    </row>
    <row r="133" spans="1:12" x14ac:dyDescent="0.2">
      <c r="A133" s="6" t="s">
        <v>69</v>
      </c>
      <c r="B133" s="6"/>
      <c r="C133" s="6"/>
      <c r="D133" s="94">
        <v>300</v>
      </c>
      <c r="E133" s="90">
        <v>0.6</v>
      </c>
      <c r="F133" s="6" t="s">
        <v>65</v>
      </c>
      <c r="G133" s="6"/>
      <c r="H133" s="6"/>
      <c r="I133" s="69"/>
      <c r="J133" s="19"/>
      <c r="L133" s="86"/>
    </row>
    <row r="134" spans="1:12" x14ac:dyDescent="0.2">
      <c r="A134" s="4" t="s">
        <v>306</v>
      </c>
      <c r="F134" s="6" t="s">
        <v>66</v>
      </c>
      <c r="G134" s="6"/>
      <c r="H134" s="6"/>
      <c r="I134" s="94">
        <v>28800</v>
      </c>
      <c r="J134" s="90">
        <v>0.5</v>
      </c>
      <c r="L134" s="86"/>
    </row>
    <row r="135" spans="1:12" x14ac:dyDescent="0.2">
      <c r="A135" s="6" t="s">
        <v>65</v>
      </c>
      <c r="B135" s="6"/>
      <c r="C135" s="6"/>
      <c r="D135" s="13"/>
      <c r="E135" s="69"/>
      <c r="F135" s="6" t="s">
        <v>68</v>
      </c>
      <c r="G135" s="6"/>
      <c r="H135" s="6"/>
      <c r="I135" s="123">
        <v>5</v>
      </c>
      <c r="J135" s="90">
        <v>0.7</v>
      </c>
      <c r="L135" s="86"/>
    </row>
    <row r="136" spans="1:12" x14ac:dyDescent="0.2">
      <c r="A136" s="6" t="s">
        <v>66</v>
      </c>
      <c r="B136" s="6"/>
      <c r="C136" s="6"/>
      <c r="D136" s="94">
        <v>28800</v>
      </c>
      <c r="E136" s="90">
        <v>0.5</v>
      </c>
      <c r="F136" s="6" t="s">
        <v>69</v>
      </c>
      <c r="G136" s="6"/>
      <c r="H136" s="6"/>
      <c r="I136" s="94">
        <v>900</v>
      </c>
      <c r="J136" s="90">
        <v>0.6</v>
      </c>
      <c r="L136" s="86"/>
    </row>
    <row r="137" spans="1:12" x14ac:dyDescent="0.2">
      <c r="A137" s="6" t="s">
        <v>68</v>
      </c>
      <c r="B137" s="6"/>
      <c r="C137" s="6"/>
      <c r="D137" s="76">
        <v>1.5</v>
      </c>
      <c r="E137" s="90">
        <v>0.7</v>
      </c>
      <c r="G137" s="6"/>
      <c r="L137" s="86"/>
    </row>
    <row r="138" spans="1:12" x14ac:dyDescent="0.2">
      <c r="A138" s="6" t="s">
        <v>69</v>
      </c>
      <c r="B138" s="6"/>
      <c r="C138" s="6"/>
      <c r="D138" s="93">
        <v>300</v>
      </c>
      <c r="E138" s="90">
        <v>0.6</v>
      </c>
      <c r="L138" s="86"/>
    </row>
    <row r="139" spans="1:12" ht="15.75" x14ac:dyDescent="0.25">
      <c r="A139" s="17" t="s">
        <v>764</v>
      </c>
      <c r="L139" s="86"/>
    </row>
    <row r="140" spans="1:12" x14ac:dyDescent="0.2">
      <c r="A140" s="253" t="s">
        <v>367</v>
      </c>
      <c r="D140" s="190">
        <f>D75+D82+D87+D94+D100+D105+D111+D116+D121+D126+D131+D136+I77+I82+I87+I92+I97+I103+I108+I113+I118+I124+I129+I134</f>
        <v>615600</v>
      </c>
    </row>
    <row r="141" spans="1:12" x14ac:dyDescent="0.2">
      <c r="A141" s="253" t="s">
        <v>369</v>
      </c>
      <c r="D141" s="191">
        <f>D76+D83+D88+D95+D101+D106+D112+D117+D122+D127+D132+D137+I78+I83+I88+I93+I98+I104+I109+I114+I119+I125+I130+I135</f>
        <v>115.45</v>
      </c>
      <c r="E141" s="88"/>
    </row>
    <row r="142" spans="1:12" x14ac:dyDescent="0.2">
      <c r="A142" s="253" t="s">
        <v>368</v>
      </c>
      <c r="D142" s="190">
        <f>D77+D84+D89+D96+D102+D107+D113+D118+D123+D128+D133+D138+I79+I84+I89+I94+I99+I105+I110+I115+I120+I126+I131+I136</f>
        <v>15425</v>
      </c>
    </row>
    <row r="155" ht="12.75" customHeight="1" x14ac:dyDescent="0.2"/>
    <row r="156" ht="12.75" customHeight="1" x14ac:dyDescent="0.2"/>
    <row r="157" ht="12.75" customHeight="1" x14ac:dyDescent="0.2"/>
    <row r="179" spans="12:12" x14ac:dyDescent="0.2">
      <c r="L179" s="86"/>
    </row>
    <row r="180" spans="12:12" x14ac:dyDescent="0.2">
      <c r="L180" s="120"/>
    </row>
    <row r="181" spans="12:12" x14ac:dyDescent="0.2">
      <c r="L181" s="86"/>
    </row>
    <row r="182" spans="12:12" x14ac:dyDescent="0.2">
      <c r="L182" s="74"/>
    </row>
    <row r="183" spans="12:12" x14ac:dyDescent="0.2">
      <c r="L183" s="74"/>
    </row>
    <row r="184" spans="12:12" x14ac:dyDescent="0.2">
      <c r="L184" s="79"/>
    </row>
    <row r="185" spans="12:12" x14ac:dyDescent="0.2">
      <c r="L185" s="86"/>
    </row>
    <row r="186" spans="12:12" x14ac:dyDescent="0.2">
      <c r="L186" s="120"/>
    </row>
    <row r="187" spans="12:12" x14ac:dyDescent="0.2">
      <c r="L187" s="86"/>
    </row>
    <row r="189" spans="12:12" x14ac:dyDescent="0.2">
      <c r="L189" s="79"/>
    </row>
    <row r="190" spans="12:12" x14ac:dyDescent="0.2">
      <c r="L190" s="86"/>
    </row>
    <row r="191" spans="12:12" x14ac:dyDescent="0.2">
      <c r="L191" s="86"/>
    </row>
    <row r="192" spans="12:12" x14ac:dyDescent="0.2">
      <c r="L192" s="86"/>
    </row>
    <row r="193" spans="12:12" x14ac:dyDescent="0.2">
      <c r="L193" s="74"/>
    </row>
    <row r="194" spans="12:12" x14ac:dyDescent="0.2">
      <c r="L194" s="74"/>
    </row>
    <row r="195" spans="12:12" x14ac:dyDescent="0.2">
      <c r="L195" s="79"/>
    </row>
    <row r="196" spans="12:12" x14ac:dyDescent="0.2">
      <c r="L196" s="86"/>
    </row>
    <row r="197" spans="12:12" x14ac:dyDescent="0.2">
      <c r="L197" s="120"/>
    </row>
    <row r="198" spans="12:12" x14ac:dyDescent="0.2">
      <c r="L198" s="86"/>
    </row>
    <row r="199" spans="12:12" x14ac:dyDescent="0.2">
      <c r="L199" s="74"/>
    </row>
    <row r="200" spans="12:12" x14ac:dyDescent="0.2">
      <c r="L200" s="79"/>
    </row>
    <row r="201" spans="12:12" x14ac:dyDescent="0.2">
      <c r="L201" s="86"/>
    </row>
    <row r="202" spans="12:12" x14ac:dyDescent="0.2">
      <c r="L202" s="120"/>
    </row>
    <row r="203" spans="12:12" x14ac:dyDescent="0.2">
      <c r="L203" s="86"/>
    </row>
    <row r="204" spans="12:12" x14ac:dyDescent="0.2">
      <c r="L204" s="74"/>
    </row>
    <row r="205" spans="12:12" x14ac:dyDescent="0.2">
      <c r="L205" s="79"/>
    </row>
    <row r="206" spans="12:12" x14ac:dyDescent="0.2">
      <c r="L206" s="86"/>
    </row>
    <row r="207" spans="12:12" x14ac:dyDescent="0.2">
      <c r="L207" s="120"/>
    </row>
    <row r="208" spans="12:12" x14ac:dyDescent="0.2">
      <c r="L208" s="86"/>
    </row>
    <row r="209" spans="12:12" x14ac:dyDescent="0.2">
      <c r="L209" s="74"/>
    </row>
    <row r="210" spans="12:12" x14ac:dyDescent="0.2">
      <c r="L210" s="79"/>
    </row>
    <row r="211" spans="12:12" x14ac:dyDescent="0.2">
      <c r="L211" s="86"/>
    </row>
    <row r="212" spans="12:12" x14ac:dyDescent="0.2">
      <c r="L212" s="120"/>
    </row>
    <row r="213" spans="12:12" x14ac:dyDescent="0.2">
      <c r="L213" s="86"/>
    </row>
    <row r="214" spans="12:12" x14ac:dyDescent="0.2">
      <c r="L214" s="74"/>
    </row>
    <row r="215" spans="12:12" x14ac:dyDescent="0.2">
      <c r="L215" s="79"/>
    </row>
    <row r="216" spans="12:12" x14ac:dyDescent="0.2">
      <c r="L216" s="86"/>
    </row>
    <row r="217" spans="12:12" x14ac:dyDescent="0.2">
      <c r="L217" s="120"/>
    </row>
    <row r="218" spans="12:12" x14ac:dyDescent="0.2">
      <c r="L218" s="86"/>
    </row>
    <row r="219" spans="12:12" x14ac:dyDescent="0.2">
      <c r="L219" s="74"/>
    </row>
    <row r="220" spans="12:12" x14ac:dyDescent="0.2">
      <c r="L220" s="79"/>
    </row>
    <row r="221" spans="12:12" x14ac:dyDescent="0.2">
      <c r="L221" s="86"/>
    </row>
    <row r="222" spans="12:12" x14ac:dyDescent="0.2">
      <c r="L222" s="120"/>
    </row>
    <row r="223" spans="12:12" x14ac:dyDescent="0.2">
      <c r="L223" s="86"/>
    </row>
    <row r="224" spans="12:12" x14ac:dyDescent="0.2">
      <c r="L224" s="74"/>
    </row>
    <row r="225" spans="12:12" x14ac:dyDescent="0.2">
      <c r="L225" s="79"/>
    </row>
    <row r="226" spans="12:12" x14ac:dyDescent="0.2">
      <c r="L226" s="86"/>
    </row>
    <row r="227" spans="12:12" x14ac:dyDescent="0.2">
      <c r="L227" s="120"/>
    </row>
    <row r="228" spans="12:12" x14ac:dyDescent="0.2">
      <c r="L228" s="120"/>
    </row>
    <row r="229" spans="12:12" x14ac:dyDescent="0.2">
      <c r="L229" s="74"/>
    </row>
    <row r="230" spans="12:12" x14ac:dyDescent="0.2">
      <c r="L230" s="79"/>
    </row>
    <row r="231" spans="12:12" x14ac:dyDescent="0.2">
      <c r="L231" s="86"/>
    </row>
    <row r="232" spans="12:12" x14ac:dyDescent="0.2">
      <c r="L232" s="120"/>
    </row>
    <row r="233" spans="12:12" x14ac:dyDescent="0.2">
      <c r="L233" s="86"/>
    </row>
    <row r="234" spans="12:12" x14ac:dyDescent="0.2">
      <c r="L234" s="74"/>
    </row>
    <row r="236" spans="12:12" x14ac:dyDescent="0.2">
      <c r="L236" s="79"/>
    </row>
    <row r="237" spans="12:12" x14ac:dyDescent="0.2">
      <c r="L237" s="86"/>
    </row>
    <row r="238" spans="12:12" x14ac:dyDescent="0.2">
      <c r="L238" s="120"/>
    </row>
    <row r="239" spans="12:12" x14ac:dyDescent="0.2">
      <c r="L239" s="86"/>
    </row>
    <row r="241" spans="12:12" x14ac:dyDescent="0.2">
      <c r="L241" s="121"/>
    </row>
    <row r="242" spans="12:12" x14ac:dyDescent="0.2">
      <c r="L242" s="86"/>
    </row>
    <row r="243" spans="12:12" x14ac:dyDescent="0.2">
      <c r="L243" s="120"/>
    </row>
    <row r="244" spans="12:12" x14ac:dyDescent="0.2">
      <c r="L244" s="86"/>
    </row>
    <row r="245" spans="12:12" x14ac:dyDescent="0.2">
      <c r="L245" s="121"/>
    </row>
    <row r="246" spans="12:12" x14ac:dyDescent="0.2">
      <c r="L246" s="121"/>
    </row>
    <row r="247" spans="12:12" x14ac:dyDescent="0.2">
      <c r="L247" s="86"/>
    </row>
    <row r="248" spans="12:12" x14ac:dyDescent="0.2">
      <c r="L248" s="120"/>
    </row>
    <row r="249" spans="12:12" x14ac:dyDescent="0.2">
      <c r="L249" s="86"/>
    </row>
  </sheetData>
  <mergeCells count="4">
    <mergeCell ref="A1:J1"/>
    <mergeCell ref="C31:D31"/>
    <mergeCell ref="M16:N16"/>
    <mergeCell ref="A64:C64"/>
  </mergeCells>
  <phoneticPr fontId="5" type="noConversion"/>
  <printOptions horizontalCentered="1"/>
  <pageMargins left="0.5" right="0.5" top="0.5" bottom="0.5" header="0.5" footer="0.5"/>
  <pageSetup scale="77" fitToHeight="2" orientation="portrait" verticalDpi="300" r:id="rId1"/>
  <headerFooter alignWithMargins="0">
    <oddFooter>&amp;C &amp;P&amp;R&amp;D, &amp;D</oddFooter>
  </headerFooter>
  <rowBreaks count="1" manualBreakCount="1">
    <brk id="69" max="9"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1"/>
  </sheetPr>
  <dimension ref="A1:N268"/>
  <sheetViews>
    <sheetView topLeftCell="A256" zoomScaleNormal="100" workbookViewId="0">
      <selection activeCell="C267" sqref="C267"/>
    </sheetView>
  </sheetViews>
  <sheetFormatPr defaultRowHeight="12.75" x14ac:dyDescent="0.2"/>
  <cols>
    <col min="1" max="1" width="9" customWidth="1"/>
    <col min="2" max="2" width="8.42578125" customWidth="1"/>
    <col min="3" max="3" width="12.140625" customWidth="1"/>
    <col min="4" max="4" width="9.7109375" customWidth="1"/>
    <col min="5" max="5" width="8.85546875" customWidth="1"/>
    <col min="6" max="6" width="11.42578125" customWidth="1"/>
    <col min="7" max="10" width="10.7109375" customWidth="1"/>
    <col min="11" max="12" width="10.85546875" customWidth="1"/>
    <col min="13" max="13" width="11.42578125" customWidth="1"/>
    <col min="14" max="17" width="10.7109375" customWidth="1"/>
  </cols>
  <sheetData>
    <row r="1" spans="1:12" ht="15.75" x14ac:dyDescent="0.25">
      <c r="A1" s="626" t="s">
        <v>177</v>
      </c>
      <c r="B1" s="626"/>
      <c r="C1" s="626"/>
      <c r="D1" s="626"/>
      <c r="E1" s="626"/>
      <c r="F1" s="626"/>
      <c r="G1" s="626"/>
      <c r="H1" s="626"/>
      <c r="I1" s="626"/>
      <c r="J1" s="626"/>
      <c r="K1" s="626"/>
      <c r="L1" s="626"/>
    </row>
    <row r="2" spans="1:12" ht="15.75" x14ac:dyDescent="0.25">
      <c r="A2" s="628" t="str">
        <f>'Battery Design'!A2:L2</f>
        <v>Manganese-Spinel/Graphite</v>
      </c>
      <c r="B2" s="626"/>
      <c r="C2" s="626"/>
      <c r="D2" s="626"/>
      <c r="E2" s="626"/>
      <c r="F2" s="626"/>
      <c r="G2" s="626"/>
      <c r="H2" s="626"/>
      <c r="I2" s="626"/>
      <c r="J2" s="626"/>
      <c r="K2" s="626"/>
      <c r="L2" s="626"/>
    </row>
    <row r="3" spans="1:12" x14ac:dyDescent="0.2">
      <c r="A3" s="54"/>
      <c r="B3" s="54"/>
      <c r="C3" s="54"/>
      <c r="D3" s="54"/>
      <c r="E3" s="54"/>
      <c r="F3" s="55" t="s">
        <v>0</v>
      </c>
      <c r="G3" s="55" t="s">
        <v>1</v>
      </c>
      <c r="H3" s="55" t="s">
        <v>2</v>
      </c>
      <c r="I3" s="55" t="s">
        <v>3</v>
      </c>
      <c r="J3" s="55" t="s">
        <v>4</v>
      </c>
      <c r="K3" s="314" t="s">
        <v>750</v>
      </c>
      <c r="L3" s="316" t="s">
        <v>752</v>
      </c>
    </row>
    <row r="4" spans="1:12" ht="15.75" x14ac:dyDescent="0.25">
      <c r="A4" s="205" t="s">
        <v>97</v>
      </c>
      <c r="B4" s="73"/>
      <c r="C4" s="73"/>
      <c r="D4" s="57"/>
      <c r="E4" s="57"/>
      <c r="F4" s="490"/>
      <c r="G4" s="490"/>
      <c r="H4" s="490"/>
      <c r="I4" s="490"/>
      <c r="J4" s="490"/>
      <c r="K4" s="490"/>
      <c r="L4" s="490"/>
    </row>
    <row r="5" spans="1:12" x14ac:dyDescent="0.2">
      <c r="A5" s="25" t="s">
        <v>638</v>
      </c>
      <c r="B5" s="25"/>
      <c r="C5" s="25"/>
      <c r="D5" s="57"/>
      <c r="E5" s="490"/>
      <c r="F5" s="498">
        <f>'Battery Design'!F72*'Battery Design'!F65</f>
        <v>100000</v>
      </c>
      <c r="G5" s="498">
        <f>'Battery Design'!G72*'Battery Design'!G65</f>
        <v>100000</v>
      </c>
      <c r="H5" s="498">
        <f>'Battery Design'!H72*'Battery Design'!H65</f>
        <v>100000</v>
      </c>
      <c r="I5" s="498">
        <f>'Battery Design'!I72*'Battery Design'!I65</f>
        <v>100000</v>
      </c>
      <c r="J5" s="498">
        <f>'Battery Design'!J72*'Battery Design'!J65</f>
        <v>100000</v>
      </c>
      <c r="K5" s="498">
        <f>'Battery Design'!K72*'Battery Design'!K65</f>
        <v>100000</v>
      </c>
      <c r="L5" s="498">
        <f>'Battery Design'!L72*'Battery Design'!L65</f>
        <v>100000</v>
      </c>
    </row>
    <row r="6" spans="1:12" x14ac:dyDescent="0.2">
      <c r="A6" s="142" t="s">
        <v>235</v>
      </c>
      <c r="B6" s="142"/>
      <c r="C6" s="142"/>
      <c r="D6" s="57"/>
      <c r="E6" s="57"/>
      <c r="F6" s="498">
        <f ca="1">F5*'Battery Design'!F144</f>
        <v>400000.00000000035</v>
      </c>
      <c r="G6" s="498">
        <f ca="1">G5*'Battery Design'!G144</f>
        <v>600000.00000000023</v>
      </c>
      <c r="H6" s="498">
        <f ca="1">H5*'Battery Design'!H144</f>
        <v>800000.00000000023</v>
      </c>
      <c r="I6" s="498">
        <f ca="1">I5*'Battery Design'!I144</f>
        <v>1000000.0000000023</v>
      </c>
      <c r="J6" s="498">
        <f ca="1">J5*'Battery Design'!J144</f>
        <v>1200000.0000000012</v>
      </c>
      <c r="K6" s="498">
        <f ca="1">K5*'Battery Design'!K144</f>
        <v>1399999.9999999995</v>
      </c>
      <c r="L6" s="498">
        <f ca="1">L5*'Battery Design'!L144</f>
        <v>1600000.0000000014</v>
      </c>
    </row>
    <row r="7" spans="1:12" x14ac:dyDescent="0.2">
      <c r="A7" s="25" t="s">
        <v>98</v>
      </c>
      <c r="B7" s="25"/>
      <c r="C7" s="25"/>
      <c r="D7" s="57"/>
      <c r="E7" s="57"/>
      <c r="F7" s="498">
        <f>F5*'Battery Design'!F67</f>
        <v>9600000</v>
      </c>
      <c r="G7" s="498">
        <f>G5*'Battery Design'!G67</f>
        <v>9600000</v>
      </c>
      <c r="H7" s="498">
        <f>H5*'Battery Design'!H67</f>
        <v>9600000</v>
      </c>
      <c r="I7" s="498">
        <f>I5*'Battery Design'!I67</f>
        <v>9600000</v>
      </c>
      <c r="J7" s="498">
        <f>J5*'Battery Design'!J67</f>
        <v>9600000</v>
      </c>
      <c r="K7" s="498">
        <f>K5*'Battery Design'!K67</f>
        <v>9600000</v>
      </c>
      <c r="L7" s="498">
        <f>L5*'Battery Design'!L67</f>
        <v>9600000</v>
      </c>
    </row>
    <row r="8" spans="1:12" x14ac:dyDescent="0.2">
      <c r="A8" s="142" t="s">
        <v>99</v>
      </c>
      <c r="B8" s="142"/>
      <c r="C8" s="142"/>
      <c r="D8" s="57"/>
      <c r="E8" s="57"/>
      <c r="F8" s="498">
        <f>F7/'Cost Input'!$E4*100</f>
        <v>10105263.157894738</v>
      </c>
      <c r="G8" s="498">
        <f>G7/'Cost Input'!$E4*100</f>
        <v>10105263.157894738</v>
      </c>
      <c r="H8" s="498">
        <f>H7/'Cost Input'!$E4*100</f>
        <v>10105263.157894738</v>
      </c>
      <c r="I8" s="498">
        <f>I7/'Cost Input'!$E4*100</f>
        <v>10105263.157894738</v>
      </c>
      <c r="J8" s="498">
        <f>J7/'Cost Input'!$E4*100</f>
        <v>10105263.157894738</v>
      </c>
      <c r="K8" s="498">
        <f>K7/'Cost Input'!$E4*100</f>
        <v>10105263.157894738</v>
      </c>
      <c r="L8" s="498">
        <f>L7/'Cost Input'!$E4*100</f>
        <v>10105263.157894738</v>
      </c>
    </row>
    <row r="9" spans="1:12" ht="14.25" x14ac:dyDescent="0.2">
      <c r="A9" s="142" t="s">
        <v>236</v>
      </c>
      <c r="B9" s="142"/>
      <c r="C9" s="142"/>
      <c r="D9" s="57"/>
      <c r="E9" s="57"/>
      <c r="F9" s="498">
        <f ca="1">F8*'Battery Design'!F109/10000</f>
        <v>6735972.4061946357</v>
      </c>
      <c r="G9" s="498">
        <f ca="1">G8*'Battery Design'!G109/10000</f>
        <v>8247263.8350038426</v>
      </c>
      <c r="H9" s="498">
        <f ca="1">H8*'Battery Design'!H109/10000</f>
        <v>10997222.563061092</v>
      </c>
      <c r="I9" s="498">
        <f ca="1">I8*'Battery Design'!I109/10000</f>
        <v>13747601.143720074</v>
      </c>
      <c r="J9" s="498">
        <f ca="1">J8*'Battery Design'!J109/10000</f>
        <v>16498395.865808755</v>
      </c>
      <c r="K9" s="498">
        <f ca="1">K8*'Battery Design'!K109/10000</f>
        <v>19249604.024572115</v>
      </c>
      <c r="L9" s="498">
        <f ca="1">L8*'Battery Design'!L109/10000</f>
        <v>22001223.581791751</v>
      </c>
    </row>
    <row r="10" spans="1:12" x14ac:dyDescent="0.2">
      <c r="A10" s="142" t="s">
        <v>237</v>
      </c>
      <c r="B10" s="142"/>
      <c r="C10" s="142"/>
      <c r="D10" s="57"/>
      <c r="E10" s="57"/>
      <c r="F10" s="498">
        <f ca="1">'Battery Design'!F6*F7/1000/'Cost Input'!$E4*100/'Cost Input'!$E7*100</f>
        <v>1162109.3964333634</v>
      </c>
      <c r="G10" s="498">
        <f ca="1">'Battery Design'!G6*G7/1000/'Cost Input'!$E4*100/'Cost Input'!$E7*100</f>
        <v>1745702.5412769262</v>
      </c>
      <c r="H10" s="498">
        <f ca="1">'Battery Design'!H6*H7/1000/'Cost Input'!$E4*100/'Cost Input'!$E7*100</f>
        <v>2327787.707462708</v>
      </c>
      <c r="I10" s="498">
        <f ca="1">'Battery Design'!I6*I7/1000/'Cost Input'!$E4*100/'Cost Input'!$E7*100</f>
        <v>2909961.7440627846</v>
      </c>
      <c r="J10" s="498">
        <f ca="1">'Battery Design'!J6*J7/1000/'Cost Input'!$E4*100/'Cost Input'!$E7*100</f>
        <v>3492223.8655314767</v>
      </c>
      <c r="K10" s="498">
        <f ca="1">'Battery Design'!K6*K7/1000/'Cost Input'!$E4*100/'Cost Input'!$E7*100</f>
        <v>4074573.4993519136</v>
      </c>
      <c r="L10" s="498">
        <f ca="1">'Battery Design'!L6*L7/1000/'Cost Input'!$E4*100/'Cost Input'!$E7*100</f>
        <v>4657010.214093361</v>
      </c>
    </row>
    <row r="11" spans="1:12" x14ac:dyDescent="0.2">
      <c r="A11" s="142" t="s">
        <v>238</v>
      </c>
      <c r="B11" s="142"/>
      <c r="C11" s="142"/>
      <c r="D11" s="57"/>
      <c r="E11" s="57"/>
      <c r="F11" s="498">
        <f ca="1">'Battery Design'!F12*F7/1000/'Cost Input'!$E4*100/'Cost Input'!$E8*100</f>
        <v>403599.03459234722</v>
      </c>
      <c r="G11" s="498">
        <f ca="1">'Battery Design'!G12*G7/1000/'Cost Input'!$E4*100/'Cost Input'!$E8*100</f>
        <v>602209.92439318658</v>
      </c>
      <c r="H11" s="498">
        <f ca="1">'Battery Design'!H12*H7/1000/'Cost Input'!$E4*100/'Cost Input'!$E8*100</f>
        <v>799360.75426002429</v>
      </c>
      <c r="I11" s="498">
        <f ca="1">'Battery Design'!I12*I7/1000/'Cost Input'!$E4*100/'Cost Input'!$E8*100</f>
        <v>996170.01370174717</v>
      </c>
      <c r="J11" s="498">
        <f ca="1">'Battery Design'!J12*J7/1000/'Cost Input'!$E4*100/'Cost Input'!$E8*100</f>
        <v>1192744.9854302895</v>
      </c>
      <c r="K11" s="498">
        <f ca="1">'Battery Design'!K12*K7/1000/'Cost Input'!$E4*100/'Cost Input'!$E8*100</f>
        <v>1389149.3803183131</v>
      </c>
      <c r="L11" s="498">
        <f ca="1">'Battery Design'!L12*L7/1000/'Cost Input'!$E4*100/'Cost Input'!$E8*100</f>
        <v>1585424.6454893614</v>
      </c>
    </row>
    <row r="12" spans="1:12" x14ac:dyDescent="0.2">
      <c r="A12" s="142" t="s">
        <v>239</v>
      </c>
      <c r="B12" s="142"/>
      <c r="C12" s="142"/>
      <c r="D12" s="57"/>
      <c r="E12" s="57"/>
      <c r="F12" s="498">
        <f t="shared" ref="F12:K12" ca="1" si="0">F50</f>
        <v>1566889.0738427369</v>
      </c>
      <c r="G12" s="498">
        <f t="shared" ca="1" si="0"/>
        <v>2353756.2354295636</v>
      </c>
      <c r="H12" s="498">
        <f t="shared" ca="1" si="0"/>
        <v>3138590.1673654499</v>
      </c>
      <c r="I12" s="498">
        <f t="shared" ca="1" si="0"/>
        <v>3923543.924579036</v>
      </c>
      <c r="J12" s="498">
        <f t="shared" ca="1" si="0"/>
        <v>4708616.4479076099</v>
      </c>
      <c r="K12" s="498">
        <f t="shared" ca="1" si="0"/>
        <v>5493806.9654183099</v>
      </c>
      <c r="L12" s="498">
        <f t="shared" ref="L12" ca="1" si="1">L50</f>
        <v>6279114.8954067808</v>
      </c>
    </row>
    <row r="13" spans="1:12" ht="14.25" x14ac:dyDescent="0.2">
      <c r="A13" s="142" t="s">
        <v>307</v>
      </c>
      <c r="B13" s="142"/>
      <c r="C13" s="142"/>
      <c r="D13" s="57"/>
      <c r="E13" s="57"/>
      <c r="F13" s="498">
        <f t="shared" ref="F13:K13" ca="1" si="2">F197+F202+F207+F212+F175/3</f>
        <v>4002.8458341395385</v>
      </c>
      <c r="G13" s="498">
        <f t="shared" ca="1" si="2"/>
        <v>4037.2514226383896</v>
      </c>
      <c r="H13" s="498">
        <f t="shared" ca="1" si="2"/>
        <v>4093.9466638693921</v>
      </c>
      <c r="I13" s="498">
        <f t="shared" ca="1" si="2"/>
        <v>4145.186869103185</v>
      </c>
      <c r="J13" s="498">
        <f t="shared" ca="1" si="2"/>
        <v>4192.4623997195586</v>
      </c>
      <c r="K13" s="498">
        <f t="shared" ca="1" si="2"/>
        <v>4236.6776880473799</v>
      </c>
      <c r="L13" s="498">
        <f t="shared" ref="L13" ca="1" si="3">L197+L202+L207+L212+L175/3</f>
        <v>4278.4323602161139</v>
      </c>
    </row>
    <row r="14" spans="1:12" ht="15.75" x14ac:dyDescent="0.25">
      <c r="A14" s="17" t="s">
        <v>100</v>
      </c>
      <c r="B14" s="17"/>
      <c r="C14" s="17"/>
      <c r="D14" s="57"/>
      <c r="E14" s="57"/>
      <c r="F14" s="490"/>
      <c r="G14" s="490"/>
      <c r="H14" s="490"/>
      <c r="I14" s="490"/>
      <c r="J14" s="490"/>
      <c r="K14" s="490"/>
      <c r="L14" s="490"/>
    </row>
    <row r="15" spans="1:12" ht="15" x14ac:dyDescent="0.25">
      <c r="A15" s="259" t="s">
        <v>246</v>
      </c>
      <c r="B15" s="399"/>
      <c r="C15" s="399"/>
      <c r="D15" s="400"/>
      <c r="E15" s="333" t="s">
        <v>101</v>
      </c>
      <c r="F15" s="400"/>
      <c r="G15" s="400"/>
      <c r="H15" s="400"/>
      <c r="I15" s="400"/>
      <c r="J15" s="400"/>
      <c r="K15" s="400"/>
      <c r="L15" s="400"/>
    </row>
    <row r="16" spans="1:12" x14ac:dyDescent="0.2">
      <c r="A16" s="400" t="s">
        <v>217</v>
      </c>
      <c r="B16" s="400"/>
      <c r="C16" s="400"/>
      <c r="D16" s="400"/>
      <c r="E16" s="256">
        <f>'Cost Input'!E7</f>
        <v>92.2</v>
      </c>
      <c r="F16" s="400"/>
      <c r="G16" s="400"/>
      <c r="H16" s="400"/>
      <c r="I16" s="400"/>
      <c r="J16" s="400"/>
      <c r="K16" s="400"/>
      <c r="L16" s="400"/>
    </row>
    <row r="17" spans="1:12" x14ac:dyDescent="0.2">
      <c r="A17" s="400" t="s">
        <v>45</v>
      </c>
      <c r="B17" s="400"/>
      <c r="C17" s="400"/>
      <c r="D17" s="400"/>
      <c r="E17" s="256"/>
      <c r="F17" s="499">
        <f ca="1">'Battery Design'!F6/'Cost Input'!$E$4*100/$E$16*100</f>
        <v>121.05306212847535</v>
      </c>
      <c r="G17" s="499">
        <f ca="1">'Battery Design'!G6/'Cost Input'!$E$4*100/$E$16*100</f>
        <v>181.84401471634649</v>
      </c>
      <c r="H17" s="499">
        <f ca="1">'Battery Design'!H6/'Cost Input'!$E$4*100/$E$16*100</f>
        <v>242.47788619403212</v>
      </c>
      <c r="I17" s="499">
        <f ca="1">'Battery Design'!I6/'Cost Input'!$E$4*100/$E$16*100</f>
        <v>303.12101500654001</v>
      </c>
      <c r="J17" s="499">
        <f ca="1">'Battery Design'!J6/'Cost Input'!$E$4*100/$E$16*100</f>
        <v>363.77331932619546</v>
      </c>
      <c r="K17" s="499">
        <f ca="1">'Battery Design'!K6/'Cost Input'!$E$4*100/$E$16*100</f>
        <v>424.43473951582433</v>
      </c>
      <c r="L17" s="499">
        <f ca="1">'Battery Design'!L6/'Cost Input'!$E$4*100/$E$16*100</f>
        <v>485.10523063472516</v>
      </c>
    </row>
    <row r="18" spans="1:12" x14ac:dyDescent="0.2">
      <c r="A18" s="400" t="s">
        <v>272</v>
      </c>
      <c r="B18" s="400"/>
      <c r="C18" s="400"/>
      <c r="D18" s="400"/>
      <c r="E18" s="256"/>
      <c r="F18" s="499">
        <f ca="1">'Battery Design'!F7/'Cost Input'!$E$4*100/$E$16*100</f>
        <v>8.1608805929309227</v>
      </c>
      <c r="G18" s="499">
        <f ca="1">'Battery Design'!G7/'Cost Input'!$E$4*100/$E$16*100</f>
        <v>12.259147059528978</v>
      </c>
      <c r="H18" s="499">
        <f ca="1">'Battery Design'!H7/'Cost Input'!$E$4*100/$E$16*100</f>
        <v>16.346823788361718</v>
      </c>
      <c r="I18" s="499">
        <f ca="1">'Battery Design'!I7/'Cost Input'!$E$4*100/$E$16*100</f>
        <v>20.435124607182477</v>
      </c>
      <c r="J18" s="499">
        <f ca="1">'Battery Design'!J7/'Cost Input'!$E$4*100/$E$16*100</f>
        <v>24.524043999518799</v>
      </c>
      <c r="K18" s="499">
        <f ca="1">'Battery Design'!K7/'Cost Input'!$E$4*100/$E$16*100</f>
        <v>28.61357794488703</v>
      </c>
      <c r="L18" s="499">
        <f ca="1">'Battery Design'!L7/'Cost Input'!$E$4*100/$E$16*100</f>
        <v>32.703723413576988</v>
      </c>
    </row>
    <row r="19" spans="1:12" x14ac:dyDescent="0.2">
      <c r="A19" s="400" t="s">
        <v>51</v>
      </c>
      <c r="B19" s="400"/>
      <c r="C19" s="400"/>
      <c r="D19" s="400"/>
      <c r="E19" s="256"/>
      <c r="F19" s="499">
        <f ca="1">'Battery Design'!F8/'Cost Input'!$E$4*100/$E$16*100</f>
        <v>6.8007338274424347</v>
      </c>
      <c r="G19" s="499">
        <f ca="1">'Battery Design'!G8/'Cost Input'!$E$4*100/$E$16*100</f>
        <v>10.215955882940813</v>
      </c>
      <c r="H19" s="499">
        <f ca="1">'Battery Design'!H8/'Cost Input'!$E$4*100/$E$16*100</f>
        <v>13.622353156968098</v>
      </c>
      <c r="I19" s="499">
        <f ca="1">'Battery Design'!I8/'Cost Input'!$E$4*100/$E$16*100</f>
        <v>17.029270505985398</v>
      </c>
      <c r="J19" s="499">
        <f ca="1">'Battery Design'!J8/'Cost Input'!$E$4*100/$E$16*100</f>
        <v>20.436703332932336</v>
      </c>
      <c r="K19" s="499">
        <f ca="1">'Battery Design'!K8/'Cost Input'!$E$4*100/$E$16*100</f>
        <v>23.84464828740586</v>
      </c>
      <c r="L19" s="499">
        <f ca="1">'Battery Design'!L8/'Cost Input'!$E$4*100/$E$16*100</f>
        <v>27.253102844647486</v>
      </c>
    </row>
    <row r="20" spans="1:12" x14ac:dyDescent="0.2">
      <c r="A20" s="400" t="s">
        <v>53</v>
      </c>
      <c r="B20" s="400"/>
      <c r="C20" s="400"/>
      <c r="D20" s="400"/>
      <c r="E20" s="256"/>
      <c r="F20" s="499">
        <f t="shared" ref="F20:K20" ca="1" si="4">96/4*F19</f>
        <v>163.21761185861843</v>
      </c>
      <c r="G20" s="499">
        <f t="shared" ca="1" si="4"/>
        <v>245.18294119057953</v>
      </c>
      <c r="H20" s="499">
        <f t="shared" ca="1" si="4"/>
        <v>326.93647576723436</v>
      </c>
      <c r="I20" s="499">
        <f t="shared" ca="1" si="4"/>
        <v>408.70249214364958</v>
      </c>
      <c r="J20" s="499">
        <f t="shared" ca="1" si="4"/>
        <v>490.48087999037602</v>
      </c>
      <c r="K20" s="499">
        <f t="shared" ca="1" si="4"/>
        <v>572.27155889774065</v>
      </c>
      <c r="L20" s="499">
        <f t="shared" ref="L20" ca="1" si="5">96/4*L19</f>
        <v>654.07446827153967</v>
      </c>
    </row>
    <row r="21" spans="1:12" x14ac:dyDescent="0.2">
      <c r="A21" s="400" t="s">
        <v>298</v>
      </c>
      <c r="B21" s="400"/>
      <c r="C21" s="400"/>
      <c r="D21" s="400"/>
      <c r="E21" s="256"/>
      <c r="F21" s="499">
        <f t="shared" ref="F21:K21" ca="1" si="6">SUM(F17:F19)</f>
        <v>136.01467654884871</v>
      </c>
      <c r="G21" s="499">
        <f t="shared" ca="1" si="6"/>
        <v>204.31911765881628</v>
      </c>
      <c r="H21" s="499">
        <f t="shared" ca="1" si="6"/>
        <v>272.44706313936194</v>
      </c>
      <c r="I21" s="499">
        <f t="shared" ca="1" si="6"/>
        <v>340.58541011970789</v>
      </c>
      <c r="J21" s="499">
        <f t="shared" ca="1" si="6"/>
        <v>408.73406665864661</v>
      </c>
      <c r="K21" s="499">
        <f t="shared" ca="1" si="6"/>
        <v>476.89296574811721</v>
      </c>
      <c r="L21" s="499">
        <f t="shared" ref="L21" ca="1" si="7">SUM(L17:L19)</f>
        <v>545.06205689294961</v>
      </c>
    </row>
    <row r="22" spans="1:12" x14ac:dyDescent="0.2">
      <c r="A22" s="400" t="s">
        <v>218</v>
      </c>
      <c r="B22" s="400"/>
      <c r="C22" s="400"/>
      <c r="D22" s="400"/>
      <c r="E22" s="256">
        <f>'Cost Input'!E8</f>
        <v>92.2</v>
      </c>
      <c r="F22" s="499"/>
      <c r="G22" s="499"/>
      <c r="H22" s="499"/>
      <c r="I22" s="499"/>
      <c r="J22" s="499"/>
      <c r="K22" s="499"/>
      <c r="L22" s="499"/>
    </row>
    <row r="23" spans="1:12" x14ac:dyDescent="0.2">
      <c r="A23" s="400" t="s">
        <v>45</v>
      </c>
      <c r="B23" s="400"/>
      <c r="C23" s="400"/>
      <c r="D23" s="400"/>
      <c r="E23" s="373"/>
      <c r="F23" s="499">
        <f ca="1">'Battery Design'!F12/$E$22*100/'Cost Input'!$E$4*100</f>
        <v>42.041566103369497</v>
      </c>
      <c r="G23" s="499">
        <f ca="1">'Battery Design'!G12/$E$22*100/'Cost Input'!$E$4*100</f>
        <v>62.730200457623596</v>
      </c>
      <c r="H23" s="499">
        <f ca="1">'Battery Design'!H12/$E$22*100/'Cost Input'!$E$4*100</f>
        <v>83.266745235419194</v>
      </c>
      <c r="I23" s="499">
        <f ca="1">'Battery Design'!I12/$E$22*100/'Cost Input'!$E$4*100</f>
        <v>103.76770976059866</v>
      </c>
      <c r="J23" s="499">
        <f ca="1">'Battery Design'!J12/$E$22*100/'Cost Input'!$E$4*100</f>
        <v>124.24426931565516</v>
      </c>
      <c r="K23" s="499">
        <f ca="1">'Battery Design'!K12/$E$22*100/'Cost Input'!$E$4*100</f>
        <v>144.70306044982428</v>
      </c>
      <c r="L23" s="499">
        <f ca="1">'Battery Design'!L12/$E$22*100/'Cost Input'!$E$4*100</f>
        <v>165.14840057180845</v>
      </c>
    </row>
    <row r="24" spans="1:12" x14ac:dyDescent="0.2">
      <c r="A24" s="400" t="s">
        <v>49</v>
      </c>
      <c r="B24" s="400"/>
      <c r="C24" s="400"/>
      <c r="D24" s="400"/>
      <c r="E24" s="373"/>
      <c r="F24" s="499">
        <f ca="1">'Battery Design'!F13/$E$22*100/'Cost Input'!$E$4*100</f>
        <v>0</v>
      </c>
      <c r="G24" s="499">
        <f ca="1">'Battery Design'!G13/$E$22*100/'Cost Input'!$E$4*100</f>
        <v>0</v>
      </c>
      <c r="H24" s="499">
        <f ca="1">'Battery Design'!H13/$E$22*100/'Cost Input'!$E$4*100</f>
        <v>0</v>
      </c>
      <c r="I24" s="499">
        <f ca="1">'Battery Design'!I13/$E$22*100/'Cost Input'!$E$4*100</f>
        <v>0</v>
      </c>
      <c r="J24" s="499">
        <f ca="1">'Battery Design'!J13/$E$22*100/'Cost Input'!$E$4*100</f>
        <v>0</v>
      </c>
      <c r="K24" s="499">
        <f ca="1">'Battery Design'!K13/$E$22*100/'Cost Input'!$E$4*100</f>
        <v>0</v>
      </c>
      <c r="L24" s="499">
        <f ca="1">'Battery Design'!L13/$E$22*100/'Cost Input'!$E$4*100</f>
        <v>0</v>
      </c>
    </row>
    <row r="25" spans="1:12" x14ac:dyDescent="0.2">
      <c r="A25" s="400" t="s">
        <v>308</v>
      </c>
      <c r="B25" s="400"/>
      <c r="C25" s="400"/>
      <c r="D25" s="400"/>
      <c r="E25" s="373"/>
      <c r="F25" s="499">
        <f ca="1">'Battery Design'!F14/$E$22*100/'Cost Input'!$E$4*100</f>
        <v>2.2127140054404992</v>
      </c>
      <c r="G25" s="499">
        <f ca="1">'Battery Design'!G14/$E$22*100/'Cost Input'!$E$4*100</f>
        <v>3.3015894977696627</v>
      </c>
      <c r="H25" s="499">
        <f ca="1">'Battery Design'!H14/$E$22*100/'Cost Input'!$E$4*100</f>
        <v>4.3824602755483779</v>
      </c>
      <c r="I25" s="499">
        <f ca="1">'Battery Design'!I14/$E$22*100/'Cost Input'!$E$4*100</f>
        <v>5.4614584084525619</v>
      </c>
      <c r="J25" s="499">
        <f ca="1">'Battery Design'!J14/$E$22*100/'Cost Input'!$E$4*100</f>
        <v>6.5391720692450086</v>
      </c>
      <c r="K25" s="499">
        <f ca="1">'Battery Design'!K14/$E$22*100/'Cost Input'!$E$4*100</f>
        <v>7.6159505499907523</v>
      </c>
      <c r="L25" s="499">
        <f ca="1">'Battery Design'!L14/$E$22*100/'Cost Input'!$E$4*100</f>
        <v>8.6920210827267628</v>
      </c>
    </row>
    <row r="26" spans="1:12" x14ac:dyDescent="0.2">
      <c r="A26" s="400" t="s">
        <v>293</v>
      </c>
      <c r="B26" s="400"/>
      <c r="C26" s="400"/>
      <c r="D26" s="400"/>
      <c r="E26" s="373"/>
      <c r="F26" s="499">
        <f t="shared" ref="F26:K26" ca="1" si="8">96/4*F25</f>
        <v>53.105136130571978</v>
      </c>
      <c r="G26" s="499">
        <f t="shared" ca="1" si="8"/>
        <v>79.238147946471912</v>
      </c>
      <c r="H26" s="499">
        <f t="shared" ca="1" si="8"/>
        <v>105.17904661316106</v>
      </c>
      <c r="I26" s="499">
        <f t="shared" ca="1" si="8"/>
        <v>131.07500180286149</v>
      </c>
      <c r="J26" s="499">
        <f t="shared" ca="1" si="8"/>
        <v>156.94012966188021</v>
      </c>
      <c r="K26" s="499">
        <f t="shared" ca="1" si="8"/>
        <v>182.78281319977805</v>
      </c>
      <c r="L26" s="499">
        <f t="shared" ref="L26" ca="1" si="9">96/4*L25</f>
        <v>208.60850598544232</v>
      </c>
    </row>
    <row r="27" spans="1:12" x14ac:dyDescent="0.2">
      <c r="A27" s="400" t="s">
        <v>298</v>
      </c>
      <c r="B27" s="400"/>
      <c r="C27" s="400"/>
      <c r="D27" s="400"/>
      <c r="E27" s="373"/>
      <c r="F27" s="499">
        <f t="shared" ref="F27:K27" ca="1" si="10">SUM(F23:F25)</f>
        <v>44.254280108809994</v>
      </c>
      <c r="G27" s="499">
        <f t="shared" ca="1" si="10"/>
        <v>66.031789955393265</v>
      </c>
      <c r="H27" s="499">
        <f t="shared" ca="1" si="10"/>
        <v>87.649205510967576</v>
      </c>
      <c r="I27" s="499">
        <f t="shared" ca="1" si="10"/>
        <v>109.22916816905122</v>
      </c>
      <c r="J27" s="499">
        <f t="shared" ca="1" si="10"/>
        <v>130.78344138490016</v>
      </c>
      <c r="K27" s="499">
        <f t="shared" ca="1" si="10"/>
        <v>152.31901099981502</v>
      </c>
      <c r="L27" s="499">
        <f t="shared" ref="L27" ca="1" si="11">SUM(L23:L25)</f>
        <v>173.84042165453522</v>
      </c>
    </row>
    <row r="28" spans="1:12" ht="14.25" x14ac:dyDescent="0.2">
      <c r="A28" s="400" t="s">
        <v>103</v>
      </c>
      <c r="B28" s="400"/>
      <c r="C28" s="400"/>
      <c r="D28" s="400"/>
      <c r="E28" s="256">
        <f>'Cost Input'!E9</f>
        <v>90.2</v>
      </c>
      <c r="F28" s="500">
        <f ca="1">'Battery Design'!F18/$E28*100/'Cost Input'!$E$4*100</f>
        <v>0.42133704824338958</v>
      </c>
      <c r="G28" s="500">
        <f ca="1">'Battery Design'!G18/$E28*100/'Cost Input'!$E$4*100</f>
        <v>0.50939871006958648</v>
      </c>
      <c r="H28" s="500">
        <f ca="1">'Battery Design'!H18/$E28*100/'Cost Input'!$E$4*100</f>
        <v>0.67332215729700484</v>
      </c>
      <c r="I28" s="500">
        <f ca="1">'Battery Design'!I18/$E28*100/'Cost Input'!$E$4*100</f>
        <v>0.83665939393565736</v>
      </c>
      <c r="J28" s="500">
        <f ca="1">'Battery Design'!J18/$E28*100/'Cost Input'!$E$4*100</f>
        <v>0.99958705934234371</v>
      </c>
      <c r="K28" s="500">
        <f ca="1">'Battery Design'!K18/$E28*100/'Cost Input'!$E$4*100</f>
        <v>1.1622101091143577</v>
      </c>
      <c r="L28" s="500">
        <f ca="1">'Battery Design'!L18/$E28*100/'Cost Input'!$E$4*100</f>
        <v>1.3245967710684066</v>
      </c>
    </row>
    <row r="29" spans="1:12" ht="14.25" x14ac:dyDescent="0.2">
      <c r="A29" s="400" t="s">
        <v>104</v>
      </c>
      <c r="B29" s="400"/>
      <c r="C29" s="400"/>
      <c r="D29" s="400"/>
      <c r="E29" s="256">
        <f>'Cost Input'!E10</f>
        <v>90.2</v>
      </c>
      <c r="F29" s="500">
        <f ca="1">'Battery Design'!F19/$E29*100/'Cost Input'!$E$4*100</f>
        <v>0.45488825627100493</v>
      </c>
      <c r="G29" s="500">
        <f ca="1">'Battery Design'!G19/$E29*100/'Cost Input'!$E$4*100</f>
        <v>0.54979018317326434</v>
      </c>
      <c r="H29" s="500">
        <f ca="1">'Battery Design'!H19/$E29*100/'Cost Input'!$E$4*100</f>
        <v>0.72350721346945923</v>
      </c>
      <c r="I29" s="500">
        <f ca="1">'Battery Design'!I19/$E29*100/'Cost Input'!$E$4*100</f>
        <v>0.89629554100932962</v>
      </c>
      <c r="J29" s="500">
        <f ca="1">'Battery Design'!J19/$E29*100/'Cost Input'!$E$4*100</f>
        <v>1.0684313443150195</v>
      </c>
      <c r="K29" s="500">
        <f ca="1">'Battery Design'!K19/$E29*100/'Cost Input'!$E$4*100</f>
        <v>1.2400786734405498</v>
      </c>
      <c r="L29" s="500">
        <f ca="1">'Battery Design'!L19/$E29*100/'Cost Input'!$E$4*100</f>
        <v>1.411344354253123</v>
      </c>
    </row>
    <row r="30" spans="1:12" ht="14.25" x14ac:dyDescent="0.2">
      <c r="A30" s="400" t="s">
        <v>105</v>
      </c>
      <c r="B30" s="400"/>
      <c r="C30" s="400"/>
      <c r="D30" s="400"/>
      <c r="E30" s="256">
        <f>'Cost Input'!E11</f>
        <v>98</v>
      </c>
      <c r="F30" s="500">
        <f ca="1">'Battery Design'!F20/$E30*100/'Cost Input'!$E$4*100</f>
        <v>0.78434635332462999</v>
      </c>
      <c r="G30" s="500">
        <f ca="1">'Battery Design'!G20/$E30*100/'Cost Input'!$E$4*100</f>
        <v>0.94620284547737632</v>
      </c>
      <c r="H30" s="500">
        <f ca="1">'Battery Design'!H20/$E30*100/'Cost Input'!$E$4*100</f>
        <v>1.2490866490248369</v>
      </c>
      <c r="I30" s="500">
        <f ca="1">'Battery Design'!I20/$E30*100/'Cost Input'!$E$4*100</f>
        <v>1.5507568884262013</v>
      </c>
      <c r="J30" s="500">
        <f ca="1">'Battery Design'!J20/$E30*100/'Cost Input'!$E$4*100</f>
        <v>1.8515776995791298</v>
      </c>
      <c r="K30" s="500">
        <f ca="1">'Battery Design'!K20/$E30*100/'Cost Input'!$E$4*100</f>
        <v>2.1517653956245559</v>
      </c>
      <c r="L30" s="500">
        <f ca="1">'Battery Design'!L20/$E30*100/'Cost Input'!$E$4*100</f>
        <v>2.451460734094923</v>
      </c>
    </row>
    <row r="31" spans="1:12" x14ac:dyDescent="0.2">
      <c r="A31" s="400" t="s">
        <v>106</v>
      </c>
      <c r="B31" s="400"/>
      <c r="C31" s="400"/>
      <c r="D31" s="400"/>
      <c r="E31" s="256">
        <f>'Cost Input'!E12</f>
        <v>94</v>
      </c>
      <c r="F31" s="500">
        <f ca="1">'Battery Design'!F21/$E31*100/'Cost Input'!$E$4*100</f>
        <v>3.5898121635883178E-2</v>
      </c>
      <c r="G31" s="500">
        <f ca="1">'Battery Design'!G21/$E31*100/'Cost Input'!$E$4*100</f>
        <v>5.188228132967003E-2</v>
      </c>
      <c r="H31" s="500">
        <f ca="1">'Battery Design'!H21/$E31*100/'Cost Input'!$E$4*100</f>
        <v>6.8988256981226709E-2</v>
      </c>
      <c r="I31" s="500">
        <f ca="1">'Battery Design'!I21/$E31*100/'Cost Input'!$E$4*100</f>
        <v>8.6077324286980755E-2</v>
      </c>
      <c r="J31" s="500">
        <f ca="1">'Battery Design'!J21/$E31*100/'Cost Input'!$E$4*100</f>
        <v>0.10315510866731317</v>
      </c>
      <c r="K31" s="500">
        <f ca="1">'Battery Design'!K21/$E31*100/'Cost Input'!$E$4*100</f>
        <v>0.1202249493220765</v>
      </c>
      <c r="L31" s="500">
        <f ca="1">'Battery Design'!L21/$E31*100/'Cost Input'!$E$4*100</f>
        <v>0.13728901866557733</v>
      </c>
    </row>
    <row r="32" spans="1:12" ht="15" x14ac:dyDescent="0.25">
      <c r="A32" s="259" t="s">
        <v>107</v>
      </c>
      <c r="B32" s="399"/>
      <c r="C32" s="399"/>
      <c r="D32" s="233"/>
      <c r="E32" s="400"/>
      <c r="F32" s="313"/>
      <c r="G32" s="313"/>
      <c r="H32" s="313"/>
      <c r="I32" s="313"/>
      <c r="J32" s="313"/>
      <c r="K32" s="313"/>
      <c r="L32" s="313"/>
    </row>
    <row r="33" spans="1:12" x14ac:dyDescent="0.2">
      <c r="A33" s="400" t="s">
        <v>5</v>
      </c>
      <c r="B33" s="400"/>
      <c r="C33" s="400"/>
      <c r="D33" s="233"/>
      <c r="E33" s="400"/>
      <c r="F33" s="313"/>
      <c r="G33" s="313"/>
      <c r="H33" s="313"/>
      <c r="I33" s="313"/>
      <c r="J33" s="313"/>
      <c r="K33" s="313"/>
      <c r="L33" s="313"/>
    </row>
    <row r="34" spans="1:12" x14ac:dyDescent="0.2">
      <c r="A34" s="400" t="s">
        <v>108</v>
      </c>
      <c r="B34" s="400"/>
      <c r="C34" s="400"/>
      <c r="D34" s="400"/>
      <c r="E34" s="400"/>
      <c r="F34" s="501">
        <f t="shared" ref="F34:J36" ca="1" si="12">F17*F$7/1000</f>
        <v>1162109.3964333634</v>
      </c>
      <c r="G34" s="501">
        <f t="shared" ca="1" si="12"/>
        <v>1745702.5412769262</v>
      </c>
      <c r="H34" s="501">
        <f t="shared" ca="1" si="12"/>
        <v>2327787.7074627085</v>
      </c>
      <c r="I34" s="501">
        <f t="shared" ca="1" si="12"/>
        <v>2909961.7440627841</v>
      </c>
      <c r="J34" s="501">
        <f t="shared" ca="1" si="12"/>
        <v>3492223.8655314767</v>
      </c>
      <c r="K34" s="501">
        <f t="shared" ref="K34:L34" ca="1" si="13">K17*K$7/1000</f>
        <v>4074573.4993519136</v>
      </c>
      <c r="L34" s="501">
        <f t="shared" ca="1" si="13"/>
        <v>4657010.214093362</v>
      </c>
    </row>
    <row r="35" spans="1:12" x14ac:dyDescent="0.2">
      <c r="A35" s="400" t="s">
        <v>273</v>
      </c>
      <c r="B35" s="400"/>
      <c r="C35" s="400"/>
      <c r="D35" s="400"/>
      <c r="E35" s="400"/>
      <c r="F35" s="501">
        <f t="shared" ca="1" si="12"/>
        <v>78344.453692136856</v>
      </c>
      <c r="G35" s="501">
        <f t="shared" ca="1" si="12"/>
        <v>117687.81177147818</v>
      </c>
      <c r="H35" s="501">
        <f t="shared" ca="1" si="12"/>
        <v>156929.50836827248</v>
      </c>
      <c r="I35" s="501">
        <f t="shared" ca="1" si="12"/>
        <v>196177.19622895177</v>
      </c>
      <c r="J35" s="501">
        <f t="shared" ca="1" si="12"/>
        <v>235430.82239538047</v>
      </c>
      <c r="K35" s="501">
        <f t="shared" ref="K35:L35" ca="1" si="14">K18*K$7/1000</f>
        <v>274690.34827091551</v>
      </c>
      <c r="L35" s="501">
        <f t="shared" ca="1" si="14"/>
        <v>313955.74477033905</v>
      </c>
    </row>
    <row r="36" spans="1:12" x14ac:dyDescent="0.2">
      <c r="A36" s="400" t="s">
        <v>110</v>
      </c>
      <c r="B36" s="400"/>
      <c r="C36" s="400"/>
      <c r="D36" s="400"/>
      <c r="E36" s="400"/>
      <c r="F36" s="501">
        <f t="shared" ca="1" si="12"/>
        <v>65287.044743447368</v>
      </c>
      <c r="G36" s="501">
        <f t="shared" ca="1" si="12"/>
        <v>98073.176476231805</v>
      </c>
      <c r="H36" s="501">
        <f t="shared" ca="1" si="12"/>
        <v>130774.59030689373</v>
      </c>
      <c r="I36" s="501">
        <f t="shared" ca="1" si="12"/>
        <v>163480.9968574598</v>
      </c>
      <c r="J36" s="501">
        <f t="shared" ca="1" si="12"/>
        <v>196192.35199615042</v>
      </c>
      <c r="K36" s="501">
        <f t="shared" ref="K36:L36" ca="1" si="15">K19*K$7/1000</f>
        <v>228908.62355909625</v>
      </c>
      <c r="L36" s="501">
        <f t="shared" ca="1" si="15"/>
        <v>261629.78730861587</v>
      </c>
    </row>
    <row r="37" spans="1:12" x14ac:dyDescent="0.2">
      <c r="A37" s="400" t="s">
        <v>223</v>
      </c>
      <c r="B37" s="400"/>
      <c r="C37" s="400"/>
      <c r="D37" s="400"/>
      <c r="E37" s="400"/>
      <c r="F37" s="501">
        <f ca="1">F20*F$7/1000*(1-'Cost Input'!$E13/100)</f>
        <v>7834.4453692136913</v>
      </c>
      <c r="G37" s="501">
        <f ca="1">G20*G$7/1000*(1-'Cost Input'!$E13/100)</f>
        <v>11768.781177147828</v>
      </c>
      <c r="H37" s="501">
        <f ca="1">H20*H$7/1000*(1-'Cost Input'!$E13/100)</f>
        <v>15692.950836827264</v>
      </c>
      <c r="I37" s="501">
        <f ca="1">I20*I$7/1000*(1-'Cost Input'!$E13/100)</f>
        <v>19617.719622895198</v>
      </c>
      <c r="J37" s="501">
        <f ca="1">J20*J$7/1000*(1-'Cost Input'!$E13/100)</f>
        <v>23543.082239538071</v>
      </c>
      <c r="K37" s="501">
        <f ca="1">K20*K$7/1000*(1-'Cost Input'!$E13/100)</f>
        <v>27469.034827091575</v>
      </c>
      <c r="L37" s="501">
        <f ca="1">L20*L$7/1000*(1-'Cost Input'!$E13/100)</f>
        <v>31395.574477033933</v>
      </c>
    </row>
    <row r="38" spans="1:12" x14ac:dyDescent="0.2">
      <c r="A38" s="400" t="s">
        <v>111</v>
      </c>
      <c r="B38" s="400"/>
      <c r="C38" s="400"/>
      <c r="D38" s="400"/>
      <c r="E38" s="400"/>
      <c r="F38" s="501"/>
      <c r="G38" s="501"/>
      <c r="H38" s="501"/>
      <c r="I38" s="501"/>
      <c r="J38" s="501"/>
      <c r="K38" s="501"/>
      <c r="L38" s="501"/>
    </row>
    <row r="39" spans="1:12" x14ac:dyDescent="0.2">
      <c r="A39" s="400" t="s">
        <v>112</v>
      </c>
      <c r="B39" s="400"/>
      <c r="C39" s="400"/>
      <c r="D39" s="400"/>
      <c r="E39" s="400"/>
      <c r="F39" s="501">
        <f t="shared" ref="F39:J41" ca="1" si="16">F23*F$7/1000</f>
        <v>403599.03459234722</v>
      </c>
      <c r="G39" s="501">
        <f t="shared" ca="1" si="16"/>
        <v>602209.92439318658</v>
      </c>
      <c r="H39" s="501">
        <f t="shared" ca="1" si="16"/>
        <v>799360.75426002429</v>
      </c>
      <c r="I39" s="501">
        <f t="shared" ca="1" si="16"/>
        <v>996170.01370174717</v>
      </c>
      <c r="J39" s="501">
        <f t="shared" ca="1" si="16"/>
        <v>1192744.9854302895</v>
      </c>
      <c r="K39" s="501">
        <f t="shared" ref="K39:L39" ca="1" si="17">K23*K$7/1000</f>
        <v>1389149.3803183131</v>
      </c>
      <c r="L39" s="501">
        <f t="shared" ca="1" si="17"/>
        <v>1585424.6454893611</v>
      </c>
    </row>
    <row r="40" spans="1:12" x14ac:dyDescent="0.2">
      <c r="A40" s="400" t="s">
        <v>109</v>
      </c>
      <c r="B40" s="400"/>
      <c r="C40" s="400"/>
      <c r="D40" s="400"/>
      <c r="E40" s="400"/>
      <c r="F40" s="501">
        <f t="shared" ca="1" si="16"/>
        <v>0</v>
      </c>
      <c r="G40" s="501">
        <f t="shared" ca="1" si="16"/>
        <v>0</v>
      </c>
      <c r="H40" s="501">
        <f t="shared" ca="1" si="16"/>
        <v>0</v>
      </c>
      <c r="I40" s="501">
        <f t="shared" ca="1" si="16"/>
        <v>0</v>
      </c>
      <c r="J40" s="501">
        <f t="shared" ca="1" si="16"/>
        <v>0</v>
      </c>
      <c r="K40" s="501">
        <f t="shared" ref="K40:L40" ca="1" si="18">K24*K$7/1000</f>
        <v>0</v>
      </c>
      <c r="L40" s="501">
        <f t="shared" ca="1" si="18"/>
        <v>0</v>
      </c>
    </row>
    <row r="41" spans="1:12" x14ac:dyDescent="0.2">
      <c r="A41" s="400" t="s">
        <v>110</v>
      </c>
      <c r="B41" s="400"/>
      <c r="C41" s="400"/>
      <c r="D41" s="400"/>
      <c r="E41" s="400"/>
      <c r="F41" s="501">
        <f t="shared" ca="1" si="16"/>
        <v>21242.054452228793</v>
      </c>
      <c r="G41" s="501">
        <f t="shared" ca="1" si="16"/>
        <v>31695.259178588763</v>
      </c>
      <c r="H41" s="501">
        <f t="shared" ca="1" si="16"/>
        <v>42071.618645264425</v>
      </c>
      <c r="I41" s="501">
        <f t="shared" ca="1" si="16"/>
        <v>52430.000721144592</v>
      </c>
      <c r="J41" s="501">
        <f t="shared" ca="1" si="16"/>
        <v>62776.051864752088</v>
      </c>
      <c r="K41" s="501">
        <f t="shared" ref="K41:L41" ca="1" si="19">K25*K$7/1000</f>
        <v>73113.125279911226</v>
      </c>
      <c r="L41" s="501">
        <f t="shared" ca="1" si="19"/>
        <v>83443.402394176912</v>
      </c>
    </row>
    <row r="42" spans="1:12" ht="14.25" x14ac:dyDescent="0.2">
      <c r="A42" s="400" t="s">
        <v>103</v>
      </c>
      <c r="B42" s="400"/>
      <c r="C42" s="400"/>
      <c r="D42" s="400"/>
      <c r="E42" s="400"/>
      <c r="F42" s="501">
        <f t="shared" ref="F42:J45" ca="1" si="20">F28*F$7</f>
        <v>4044835.66313654</v>
      </c>
      <c r="G42" s="501">
        <f t="shared" ca="1" si="20"/>
        <v>4890227.6166680306</v>
      </c>
      <c r="H42" s="501">
        <f t="shared" ca="1" si="20"/>
        <v>6463892.7100512469</v>
      </c>
      <c r="I42" s="501">
        <f t="shared" ca="1" si="20"/>
        <v>8031930.1817823108</v>
      </c>
      <c r="J42" s="501">
        <f t="shared" ca="1" si="20"/>
        <v>9596035.7696864996</v>
      </c>
      <c r="K42" s="501">
        <f t="shared" ref="K42:L42" ca="1" si="21">K28*K$7</f>
        <v>11157217.047497835</v>
      </c>
      <c r="L42" s="501">
        <f t="shared" ca="1" si="21"/>
        <v>12716129.002256703</v>
      </c>
    </row>
    <row r="43" spans="1:12" ht="14.25" x14ac:dyDescent="0.2">
      <c r="A43" s="400" t="s">
        <v>104</v>
      </c>
      <c r="B43" s="400"/>
      <c r="C43" s="400"/>
      <c r="D43" s="400"/>
      <c r="E43" s="400"/>
      <c r="F43" s="501">
        <f t="shared" ca="1" si="20"/>
        <v>4366927.2602016469</v>
      </c>
      <c r="G43" s="501">
        <f t="shared" ca="1" si="20"/>
        <v>5277985.758463338</v>
      </c>
      <c r="H43" s="501">
        <f t="shared" ca="1" si="20"/>
        <v>6945669.2493068082</v>
      </c>
      <c r="I43" s="501">
        <f t="shared" ca="1" si="20"/>
        <v>8604437.1936895642</v>
      </c>
      <c r="J43" s="501">
        <f t="shared" ca="1" si="20"/>
        <v>10256940.905424187</v>
      </c>
      <c r="K43" s="501">
        <f t="shared" ref="K43:L43" ca="1" si="22">K29*K$7</f>
        <v>11904755.265029278</v>
      </c>
      <c r="L43" s="501">
        <f t="shared" ca="1" si="22"/>
        <v>13548905.800829981</v>
      </c>
    </row>
    <row r="44" spans="1:12" ht="14.25" x14ac:dyDescent="0.2">
      <c r="A44" s="400" t="s">
        <v>105</v>
      </c>
      <c r="B44" s="400"/>
      <c r="C44" s="400"/>
      <c r="D44" s="400"/>
      <c r="E44" s="400"/>
      <c r="F44" s="501">
        <f t="shared" ca="1" si="20"/>
        <v>7529724.9919164479</v>
      </c>
      <c r="G44" s="501">
        <f t="shared" ca="1" si="20"/>
        <v>9083547.316582812</v>
      </c>
      <c r="H44" s="501">
        <f t="shared" ca="1" si="20"/>
        <v>11991231.830638435</v>
      </c>
      <c r="I44" s="501">
        <f t="shared" ca="1" si="20"/>
        <v>14887266.128891533</v>
      </c>
      <c r="J44" s="501">
        <f t="shared" ca="1" si="20"/>
        <v>17775145.915959645</v>
      </c>
      <c r="K44" s="501">
        <f t="shared" ref="K44:L44" ca="1" si="23">K30*K$7</f>
        <v>20656947.797995739</v>
      </c>
      <c r="L44" s="501">
        <f t="shared" ca="1" si="23"/>
        <v>23534023.047311261</v>
      </c>
    </row>
    <row r="45" spans="1:12" x14ac:dyDescent="0.2">
      <c r="A45" s="400" t="s">
        <v>106</v>
      </c>
      <c r="B45" s="400"/>
      <c r="C45" s="400"/>
      <c r="D45" s="400"/>
      <c r="E45" s="400"/>
      <c r="F45" s="501">
        <f t="shared" ca="1" si="20"/>
        <v>344621.96770447848</v>
      </c>
      <c r="G45" s="501">
        <f t="shared" ca="1" si="20"/>
        <v>498069.90076483227</v>
      </c>
      <c r="H45" s="501">
        <f t="shared" ca="1" si="20"/>
        <v>662287.26701977639</v>
      </c>
      <c r="I45" s="501">
        <f t="shared" ca="1" si="20"/>
        <v>826342.31315501523</v>
      </c>
      <c r="J45" s="501">
        <f t="shared" ca="1" si="20"/>
        <v>990289.04320620641</v>
      </c>
      <c r="K45" s="501">
        <f t="shared" ref="K45:L45" ca="1" si="24">K31*K$7</f>
        <v>1154159.5134919344</v>
      </c>
      <c r="L45" s="501">
        <f t="shared" ca="1" si="24"/>
        <v>1317974.5791895424</v>
      </c>
    </row>
    <row r="46" spans="1:12" x14ac:dyDescent="0.2">
      <c r="A46" s="25" t="s">
        <v>113</v>
      </c>
      <c r="B46" s="25"/>
      <c r="C46" s="25"/>
      <c r="D46" s="400"/>
      <c r="E46" s="400"/>
      <c r="F46" s="501">
        <f>F$7/'Cost Input'!$E4*100</f>
        <v>10105263.157894738</v>
      </c>
      <c r="G46" s="501">
        <f>G$7/'Cost Input'!$E4*100</f>
        <v>10105263.157894738</v>
      </c>
      <c r="H46" s="501">
        <f>H$7/'Cost Input'!$E4*100</f>
        <v>10105263.157894738</v>
      </c>
      <c r="I46" s="501">
        <f>I$7/'Cost Input'!$E4*100</f>
        <v>10105263.157894738</v>
      </c>
      <c r="J46" s="501">
        <f>J$7/'Cost Input'!$E4*100</f>
        <v>10105263.157894738</v>
      </c>
      <c r="K46" s="501">
        <f>K$7/'Cost Input'!$E4*100</f>
        <v>10105263.157894738</v>
      </c>
      <c r="L46" s="501">
        <f>L$7/'Cost Input'!$E4*100</f>
        <v>10105263.157894738</v>
      </c>
    </row>
    <row r="47" spans="1:12" x14ac:dyDescent="0.2">
      <c r="A47" s="25" t="s">
        <v>114</v>
      </c>
      <c r="B47" s="25"/>
      <c r="C47" s="25"/>
      <c r="D47" s="400"/>
      <c r="E47" s="400"/>
      <c r="F47" s="501">
        <f t="shared" ref="F47:J48" si="25">F46</f>
        <v>10105263.157894738</v>
      </c>
      <c r="G47" s="501">
        <f t="shared" si="25"/>
        <v>10105263.157894738</v>
      </c>
      <c r="H47" s="501">
        <f t="shared" si="25"/>
        <v>10105263.157894738</v>
      </c>
      <c r="I47" s="501">
        <f t="shared" si="25"/>
        <v>10105263.157894738</v>
      </c>
      <c r="J47" s="501">
        <f t="shared" si="25"/>
        <v>10105263.157894738</v>
      </c>
      <c r="K47" s="501">
        <f t="shared" ref="K47:L47" si="26">K46</f>
        <v>10105263.157894738</v>
      </c>
      <c r="L47" s="501">
        <f t="shared" si="26"/>
        <v>10105263.157894738</v>
      </c>
    </row>
    <row r="48" spans="1:12" x14ac:dyDescent="0.2">
      <c r="A48" s="25" t="s">
        <v>115</v>
      </c>
      <c r="B48" s="25"/>
      <c r="C48" s="25"/>
      <c r="D48" s="400"/>
      <c r="E48" s="400"/>
      <c r="F48" s="501">
        <f t="shared" si="25"/>
        <v>10105263.157894738</v>
      </c>
      <c r="G48" s="501">
        <f t="shared" si="25"/>
        <v>10105263.157894738</v>
      </c>
      <c r="H48" s="501">
        <f t="shared" si="25"/>
        <v>10105263.157894738</v>
      </c>
      <c r="I48" s="501">
        <f t="shared" si="25"/>
        <v>10105263.157894738</v>
      </c>
      <c r="J48" s="501">
        <f t="shared" si="25"/>
        <v>10105263.157894738</v>
      </c>
      <c r="K48" s="501">
        <f t="shared" ref="K48:L48" si="27">K47</f>
        <v>10105263.157894738</v>
      </c>
      <c r="L48" s="501">
        <f t="shared" si="27"/>
        <v>10105263.157894738</v>
      </c>
    </row>
    <row r="49" spans="1:12" x14ac:dyDescent="0.2">
      <c r="A49" s="142" t="s">
        <v>429</v>
      </c>
      <c r="B49" s="25"/>
      <c r="C49" s="25"/>
      <c r="D49" s="400"/>
      <c r="E49" s="400"/>
      <c r="F49" s="501">
        <f t="shared" ref="F49:K49" si="28">F7</f>
        <v>9600000</v>
      </c>
      <c r="G49" s="501">
        <f t="shared" si="28"/>
        <v>9600000</v>
      </c>
      <c r="H49" s="501">
        <f t="shared" si="28"/>
        <v>9600000</v>
      </c>
      <c r="I49" s="501">
        <f t="shared" si="28"/>
        <v>9600000</v>
      </c>
      <c r="J49" s="501">
        <f t="shared" si="28"/>
        <v>9600000</v>
      </c>
      <c r="K49" s="501">
        <f t="shared" si="28"/>
        <v>9600000</v>
      </c>
      <c r="L49" s="501">
        <f t="shared" ref="L49" si="29">L7</f>
        <v>9600000</v>
      </c>
    </row>
    <row r="50" spans="1:12" x14ac:dyDescent="0.2">
      <c r="A50" s="142" t="s">
        <v>356</v>
      </c>
      <c r="B50" s="25"/>
      <c r="C50" s="25"/>
      <c r="D50" s="400"/>
      <c r="E50" s="400"/>
      <c r="F50" s="501">
        <f t="shared" ref="F50:K50" ca="1" si="30">(F20)*F7/1000</f>
        <v>1566889.0738427369</v>
      </c>
      <c r="G50" s="501">
        <f t="shared" ca="1" si="30"/>
        <v>2353756.2354295636</v>
      </c>
      <c r="H50" s="501">
        <f t="shared" ca="1" si="30"/>
        <v>3138590.1673654499</v>
      </c>
      <c r="I50" s="501">
        <f t="shared" ca="1" si="30"/>
        <v>3923543.924579036</v>
      </c>
      <c r="J50" s="501">
        <f t="shared" ca="1" si="30"/>
        <v>4708616.4479076099</v>
      </c>
      <c r="K50" s="501">
        <f t="shared" ca="1" si="30"/>
        <v>5493806.9654183099</v>
      </c>
      <c r="L50" s="501">
        <f t="shared" ref="L50" ca="1" si="31">(L20)*L7/1000</f>
        <v>6279114.8954067808</v>
      </c>
    </row>
    <row r="51" spans="1:12" x14ac:dyDescent="0.2">
      <c r="A51" s="142" t="s">
        <v>357</v>
      </c>
      <c r="B51" s="25"/>
      <c r="C51" s="25"/>
      <c r="D51" s="400"/>
      <c r="E51" s="400"/>
      <c r="F51" s="501">
        <f t="shared" ref="F51:K51" ca="1" si="32">F26*F7/1000</f>
        <v>509809.306853491</v>
      </c>
      <c r="G51" s="501">
        <f t="shared" ca="1" si="32"/>
        <v>760686.22028613032</v>
      </c>
      <c r="H51" s="501">
        <f t="shared" ca="1" si="32"/>
        <v>1009718.8474863463</v>
      </c>
      <c r="I51" s="501">
        <f t="shared" ca="1" si="32"/>
        <v>1258320.0173074703</v>
      </c>
      <c r="J51" s="501">
        <f t="shared" ca="1" si="32"/>
        <v>1506625.2447540499</v>
      </c>
      <c r="K51" s="501">
        <f t="shared" ca="1" si="32"/>
        <v>1754715.0067178693</v>
      </c>
      <c r="L51" s="501">
        <f t="shared" ref="L51" ca="1" si="33">L26*L7/1000</f>
        <v>2002641.6574602462</v>
      </c>
    </row>
    <row r="52" spans="1:12" ht="15" x14ac:dyDescent="0.25">
      <c r="A52" s="332" t="s">
        <v>116</v>
      </c>
      <c r="B52" s="73"/>
      <c r="C52" s="73"/>
      <c r="D52" s="330" t="s">
        <v>40</v>
      </c>
      <c r="E52" s="330" t="s">
        <v>42</v>
      </c>
      <c r="F52" s="502"/>
      <c r="G52" s="502"/>
      <c r="H52" s="502"/>
      <c r="I52" s="502"/>
      <c r="J52" s="502"/>
      <c r="K52" s="502"/>
      <c r="L52" s="502"/>
    </row>
    <row r="53" spans="1:12" x14ac:dyDescent="0.2">
      <c r="A53" s="400" t="s">
        <v>41</v>
      </c>
      <c r="B53" s="400"/>
      <c r="C53" s="400"/>
      <c r="D53" s="233"/>
      <c r="E53" s="400"/>
      <c r="F53" s="502"/>
      <c r="G53" s="502"/>
      <c r="H53" s="502"/>
      <c r="I53" s="502"/>
      <c r="J53" s="502"/>
      <c r="K53" s="502"/>
      <c r="L53" s="502"/>
    </row>
    <row r="54" spans="1:12" x14ac:dyDescent="0.2">
      <c r="A54" s="400" t="s">
        <v>45</v>
      </c>
      <c r="B54" s="400"/>
      <c r="C54" s="400"/>
      <c r="D54" s="503">
        <f>'Cost Input'!D16</f>
        <v>10</v>
      </c>
      <c r="E54" s="503">
        <f>'Cost Input'!E16</f>
        <v>0.9</v>
      </c>
      <c r="F54" s="504">
        <f ca="1">$D54*('Cost Input'!$J$23/F$34)^(1-$E54)</f>
        <v>10.395346549933455</v>
      </c>
      <c r="G54" s="504">
        <f ca="1">$D54*('Cost Input'!$J$23/G$34)^(1-$E54)</f>
        <v>9.9808297792239244</v>
      </c>
      <c r="H54" s="504">
        <f ca="1">$D54*('Cost Input'!$J$23/H$34)^(1-$E54)</f>
        <v>9.6977132016709291</v>
      </c>
      <c r="I54" s="504">
        <f ca="1">$D54*('Cost Input'!$J$23/I$34)^(1-$E54)</f>
        <v>9.4836375010423062</v>
      </c>
      <c r="J54" s="504">
        <f ca="1">$D54*('Cost Input'!$J$23/J$34)^(1-$E54)</f>
        <v>9.3122251053611578</v>
      </c>
      <c r="K54" s="504">
        <f ca="1">$D54*('Cost Input'!$J$23/K$34)^(1-$E54)</f>
        <v>9.1697069743043311</v>
      </c>
      <c r="L54" s="504">
        <f ca="1">$D54*('Cost Input'!$J$23/L$34)^(1-$E54)</f>
        <v>9.0480075482502595</v>
      </c>
    </row>
    <row r="55" spans="1:12" x14ac:dyDescent="0.2">
      <c r="A55" s="400" t="s">
        <v>272</v>
      </c>
      <c r="B55" s="400"/>
      <c r="C55" s="400"/>
      <c r="D55" s="503">
        <f>'Cost Input'!D17</f>
        <v>6.8</v>
      </c>
      <c r="E55" s="503">
        <f>'Cost Input'!E17</f>
        <v>1</v>
      </c>
      <c r="F55" s="504">
        <f ca="1">$D55*('Cost Input'!$J$23/F$34)^(1-$E55)</f>
        <v>6.8</v>
      </c>
      <c r="G55" s="504">
        <f ca="1">$D55*('Cost Input'!$J$23/G$34)^(1-$E55)</f>
        <v>6.8</v>
      </c>
      <c r="H55" s="504">
        <f ca="1">$D55*('Cost Input'!$J$23/H$34)^(1-$E55)</f>
        <v>6.8</v>
      </c>
      <c r="I55" s="504">
        <f ca="1">$D55*('Cost Input'!$J$23/I$34)^(1-$E55)</f>
        <v>6.8</v>
      </c>
      <c r="J55" s="504">
        <f ca="1">$D55*('Cost Input'!$J$23/J$34)^(1-$E55)</f>
        <v>6.8</v>
      </c>
      <c r="K55" s="504">
        <f ca="1">$D55*('Cost Input'!$J$23/K$34)^(1-$E55)</f>
        <v>6.8</v>
      </c>
      <c r="L55" s="504">
        <f ca="1">$D55*('Cost Input'!$J$23/L$34)^(1-$E55)</f>
        <v>6.8</v>
      </c>
    </row>
    <row r="56" spans="1:12" x14ac:dyDescent="0.2">
      <c r="A56" s="400" t="s">
        <v>51</v>
      </c>
      <c r="B56" s="400"/>
      <c r="C56" s="400"/>
      <c r="D56" s="503">
        <f>'Cost Input'!D19</f>
        <v>10</v>
      </c>
      <c r="E56" s="503">
        <f>'Cost Input'!E19</f>
        <v>1</v>
      </c>
      <c r="F56" s="504">
        <f ca="1">$D56*('Cost Input'!$J$23/F$34)^(1-$E56)</f>
        <v>10</v>
      </c>
      <c r="G56" s="504">
        <f ca="1">$D56*('Cost Input'!$J$23/G$34)^(1-$E56)</f>
        <v>10</v>
      </c>
      <c r="H56" s="504">
        <f ca="1">$D56*('Cost Input'!$J$23/H$34)^(1-$E56)</f>
        <v>10</v>
      </c>
      <c r="I56" s="504">
        <f ca="1">$D56*('Cost Input'!$J$23/I$34)^(1-$E56)</f>
        <v>10</v>
      </c>
      <c r="J56" s="504">
        <f ca="1">$D56*('Cost Input'!$J$23/J$34)^(1-$E56)</f>
        <v>10</v>
      </c>
      <c r="K56" s="504">
        <f ca="1">$D56*('Cost Input'!$J$23/K$34)^(1-$E56)</f>
        <v>10</v>
      </c>
      <c r="L56" s="504">
        <f ca="1">$D56*('Cost Input'!$J$23/L$34)^(1-$E56)</f>
        <v>10</v>
      </c>
    </row>
    <row r="57" spans="1:12" x14ac:dyDescent="0.2">
      <c r="A57" s="400" t="s">
        <v>53</v>
      </c>
      <c r="B57" s="400"/>
      <c r="C57" s="400"/>
      <c r="D57" s="503">
        <f>'Cost Input'!D20</f>
        <v>3.2</v>
      </c>
      <c r="E57" s="503">
        <f>'Cost Input'!E20</f>
        <v>1</v>
      </c>
      <c r="F57" s="504">
        <f ca="1">$D57*('Cost Input'!$J$23/F$34)^(1-$E57)</f>
        <v>3.2</v>
      </c>
      <c r="G57" s="504">
        <f ca="1">$D57*('Cost Input'!$J$23/G$34)^(1-$E57)</f>
        <v>3.2</v>
      </c>
      <c r="H57" s="504">
        <f ca="1">$D57*('Cost Input'!$J$23/H$34)^(1-$E57)</f>
        <v>3.2</v>
      </c>
      <c r="I57" s="504">
        <f ca="1">$D57*('Cost Input'!$J$23/I$34)^(1-$E57)</f>
        <v>3.2</v>
      </c>
      <c r="J57" s="504">
        <f ca="1">$D57*('Cost Input'!$J$23/J$34)^(1-$E57)</f>
        <v>3.2</v>
      </c>
      <c r="K57" s="504">
        <f ca="1">$D57*('Cost Input'!$J$23/K$34)^(1-$E57)</f>
        <v>3.2</v>
      </c>
      <c r="L57" s="504">
        <f ca="1">$D57*('Cost Input'!$J$23/L$34)^(1-$E57)</f>
        <v>3.2</v>
      </c>
    </row>
    <row r="58" spans="1:12" x14ac:dyDescent="0.2">
      <c r="A58" s="400" t="s">
        <v>54</v>
      </c>
      <c r="B58" s="400"/>
      <c r="C58" s="400"/>
      <c r="D58" s="503"/>
      <c r="E58" s="503"/>
      <c r="F58" s="505"/>
      <c r="G58" s="505"/>
      <c r="H58" s="505"/>
      <c r="I58" s="505"/>
      <c r="J58" s="505"/>
      <c r="K58" s="505"/>
      <c r="L58" s="505"/>
    </row>
    <row r="59" spans="1:12" x14ac:dyDescent="0.2">
      <c r="A59" s="400" t="s">
        <v>45</v>
      </c>
      <c r="B59" s="400"/>
      <c r="C59" s="400"/>
      <c r="D59" s="503">
        <f>'Cost Input'!D22</f>
        <v>15</v>
      </c>
      <c r="E59" s="503">
        <f>'Cost Input'!E22</f>
        <v>0.9</v>
      </c>
      <c r="F59" s="504">
        <f ca="1">$D59*('Cost Input'!$J$24/F$39)^(1-$E59)</f>
        <v>16.735053226103354</v>
      </c>
      <c r="G59" s="504">
        <f ca="1">$D59*('Cost Input'!$J$24/G$39)^(1-$E59)</f>
        <v>16.078566233930278</v>
      </c>
      <c r="H59" s="504">
        <f ca="1">$D59*('Cost Input'!$J$24/H$39)^(1-$E59)</f>
        <v>15.629598709461877</v>
      </c>
      <c r="I59" s="504">
        <f ca="1">$D59*('Cost Input'!$J$24/I$39)^(1-$E59)</f>
        <v>15.289340876699868</v>
      </c>
      <c r="J59" s="504">
        <f ca="1">$D59*('Cost Input'!$J$24/J$39)^(1-$E59)</f>
        <v>15.016452612046484</v>
      </c>
      <c r="K59" s="504">
        <f ca="1">$D59*('Cost Input'!$J$24/K$39)^(1-$E59)</f>
        <v>14.78928625020157</v>
      </c>
      <c r="L59" s="504">
        <f ca="1">$D59*('Cost Input'!$J$24/L$39)^(1-$E59)</f>
        <v>14.595115942707915</v>
      </c>
    </row>
    <row r="60" spans="1:12" x14ac:dyDescent="0.2">
      <c r="A60" s="400" t="s">
        <v>49</v>
      </c>
      <c r="B60" s="400"/>
      <c r="C60" s="400"/>
      <c r="D60" s="503">
        <f>'Cost Input'!D23</f>
        <v>6.8</v>
      </c>
      <c r="E60" s="503">
        <f>'Cost Input'!E23</f>
        <v>1</v>
      </c>
      <c r="F60" s="504">
        <f ca="1">$D60*('Cost Input'!$J$24/F$39)^(1-$E60)</f>
        <v>6.8</v>
      </c>
      <c r="G60" s="504">
        <f ca="1">$D60*('Cost Input'!$J$24/G$39)^(1-$E60)</f>
        <v>6.8</v>
      </c>
      <c r="H60" s="504">
        <f ca="1">$D60*('Cost Input'!$J$24/H$39)^(1-$E60)</f>
        <v>6.8</v>
      </c>
      <c r="I60" s="504">
        <f ca="1">$D60*('Cost Input'!$J$24/I$39)^(1-$E60)</f>
        <v>6.8</v>
      </c>
      <c r="J60" s="504">
        <f ca="1">$D60*('Cost Input'!$J$24/J$39)^(1-$E60)</f>
        <v>6.8</v>
      </c>
      <c r="K60" s="504">
        <f ca="1">$D60*('Cost Input'!$J$24/K$39)^(1-$E60)</f>
        <v>6.8</v>
      </c>
      <c r="L60" s="504">
        <f ca="1">$D60*('Cost Input'!$J$24/L$39)^(1-$E60)</f>
        <v>6.8</v>
      </c>
    </row>
    <row r="61" spans="1:12" x14ac:dyDescent="0.2">
      <c r="A61" s="400" t="s">
        <v>308</v>
      </c>
      <c r="B61" s="400"/>
      <c r="C61" s="400"/>
      <c r="D61" s="503">
        <f>'Cost Input'!D24</f>
        <v>10</v>
      </c>
      <c r="E61" s="503">
        <f>'Cost Input'!E24</f>
        <v>1</v>
      </c>
      <c r="F61" s="504">
        <f ca="1">$D61*('Cost Input'!$J$24/F$39)^(1-$E61)</f>
        <v>10</v>
      </c>
      <c r="G61" s="504">
        <f ca="1">$D61*('Cost Input'!$J$24/G$39)^(1-$E61)</f>
        <v>10</v>
      </c>
      <c r="H61" s="504">
        <f ca="1">$D61*('Cost Input'!$J$24/H$39)^(1-$E61)</f>
        <v>10</v>
      </c>
      <c r="I61" s="504">
        <f ca="1">$D61*('Cost Input'!$J$24/I$39)^(1-$E61)</f>
        <v>10</v>
      </c>
      <c r="J61" s="504">
        <f ca="1">$D61*('Cost Input'!$J$24/J$39)^(1-$E61)</f>
        <v>10</v>
      </c>
      <c r="K61" s="504">
        <f ca="1">$D61*('Cost Input'!$J$24/K$39)^(1-$E61)</f>
        <v>10</v>
      </c>
      <c r="L61" s="504">
        <f ca="1">$D61*('Cost Input'!$J$24/L$39)^(1-$E61)</f>
        <v>10</v>
      </c>
    </row>
    <row r="62" spans="1:12" ht="14.25" x14ac:dyDescent="0.2">
      <c r="A62" s="400" t="s">
        <v>294</v>
      </c>
      <c r="B62" s="400"/>
      <c r="C62" s="400"/>
      <c r="D62" s="503">
        <f>'Cost Input'!D26</f>
        <v>0.3</v>
      </c>
      <c r="E62" s="503">
        <f>'Cost Input'!E26</f>
        <v>1</v>
      </c>
      <c r="F62" s="504">
        <f ca="1">$D62*('Cost Input'!$J$22/F$9)^(1-$E62)</f>
        <v>0.3</v>
      </c>
      <c r="G62" s="504">
        <f ca="1">$D62*('Cost Input'!$J$22/G$9)^(1-$E62)</f>
        <v>0.3</v>
      </c>
      <c r="H62" s="504">
        <f ca="1">$D62*('Cost Input'!$J$22/H$9)^(1-$E62)</f>
        <v>0.3</v>
      </c>
      <c r="I62" s="504">
        <f ca="1">$D62*('Cost Input'!$J$22/I$9)^(1-$E62)</f>
        <v>0.3</v>
      </c>
      <c r="J62" s="504">
        <f ca="1">$D62*('Cost Input'!$J$22/J$9)^(1-$E62)</f>
        <v>0.3</v>
      </c>
      <c r="K62" s="504">
        <f ca="1">$D62*('Cost Input'!$J$22/K$9)^(1-$E62)</f>
        <v>0.3</v>
      </c>
      <c r="L62" s="504">
        <f ca="1">$D62*('Cost Input'!$J$22/L$9)^(1-$E62)</f>
        <v>0.3</v>
      </c>
    </row>
    <row r="63" spans="1:12" ht="14.25" x14ac:dyDescent="0.2">
      <c r="A63" s="400" t="s">
        <v>295</v>
      </c>
      <c r="B63" s="400"/>
      <c r="C63" s="400"/>
      <c r="D63" s="503">
        <f>'Cost Input'!D27</f>
        <v>1.2</v>
      </c>
      <c r="E63" s="503">
        <f>'Cost Input'!E27</f>
        <v>1</v>
      </c>
      <c r="F63" s="504">
        <f ca="1">$D63*('Cost Input'!$J$22/F$9)^(1-$E63)</f>
        <v>1.2</v>
      </c>
      <c r="G63" s="504">
        <f ca="1">$D63*('Cost Input'!$J$22/G$9)^(1-$E63)</f>
        <v>1.2</v>
      </c>
      <c r="H63" s="504">
        <f ca="1">$D63*('Cost Input'!$J$22/H$9)^(1-$E63)</f>
        <v>1.2</v>
      </c>
      <c r="I63" s="504">
        <f ca="1">$D63*('Cost Input'!$J$22/I$9)^(1-$E63)</f>
        <v>1.2</v>
      </c>
      <c r="J63" s="504">
        <f ca="1">$D63*('Cost Input'!$J$22/J$9)^(1-$E63)</f>
        <v>1.2</v>
      </c>
      <c r="K63" s="504">
        <f ca="1">$D63*('Cost Input'!$J$22/K$9)^(1-$E63)</f>
        <v>1.2</v>
      </c>
      <c r="L63" s="504">
        <f ca="1">$D63*('Cost Input'!$J$22/L$9)^(1-$E63)</f>
        <v>1.2</v>
      </c>
    </row>
    <row r="64" spans="1:12" ht="14.25" x14ac:dyDescent="0.2">
      <c r="A64" s="400" t="s">
        <v>58</v>
      </c>
      <c r="B64" s="400"/>
      <c r="C64" s="400"/>
      <c r="D64" s="503">
        <f>'Cost Input'!D28</f>
        <v>1.2</v>
      </c>
      <c r="E64" s="503">
        <f>'Cost Input'!E28</f>
        <v>1</v>
      </c>
      <c r="F64" s="504">
        <f ca="1">$D64*('Cost Input'!$J$22/F$9)^(1-$E64)</f>
        <v>1.2</v>
      </c>
      <c r="G64" s="504">
        <f ca="1">$D64*('Cost Input'!$J$22/G$9)^(1-$E64)</f>
        <v>1.2</v>
      </c>
      <c r="H64" s="504">
        <f ca="1">$D64*('Cost Input'!$J$22/H$9)^(1-$E64)</f>
        <v>1.2</v>
      </c>
      <c r="I64" s="504">
        <f ca="1">$D64*('Cost Input'!$J$22/I$9)^(1-$E64)</f>
        <v>1.2</v>
      </c>
      <c r="J64" s="504">
        <f ca="1">$D64*('Cost Input'!$J$22/J$9)^(1-$E64)</f>
        <v>1.2</v>
      </c>
      <c r="K64" s="504">
        <f ca="1">$D64*('Cost Input'!$J$22/K$9)^(1-$E64)</f>
        <v>1.2</v>
      </c>
      <c r="L64" s="504">
        <f ca="1">$D64*('Cost Input'!$J$22/L$9)^(1-$E64)</f>
        <v>1.2</v>
      </c>
    </row>
    <row r="65" spans="1:12" x14ac:dyDescent="0.2">
      <c r="A65" s="400" t="s">
        <v>59</v>
      </c>
      <c r="B65" s="400"/>
      <c r="C65" s="400"/>
      <c r="D65" s="503">
        <f>'Cost Input'!D29</f>
        <v>17</v>
      </c>
      <c r="E65" s="503">
        <f>'Cost Input'!E29</f>
        <v>1</v>
      </c>
      <c r="F65" s="504">
        <f t="shared" ref="F65:L65" si="34">IF($E65=1,$D65)</f>
        <v>17</v>
      </c>
      <c r="G65" s="504">
        <f t="shared" si="34"/>
        <v>17</v>
      </c>
      <c r="H65" s="504">
        <f t="shared" si="34"/>
        <v>17</v>
      </c>
      <c r="I65" s="504">
        <f t="shared" si="34"/>
        <v>17</v>
      </c>
      <c r="J65" s="504">
        <f t="shared" si="34"/>
        <v>17</v>
      </c>
      <c r="K65" s="504">
        <f t="shared" si="34"/>
        <v>17</v>
      </c>
      <c r="L65" s="504">
        <f t="shared" si="34"/>
        <v>17</v>
      </c>
    </row>
    <row r="66" spans="1:12" x14ac:dyDescent="0.2">
      <c r="A66" s="400" t="s">
        <v>526</v>
      </c>
      <c r="B66" s="400"/>
      <c r="C66" s="400"/>
      <c r="D66" s="503"/>
      <c r="E66" s="284"/>
      <c r="F66" s="505"/>
      <c r="G66" s="505"/>
      <c r="H66" s="505"/>
      <c r="I66" s="505"/>
      <c r="J66" s="505"/>
      <c r="K66" s="505"/>
      <c r="L66" s="505"/>
    </row>
    <row r="67" spans="1:12" x14ac:dyDescent="0.2">
      <c r="A67" s="25" t="s">
        <v>117</v>
      </c>
      <c r="B67" s="25"/>
      <c r="C67" s="25"/>
      <c r="D67" s="401"/>
      <c r="E67" s="284"/>
      <c r="F67" s="504">
        <f ca="1">'Battery Design'!F22/1000*'Cost Input'!$C34+'Cost Input'!$D34</f>
        <v>0.26579542137108336</v>
      </c>
      <c r="G67" s="504">
        <f ca="1">'Battery Design'!G22/1000*'Cost Input'!$C34+'Cost Input'!$D34</f>
        <v>0.26946220971686219</v>
      </c>
      <c r="H67" s="504">
        <f ca="1">'Battery Design'!H22/1000*'Cost Input'!$C34+'Cost Input'!$D34</f>
        <v>0.27282358861707184</v>
      </c>
      <c r="I67" s="504">
        <f ca="1">'Battery Design'!I22/1000*'Cost Input'!$C34+'Cost Input'!$D34</f>
        <v>0.27578536016973171</v>
      </c>
      <c r="J67" s="504">
        <f ca="1">'Battery Design'!J22/1000*'Cost Input'!$C34+'Cost Input'!$D34</f>
        <v>0.27846330804723635</v>
      </c>
      <c r="K67" s="504">
        <f ca="1">'Battery Design'!K22/1000*'Cost Input'!$C34+'Cost Input'!$D34</f>
        <v>0.28092621233170972</v>
      </c>
      <c r="L67" s="504">
        <f ca="1">'Battery Design'!L22/1000*'Cost Input'!$C34+'Cost Input'!$D34</f>
        <v>0.28321888056495126</v>
      </c>
    </row>
    <row r="68" spans="1:12" x14ac:dyDescent="0.2">
      <c r="A68" s="25" t="s">
        <v>118</v>
      </c>
      <c r="B68" s="25"/>
      <c r="C68" s="25"/>
      <c r="D68" s="401"/>
      <c r="E68" s="284"/>
      <c r="F68" s="504">
        <f ca="1">'Battery Design'!F23/1000*'Cost Input'!$C35+'Cost Input'!$D35</f>
        <v>0.32827508812781303</v>
      </c>
      <c r="G68" s="504">
        <f ca="1">'Battery Design'!G23/1000*'Cost Input'!$C35+'Cost Input'!$D35</f>
        <v>0.34644606148578361</v>
      </c>
      <c r="H68" s="504">
        <f ca="1">'Battery Design'!H23/1000*'Cost Input'!$C35+'Cost Input'!$D35</f>
        <v>0.36310356136904498</v>
      </c>
      <c r="I68" s="504">
        <f ca="1">'Battery Design'!I23/1000*'Cost Input'!$C35+'Cost Input'!$D35</f>
        <v>0.37778078484111499</v>
      </c>
      <c r="J68" s="504">
        <f ca="1">'Battery Design'!J23/1000*'Cost Input'!$C35+'Cost Input'!$D35</f>
        <v>0.39105150432297131</v>
      </c>
      <c r="K68" s="504">
        <f ca="1">'Battery Design'!K23/1000*'Cost Input'!$C35+'Cost Input'!$D35</f>
        <v>0.40325656333269477</v>
      </c>
      <c r="L68" s="504">
        <f ca="1">'Battery Design'!L23/1000*'Cost Input'!$C35+'Cost Input'!$D35</f>
        <v>0.41461800813298066</v>
      </c>
    </row>
    <row r="69" spans="1:12" x14ac:dyDescent="0.2">
      <c r="A69" s="25" t="s">
        <v>428</v>
      </c>
      <c r="B69" s="25"/>
      <c r="C69" s="25"/>
      <c r="D69" s="401"/>
      <c r="E69" s="284"/>
      <c r="F69" s="504">
        <f ca="1">'Battery Design'!F27/1000*'Cost Input'!$C36+'Cost Input'!$D36</f>
        <v>0.23779554226347499</v>
      </c>
      <c r="G69" s="504">
        <f ca="1">'Battery Design'!G27/1000*'Cost Input'!$C36+'Cost Input'!$D36</f>
        <v>0.25096501414970823</v>
      </c>
      <c r="H69" s="504">
        <f ca="1">'Battery Design'!H27/1000*'Cost Input'!$C36+'Cost Input'!$D36</f>
        <v>0.26495145227846906</v>
      </c>
      <c r="I69" s="504">
        <f ca="1">'Battery Design'!I27/1000*'Cost Input'!$C36+'Cost Input'!$D36</f>
        <v>0.27866943965663704</v>
      </c>
      <c r="J69" s="504">
        <f ca="1">'Battery Design'!J27/1000*'Cost Input'!$C36+'Cost Input'!$D36</f>
        <v>0.2921972843641531</v>
      </c>
      <c r="K69" s="504">
        <f ca="1">'Battery Design'!K27/1000*'Cost Input'!$C36+'Cost Input'!$D36</f>
        <v>0.30558141951754658</v>
      </c>
      <c r="L69" s="504">
        <f ca="1">'Battery Design'!L27/1000*'Cost Input'!$C36+'Cost Input'!$D36</f>
        <v>0.31885232305198663</v>
      </c>
    </row>
    <row r="70" spans="1:12" ht="15" x14ac:dyDescent="0.25">
      <c r="A70" s="259" t="s">
        <v>755</v>
      </c>
      <c r="B70" s="399"/>
      <c r="C70" s="399"/>
      <c r="D70" s="503"/>
      <c r="E70" s="284"/>
      <c r="F70" s="505"/>
      <c r="G70" s="505"/>
      <c r="H70" s="505"/>
      <c r="I70" s="505"/>
      <c r="J70" s="505"/>
      <c r="K70" s="505"/>
      <c r="L70" s="505"/>
    </row>
    <row r="71" spans="1:12" x14ac:dyDescent="0.2">
      <c r="A71" s="400" t="s">
        <v>119</v>
      </c>
      <c r="B71" s="400"/>
      <c r="C71" s="400"/>
      <c r="D71" s="503"/>
      <c r="E71" s="284"/>
      <c r="F71" s="505"/>
      <c r="G71" s="505"/>
      <c r="H71" s="505"/>
      <c r="I71" s="505"/>
      <c r="J71" s="505"/>
      <c r="K71" s="505"/>
      <c r="L71" s="505"/>
    </row>
    <row r="72" spans="1:12" x14ac:dyDescent="0.2">
      <c r="A72" s="400" t="s">
        <v>45</v>
      </c>
      <c r="B72" s="400"/>
      <c r="C72" s="400"/>
      <c r="D72" s="503"/>
      <c r="E72" s="284"/>
      <c r="F72" s="506">
        <f t="shared" ref="F72:J74" ca="1" si="35">F54*F17/1000</f>
        <v>1.2583885317561265</v>
      </c>
      <c r="G72" s="506">
        <f t="shared" ca="1" si="35"/>
        <v>1.8149541572545447</v>
      </c>
      <c r="H72" s="506">
        <f t="shared" ca="1" si="35"/>
        <v>2.3514809980571263</v>
      </c>
      <c r="I72" s="506">
        <f t="shared" ca="1" si="35"/>
        <v>2.8746898252700301</v>
      </c>
      <c r="J72" s="506">
        <f t="shared" ca="1" si="35"/>
        <v>3.3875390368899585</v>
      </c>
      <c r="K72" s="506">
        <f t="shared" ref="K72:L72" ca="1" si="36">K54*K17/1000</f>
        <v>3.8919421910752963</v>
      </c>
      <c r="L72" s="506">
        <f t="shared" ca="1" si="36"/>
        <v>4.3892357884786763</v>
      </c>
    </row>
    <row r="73" spans="1:12" x14ac:dyDescent="0.2">
      <c r="A73" s="400" t="s">
        <v>272</v>
      </c>
      <c r="B73" s="400"/>
      <c r="C73" s="400"/>
      <c r="D73" s="503"/>
      <c r="E73" s="284"/>
      <c r="F73" s="506">
        <f t="shared" ca="1" si="35"/>
        <v>5.5493988031930272E-2</v>
      </c>
      <c r="G73" s="506">
        <f t="shared" ca="1" si="35"/>
        <v>8.3362200004797049E-2</v>
      </c>
      <c r="H73" s="506">
        <f t="shared" ca="1" si="35"/>
        <v>0.11115840176085967</v>
      </c>
      <c r="I73" s="506">
        <f t="shared" ca="1" si="35"/>
        <v>0.13895884732884084</v>
      </c>
      <c r="J73" s="506">
        <f t="shared" ca="1" si="35"/>
        <v>0.16676349919672781</v>
      </c>
      <c r="K73" s="506">
        <f t="shared" ref="K73:L73" ca="1" si="37">K55*K18/1000</f>
        <v>0.1945723300252318</v>
      </c>
      <c r="L73" s="506">
        <f t="shared" ca="1" si="37"/>
        <v>0.22238531921232352</v>
      </c>
    </row>
    <row r="74" spans="1:12" x14ac:dyDescent="0.2">
      <c r="A74" s="400" t="s">
        <v>51</v>
      </c>
      <c r="B74" s="400"/>
      <c r="C74" s="400"/>
      <c r="D74" s="503"/>
      <c r="E74" s="284"/>
      <c r="F74" s="506">
        <f t="shared" ca="1" si="35"/>
        <v>6.8007338274424345E-2</v>
      </c>
      <c r="G74" s="506">
        <f t="shared" ca="1" si="35"/>
        <v>0.10215955882940812</v>
      </c>
      <c r="H74" s="506">
        <f t="shared" ca="1" si="35"/>
        <v>0.13622353156968098</v>
      </c>
      <c r="I74" s="506">
        <f t="shared" ca="1" si="35"/>
        <v>0.17029270505985397</v>
      </c>
      <c r="J74" s="506">
        <f t="shared" ca="1" si="35"/>
        <v>0.20436703332932335</v>
      </c>
      <c r="K74" s="506">
        <f t="shared" ref="K74:L74" ca="1" si="38">K56*K19/1000</f>
        <v>0.23844648287405859</v>
      </c>
      <c r="L74" s="506">
        <f t="shared" ca="1" si="38"/>
        <v>0.27253102844647487</v>
      </c>
    </row>
    <row r="75" spans="1:12" x14ac:dyDescent="0.2">
      <c r="A75" s="400" t="s">
        <v>53</v>
      </c>
      <c r="B75" s="400"/>
      <c r="C75" s="400"/>
      <c r="D75" s="503"/>
      <c r="E75" s="284"/>
      <c r="F75" s="506">
        <f ca="1">F57*F20/1000*(1-'Cost Input'!$E13/100)</f>
        <v>2.6114817897378967E-3</v>
      </c>
      <c r="G75" s="506">
        <f ca="1">G57*G20/1000*(1-'Cost Input'!$E13/100)</f>
        <v>3.9229270590492764E-3</v>
      </c>
      <c r="H75" s="506">
        <f ca="1">H57*H20/1000*(1-'Cost Input'!$E13/100)</f>
        <v>5.2309836122757542E-3</v>
      </c>
      <c r="I75" s="506">
        <f ca="1">I57*I20/1000*(1-'Cost Input'!$E13/100)</f>
        <v>6.5392398742983998E-3</v>
      </c>
      <c r="J75" s="506">
        <f ca="1">J57*J20/1000*(1-'Cost Input'!$E13/100)</f>
        <v>7.8476940798460244E-3</v>
      </c>
      <c r="K75" s="506">
        <f ca="1">K57*K20/1000*(1-'Cost Input'!$E13/100)</f>
        <v>9.1563449423638591E-3</v>
      </c>
      <c r="L75" s="506">
        <f ca="1">L57*L20/1000*(1-'Cost Input'!$E13/100)</f>
        <v>1.0465191492344646E-2</v>
      </c>
    </row>
    <row r="76" spans="1:12" x14ac:dyDescent="0.2">
      <c r="A76" s="400" t="s">
        <v>120</v>
      </c>
      <c r="B76" s="400"/>
      <c r="C76" s="400"/>
      <c r="D76" s="503"/>
      <c r="E76" s="284"/>
      <c r="F76" s="506"/>
      <c r="G76" s="506"/>
      <c r="H76" s="506"/>
      <c r="I76" s="506"/>
      <c r="J76" s="506"/>
      <c r="K76" s="506"/>
      <c r="L76" s="506"/>
    </row>
    <row r="77" spans="1:12" x14ac:dyDescent="0.2">
      <c r="A77" s="400" t="s">
        <v>45</v>
      </c>
      <c r="B77" s="400"/>
      <c r="C77" s="400"/>
      <c r="D77" s="503"/>
      <c r="E77" s="284"/>
      <c r="F77" s="506">
        <f t="shared" ref="F77:J79" ca="1" si="39">F59*F23/1000</f>
        <v>0.70356784644863113</v>
      </c>
      <c r="G77" s="506">
        <f t="shared" ca="1" si="39"/>
        <v>1.0086116829256244</v>
      </c>
      <c r="H77" s="506">
        <f t="shared" ca="1" si="39"/>
        <v>1.3014258138725989</v>
      </c>
      <c r="I77" s="506">
        <f t="shared" ca="1" si="39"/>
        <v>1.5865398865242488</v>
      </c>
      <c r="J77" s="506">
        <f t="shared" ca="1" si="39"/>
        <v>1.8657081824968769</v>
      </c>
      <c r="K77" s="506">
        <f t="shared" ref="K77:L77" ca="1" si="40">K59*K23/1000</f>
        <v>2.1400549822726731</v>
      </c>
      <c r="L77" s="506">
        <f t="shared" ca="1" si="40"/>
        <v>2.4103600540983141</v>
      </c>
    </row>
    <row r="78" spans="1:12" x14ac:dyDescent="0.2">
      <c r="A78" s="400" t="s">
        <v>49</v>
      </c>
      <c r="B78" s="400"/>
      <c r="C78" s="400"/>
      <c r="D78" s="503"/>
      <c r="E78" s="284"/>
      <c r="F78" s="506">
        <f t="shared" ca="1" si="39"/>
        <v>0</v>
      </c>
      <c r="G78" s="506">
        <f t="shared" ca="1" si="39"/>
        <v>0</v>
      </c>
      <c r="H78" s="506">
        <f t="shared" ca="1" si="39"/>
        <v>0</v>
      </c>
      <c r="I78" s="506">
        <f t="shared" ca="1" si="39"/>
        <v>0</v>
      </c>
      <c r="J78" s="506">
        <f t="shared" ca="1" si="39"/>
        <v>0</v>
      </c>
      <c r="K78" s="506">
        <f t="shared" ref="K78:L78" ca="1" si="41">K60*K24/1000</f>
        <v>0</v>
      </c>
      <c r="L78" s="506">
        <f t="shared" ca="1" si="41"/>
        <v>0</v>
      </c>
    </row>
    <row r="79" spans="1:12" x14ac:dyDescent="0.2">
      <c r="A79" s="400" t="s">
        <v>308</v>
      </c>
      <c r="B79" s="400"/>
      <c r="C79" s="400"/>
      <c r="D79" s="503"/>
      <c r="E79" s="284"/>
      <c r="F79" s="506">
        <f t="shared" ca="1" si="39"/>
        <v>2.2127140054404994E-2</v>
      </c>
      <c r="G79" s="506">
        <f t="shared" ca="1" si="39"/>
        <v>3.3015894977696622E-2</v>
      </c>
      <c r="H79" s="506">
        <f t="shared" ca="1" si="39"/>
        <v>4.3824602755483784E-2</v>
      </c>
      <c r="I79" s="506">
        <f t="shared" ca="1" si="39"/>
        <v>5.4614584084525616E-2</v>
      </c>
      <c r="J79" s="506">
        <f t="shared" ca="1" si="39"/>
        <v>6.5391720692450098E-2</v>
      </c>
      <c r="K79" s="506">
        <f t="shared" ref="K79:L79" ca="1" si="42">K61*K25/1000</f>
        <v>7.615950549990752E-2</v>
      </c>
      <c r="L79" s="506">
        <f t="shared" ca="1" si="42"/>
        <v>8.6920210827267627E-2</v>
      </c>
    </row>
    <row r="80" spans="1:12" x14ac:dyDescent="0.2">
      <c r="A80" s="400" t="s">
        <v>296</v>
      </c>
      <c r="B80" s="400"/>
      <c r="C80" s="400"/>
      <c r="D80" s="503"/>
      <c r="E80" s="284"/>
      <c r="F80" s="506">
        <f t="shared" ref="F80:J83" ca="1" si="43">F62*F28</f>
        <v>0.12640111447301686</v>
      </c>
      <c r="G80" s="506">
        <f t="shared" ca="1" si="43"/>
        <v>0.15281961302087593</v>
      </c>
      <c r="H80" s="506">
        <f t="shared" ca="1" si="43"/>
        <v>0.20199664718910146</v>
      </c>
      <c r="I80" s="506">
        <f t="shared" ca="1" si="43"/>
        <v>0.25099781818069722</v>
      </c>
      <c r="J80" s="506">
        <f t="shared" ca="1" si="43"/>
        <v>0.29987611780270312</v>
      </c>
      <c r="K80" s="506">
        <f t="shared" ref="K80:L80" ca="1" si="44">K62*K28</f>
        <v>0.34866303273430732</v>
      </c>
      <c r="L80" s="506">
        <f t="shared" ca="1" si="44"/>
        <v>0.39737903132052194</v>
      </c>
    </row>
    <row r="81" spans="1:14" x14ac:dyDescent="0.2">
      <c r="A81" s="400" t="s">
        <v>297</v>
      </c>
      <c r="B81" s="400"/>
      <c r="C81" s="400"/>
      <c r="D81" s="503"/>
      <c r="E81" s="284"/>
      <c r="F81" s="506">
        <f t="shared" ca="1" si="43"/>
        <v>0.54586590752520592</v>
      </c>
      <c r="G81" s="506">
        <f t="shared" ca="1" si="43"/>
        <v>0.6597482198079172</v>
      </c>
      <c r="H81" s="506">
        <f t="shared" ca="1" si="43"/>
        <v>0.86820865616335108</v>
      </c>
      <c r="I81" s="506">
        <f t="shared" ca="1" si="43"/>
        <v>1.0755546492111956</v>
      </c>
      <c r="J81" s="506">
        <f t="shared" ca="1" si="43"/>
        <v>1.2821176131780234</v>
      </c>
      <c r="K81" s="506">
        <f t="shared" ref="K81:L81" ca="1" si="45">K63*K29</f>
        <v>1.4880944081286598</v>
      </c>
      <c r="L81" s="506">
        <f t="shared" ca="1" si="45"/>
        <v>1.6936132251037475</v>
      </c>
    </row>
    <row r="82" spans="1:14" x14ac:dyDescent="0.2">
      <c r="A82" s="400" t="s">
        <v>123</v>
      </c>
      <c r="B82" s="400"/>
      <c r="C82" s="400"/>
      <c r="D82" s="503"/>
      <c r="E82" s="284"/>
      <c r="F82" s="506">
        <f t="shared" ca="1" si="43"/>
        <v>0.94121562398955594</v>
      </c>
      <c r="G82" s="506">
        <f t="shared" ca="1" si="43"/>
        <v>1.1354434145728516</v>
      </c>
      <c r="H82" s="506">
        <f t="shared" ca="1" si="43"/>
        <v>1.4989039788298042</v>
      </c>
      <c r="I82" s="506">
        <f t="shared" ca="1" si="43"/>
        <v>1.8609082661114416</v>
      </c>
      <c r="J82" s="506">
        <f t="shared" ca="1" si="43"/>
        <v>2.2218932394949555</v>
      </c>
      <c r="K82" s="506">
        <f t="shared" ref="K82:L82" ca="1" si="46">K64*K30</f>
        <v>2.5821184747494672</v>
      </c>
      <c r="L82" s="506">
        <f t="shared" ca="1" si="46"/>
        <v>2.9417528809139077</v>
      </c>
    </row>
    <row r="83" spans="1:14" x14ac:dyDescent="0.2">
      <c r="A83" s="400" t="s">
        <v>124</v>
      </c>
      <c r="B83" s="400"/>
      <c r="C83" s="400"/>
      <c r="D83" s="503"/>
      <c r="E83" s="75"/>
      <c r="F83" s="506">
        <f t="shared" ca="1" si="43"/>
        <v>0.61026806781001397</v>
      </c>
      <c r="G83" s="506">
        <f t="shared" ca="1" si="43"/>
        <v>0.88199878260439046</v>
      </c>
      <c r="H83" s="506">
        <f t="shared" ca="1" si="43"/>
        <v>1.1728003686808541</v>
      </c>
      <c r="I83" s="506">
        <f t="shared" ca="1" si="43"/>
        <v>1.4633145128786729</v>
      </c>
      <c r="J83" s="506">
        <f t="shared" ca="1" si="43"/>
        <v>1.753636847344324</v>
      </c>
      <c r="K83" s="506">
        <f t="shared" ref="K83:L83" ca="1" si="47">K65*K31</f>
        <v>2.0438241384753004</v>
      </c>
      <c r="L83" s="506">
        <f t="shared" ca="1" si="47"/>
        <v>2.3339133173148148</v>
      </c>
    </row>
    <row r="84" spans="1:14" x14ac:dyDescent="0.2">
      <c r="A84" s="25" t="s">
        <v>125</v>
      </c>
      <c r="B84" s="25"/>
      <c r="C84" s="25"/>
      <c r="D84" s="503"/>
      <c r="E84" s="33">
        <f>'Cost Input'!E34</f>
        <v>0.8</v>
      </c>
      <c r="F84" s="506">
        <f ca="1">F67*('Cost Input'!$J21/F46)^(1-$E84)</f>
        <v>0.24194881473821378</v>
      </c>
      <c r="G84" s="506">
        <f ca="1">G67*('Cost Input'!$J21/G46)^(1-$E84)</f>
        <v>0.24528662653941286</v>
      </c>
      <c r="H84" s="506">
        <f ca="1">H67*('Cost Input'!$J21/H46)^(1-$E84)</f>
        <v>0.24834642958867728</v>
      </c>
      <c r="I84" s="506">
        <f ca="1">I67*('Cost Input'!$J21/I46)^(1-$E84)</f>
        <v>0.25104247722183404</v>
      </c>
      <c r="J84" s="506">
        <f ca="1">J67*('Cost Input'!$J21/J46)^(1-$E84)</f>
        <v>0.25348016524351136</v>
      </c>
      <c r="K84" s="506">
        <f ca="1">K67*('Cost Input'!$J21/K46)^(1-$E84)</f>
        <v>0.25572210293140724</v>
      </c>
      <c r="L84" s="506">
        <f ca="1">L67*('Cost Input'!$J21/L46)^(1-$E84)</f>
        <v>0.25780907778883455</v>
      </c>
    </row>
    <row r="85" spans="1:14" x14ac:dyDescent="0.2">
      <c r="A85" s="25" t="s">
        <v>126</v>
      </c>
      <c r="B85" s="25"/>
      <c r="C85" s="25"/>
      <c r="D85" s="503"/>
      <c r="E85" s="33">
        <f>'Cost Input'!E35</f>
        <v>0.8</v>
      </c>
      <c r="F85" s="506">
        <f ca="1">F68*('Cost Input'!$J21/F47)^(1-$E85)</f>
        <v>0.29882293709536412</v>
      </c>
      <c r="G85" s="506">
        <f ca="1">G68*('Cost Input'!$J21/G47)^(1-$E85)</f>
        <v>0.31536364891019503</v>
      </c>
      <c r="H85" s="506">
        <f ca="1">H68*('Cost Input'!$J21/H47)^(1-$E85)</f>
        <v>0.33052667290988341</v>
      </c>
      <c r="I85" s="506">
        <f ca="1">I68*('Cost Input'!$J21/I47)^(1-$E85)</f>
        <v>0.34388708673641583</v>
      </c>
      <c r="J85" s="506">
        <f ca="1">J68*('Cost Input'!$J21/J47)^(1-$E85)</f>
        <v>0.35596718515495002</v>
      </c>
      <c r="K85" s="506">
        <f ca="1">K68*('Cost Input'!$J21/K47)^(1-$E85)</f>
        <v>0.36707723191941177</v>
      </c>
      <c r="L85" s="506">
        <f ca="1">L68*('Cost Input'!$J21/L47)^(1-$E85)</f>
        <v>0.37741935176844038</v>
      </c>
    </row>
    <row r="86" spans="1:14" x14ac:dyDescent="0.2">
      <c r="A86" s="25" t="s">
        <v>427</v>
      </c>
      <c r="B86" s="25"/>
      <c r="C86" s="25"/>
      <c r="D86" s="503"/>
      <c r="E86" s="33">
        <f>'Cost Input'!E36</f>
        <v>0.8</v>
      </c>
      <c r="F86" s="506">
        <f ca="1">F69*('Cost Input'!$J21/F48)^(1-$E86)</f>
        <v>0.21646102594202896</v>
      </c>
      <c r="G86" s="506">
        <f ca="1">G69*('Cost Input'!$J21/G48)^(1-$E86)</f>
        <v>0.22844896048644625</v>
      </c>
      <c r="H86" s="506">
        <f ca="1">H69*('Cost Input'!$J21/H48)^(1-$E86)</f>
        <v>0.24118056477897679</v>
      </c>
      <c r="I86" s="506">
        <f ca="1">I69*('Cost Input'!$J21/I48)^(1-$E86)</f>
        <v>0.25366780315810489</v>
      </c>
      <c r="J86" s="506">
        <f ca="1">J69*('Cost Input'!$J21/J48)^(1-$E86)</f>
        <v>0.26598195806740466</v>
      </c>
      <c r="K86" s="506">
        <f ca="1">K69*('Cost Input'!$J21/K48)^(1-$E86)</f>
        <v>0.27816529674177026</v>
      </c>
      <c r="L86" s="506">
        <f ca="1">L69*('Cost Input'!$J21/L48)^(1-$E86)</f>
        <v>0.29024556270007718</v>
      </c>
    </row>
    <row r="87" spans="1:14" x14ac:dyDescent="0.2">
      <c r="A87" s="400" t="s">
        <v>127</v>
      </c>
      <c r="B87" s="400"/>
      <c r="C87" s="400"/>
      <c r="D87" s="233"/>
      <c r="E87" s="400"/>
      <c r="F87" s="506">
        <f t="shared" ref="F87:K87" ca="1" si="48">SUM(F72:F83)</f>
        <v>4.3339470401530482</v>
      </c>
      <c r="G87" s="506">
        <f t="shared" ca="1" si="48"/>
        <v>5.8760364510571552</v>
      </c>
      <c r="H87" s="506">
        <f t="shared" ca="1" si="48"/>
        <v>7.691253982491137</v>
      </c>
      <c r="I87" s="506">
        <f t="shared" ca="1" si="48"/>
        <v>9.4824103345238058</v>
      </c>
      <c r="J87" s="506">
        <f t="shared" ca="1" si="48"/>
        <v>11.255140984505189</v>
      </c>
      <c r="K87" s="506">
        <f t="shared" ca="1" si="48"/>
        <v>13.013031890777267</v>
      </c>
      <c r="L87" s="506">
        <f t="shared" ref="L87" ca="1" si="49">SUM(L72:L83)</f>
        <v>14.758556047208394</v>
      </c>
    </row>
    <row r="88" spans="1:14" x14ac:dyDescent="0.2">
      <c r="A88" s="25" t="s">
        <v>128</v>
      </c>
      <c r="B88" s="25"/>
      <c r="C88" s="25"/>
      <c r="D88" s="233"/>
      <c r="E88" s="400"/>
      <c r="F88" s="506">
        <f t="shared" ref="F88:K88" ca="1" si="50">SUM(F84:F87)</f>
        <v>5.0911798179286549</v>
      </c>
      <c r="G88" s="506">
        <f t="shared" ca="1" si="50"/>
        <v>6.6651356869932092</v>
      </c>
      <c r="H88" s="506">
        <f t="shared" ca="1" si="50"/>
        <v>8.5113076497686748</v>
      </c>
      <c r="I88" s="506">
        <f t="shared" ca="1" si="50"/>
        <v>10.331007701640161</v>
      </c>
      <c r="J88" s="506">
        <f t="shared" ca="1" si="50"/>
        <v>12.130570292971056</v>
      </c>
      <c r="K88" s="506">
        <f t="shared" ca="1" si="50"/>
        <v>13.913996522369857</v>
      </c>
      <c r="L88" s="506">
        <f t="shared" ref="L88" ca="1" si="51">SUM(L84:L87)</f>
        <v>15.684030039465746</v>
      </c>
    </row>
    <row r="89" spans="1:14" ht="15" x14ac:dyDescent="0.25">
      <c r="A89" s="259" t="s">
        <v>756</v>
      </c>
      <c r="B89" s="399"/>
      <c r="C89" s="399"/>
      <c r="D89" s="233"/>
      <c r="E89" s="400"/>
      <c r="F89" s="506"/>
      <c r="G89" s="506"/>
      <c r="H89" s="506"/>
      <c r="I89" s="506"/>
      <c r="J89" s="506"/>
      <c r="K89" s="506"/>
      <c r="L89" s="506"/>
    </row>
    <row r="90" spans="1:14" x14ac:dyDescent="0.2">
      <c r="A90" s="142" t="s">
        <v>445</v>
      </c>
      <c r="B90" s="25"/>
      <c r="C90" s="25"/>
      <c r="D90" s="401"/>
      <c r="E90" s="33">
        <f>'Cost Input'!E37</f>
        <v>0.8</v>
      </c>
      <c r="F90" s="506">
        <f ca="1">('Cost Input'!$J20/F49)^(1-$E90)*('Battery Design'!F133/'Battery Design'!F59*'Cost Input'!$C37/1000+'Cost Input'!$D37)</f>
        <v>0.15581844247985929</v>
      </c>
      <c r="G90" s="506">
        <f ca="1">('Cost Input'!$J20/G49)^(1-$E90)*('Battery Design'!G133/'Battery Design'!G59*'Cost Input'!$C37/1000+'Cost Input'!$D37)</f>
        <v>0.18085338079786181</v>
      </c>
      <c r="H90" s="506">
        <f ca="1">('Cost Input'!$J20/H49)^(1-$E90)*('Battery Design'!H133/'Battery Design'!H59*'Cost Input'!$C37/1000+'Cost Input'!$D37)</f>
        <v>0.20774032953709781</v>
      </c>
      <c r="I90" s="506">
        <f ca="1">('Cost Input'!$J20/I49)^(1-$E90)*('Battery Design'!I133/'Battery Design'!I59*'Cost Input'!$C37/1000+'Cost Input'!$D37)</f>
        <v>0.23431543679482011</v>
      </c>
      <c r="J90" s="506">
        <f ca="1">('Cost Input'!$J20/J49)^(1-$E90)*('Battery Design'!J133/'Battery Design'!J59*'Cost Input'!$C37/1000+'Cost Input'!$D37)</f>
        <v>0.26067014199758942</v>
      </c>
      <c r="K90" s="506">
        <f ca="1">('Cost Input'!$J20/K49)^(1-$E90)*('Battery Design'!K133/'Battery Design'!K59*'Cost Input'!$C37/1000+'Cost Input'!$D37)</f>
        <v>0.28685859717796636</v>
      </c>
      <c r="L90" s="506">
        <f ca="1">('Cost Input'!$J20/L49)^(1-$E90)*('Battery Design'!L133/'Battery Design'!L59*'Cost Input'!$C37/1000+'Cost Input'!$D37)</f>
        <v>0.31291652944356596</v>
      </c>
    </row>
    <row r="91" spans="1:14" x14ac:dyDescent="0.2">
      <c r="A91" s="142" t="s">
        <v>446</v>
      </c>
      <c r="B91" s="25"/>
      <c r="C91" s="25"/>
      <c r="D91" s="503"/>
      <c r="E91" s="400"/>
      <c r="F91" s="506">
        <f ca="1">F90*'Battery Design'!F59</f>
        <v>3.7396426195166228</v>
      </c>
      <c r="G91" s="506">
        <f ca="1">G90*'Battery Design'!G59</f>
        <v>4.3404811391486833</v>
      </c>
      <c r="H91" s="506">
        <f ca="1">H90*'Battery Design'!H59</f>
        <v>4.985767908890347</v>
      </c>
      <c r="I91" s="506">
        <f ca="1">I90*'Battery Design'!I59</f>
        <v>5.6235704830756825</v>
      </c>
      <c r="J91" s="506">
        <f ca="1">J90*'Battery Design'!J59</f>
        <v>6.2560834079421461</v>
      </c>
      <c r="K91" s="506">
        <f ca="1">K90*'Battery Design'!K59</f>
        <v>6.8846063322711926</v>
      </c>
      <c r="L91" s="506">
        <f ca="1">L90*'Battery Design'!L59</f>
        <v>7.5099967066455831</v>
      </c>
    </row>
    <row r="92" spans="1:14" x14ac:dyDescent="0.2">
      <c r="A92" s="400" t="s">
        <v>447</v>
      </c>
      <c r="B92" s="25"/>
      <c r="C92" s="25"/>
      <c r="D92" s="400"/>
      <c r="E92" s="400"/>
      <c r="F92" s="506">
        <f>IF('Battery Design'!F60=1,0,'Battery Design'!F59/'Battery Design'!F60*2*('Cost Input'!$D35+'Battery Design'!F122/1000*'Cost Input'!$C35))</f>
        <v>0</v>
      </c>
      <c r="G92" s="506">
        <f>IF('Battery Design'!G60=1,0,'Battery Design'!G59/'Battery Design'!G60*2*('Cost Input'!$D35+'Battery Design'!G122/1000*'Cost Input'!$C35))</f>
        <v>0</v>
      </c>
      <c r="H92" s="506">
        <f>IF('Battery Design'!H60=1,0,'Battery Design'!H59/'Battery Design'!H60*2*('Cost Input'!$D35+'Battery Design'!H122/1000*'Cost Input'!$C35))</f>
        <v>0</v>
      </c>
      <c r="I92" s="506">
        <f>IF('Battery Design'!I60=1,0,'Battery Design'!I59/'Battery Design'!I60*2*('Cost Input'!$D35+'Battery Design'!I122/1000*'Cost Input'!$C35))</f>
        <v>0</v>
      </c>
      <c r="J92" s="506">
        <f>IF('Battery Design'!J60=1,0,'Battery Design'!J59/'Battery Design'!J60*2*('Cost Input'!$D35+'Battery Design'!J122/1000*'Cost Input'!$C35))</f>
        <v>0</v>
      </c>
      <c r="K92" s="506">
        <f>IF('Battery Design'!K60=1,0,'Battery Design'!K59/'Battery Design'!K60*2*('Cost Input'!$D35+'Battery Design'!K122/1000*'Cost Input'!$C35))</f>
        <v>0</v>
      </c>
      <c r="L92" s="506">
        <f>IF('Battery Design'!L60=1,0,'Battery Design'!L59/'Battery Design'!L60*2*('Cost Input'!$D35+'Battery Design'!L122/1000*'Cost Input'!$C35))</f>
        <v>0</v>
      </c>
    </row>
    <row r="93" spans="1:14" x14ac:dyDescent="0.2">
      <c r="A93" s="400" t="s">
        <v>55</v>
      </c>
      <c r="B93" s="400"/>
      <c r="C93" s="400"/>
      <c r="D93" s="400"/>
      <c r="E93" s="400"/>
      <c r="F93" s="506">
        <f ca="1">'Battery Design'!F59/'Battery Design'!F60*('Cost Input'!$E$41+'Cost Input'!$E$42*'Battery Design'!F78)</f>
        <v>62.544729050839962</v>
      </c>
      <c r="G93" s="506">
        <f ca="1">'Battery Design'!G59/'Battery Design'!G60*('Cost Input'!$E$41+'Cost Input'!$E$42*'Battery Design'!G78)</f>
        <v>63.822652139761146</v>
      </c>
      <c r="H93" s="506">
        <f ca="1">'Battery Design'!H59/'Battery Design'!H60*('Cost Input'!$E$41+'Cost Input'!$E$42*'Battery Design'!H78)</f>
        <v>65.097273132416461</v>
      </c>
      <c r="I93" s="506">
        <f ca="1">'Battery Design'!I59/'Battery Design'!I60*('Cost Input'!$E$41+'Cost Input'!$E$42*'Battery Design'!I78)</f>
        <v>66.372088729061488</v>
      </c>
      <c r="J93" s="506">
        <f ca="1">'Battery Design'!J59/'Battery Design'!J60*('Cost Input'!$E$41+'Cost Input'!$E$42*'Battery Design'!J78)</f>
        <v>67.647097209547553</v>
      </c>
      <c r="K93" s="506">
        <f ca="1">'Battery Design'!K59/'Battery Design'!K60*('Cost Input'!$E$41+'Cost Input'!$E$42*'Battery Design'!K78)</f>
        <v>68.922297320205857</v>
      </c>
      <c r="L93" s="506">
        <f ca="1">'Battery Design'!L59/'Battery Design'!L60*('Cost Input'!$E$41+'Cost Input'!$E$42*'Battery Design'!L78)</f>
        <v>70.197688116310943</v>
      </c>
    </row>
    <row r="94" spans="1:14" x14ac:dyDescent="0.2">
      <c r="A94" s="400" t="s">
        <v>348</v>
      </c>
      <c r="B94" s="400"/>
      <c r="C94" s="400"/>
      <c r="D94" s="400"/>
      <c r="E94" s="400"/>
      <c r="F94" s="506">
        <f ca="1">'Cost Input'!$E$44*'Battery Design'!F126/1000+'Cost Input'!$E$45</f>
        <v>0.88610597188549722</v>
      </c>
      <c r="G94" s="506">
        <f ca="1">'Cost Input'!$E$44*'Battery Design'!G126/1000+'Cost Input'!$E$45</f>
        <v>0.87907834363411397</v>
      </c>
      <c r="H94" s="506">
        <f ca="1">'Cost Input'!$E$44*'Battery Design'!H126/1000+'Cost Input'!$E$45</f>
        <v>0.87284769435425602</v>
      </c>
      <c r="I94" s="506">
        <f ca="1">'Cost Input'!$E$44*'Battery Design'!I126/1000+'Cost Input'!$E$45</f>
        <v>0.86967368546051604</v>
      </c>
      <c r="J94" s="506">
        <f ca="1">'Cost Input'!$E$44*'Battery Design'!J126/1000+'Cost Input'!$E$45</f>
        <v>0.86773919725862947</v>
      </c>
      <c r="K94" s="506">
        <f ca="1">'Cost Input'!$E$44*'Battery Design'!K126/1000+'Cost Input'!$E$45</f>
        <v>0.86643400899432177</v>
      </c>
      <c r="L94" s="506">
        <f ca="1">'Cost Input'!$E$44*'Battery Design'!L126/1000+'Cost Input'!$E$45</f>
        <v>0.86549304881409561</v>
      </c>
    </row>
    <row r="95" spans="1:14" x14ac:dyDescent="0.2">
      <c r="A95" s="400" t="s">
        <v>842</v>
      </c>
      <c r="B95" s="400"/>
      <c r="C95" s="400"/>
      <c r="D95" s="400"/>
      <c r="E95" s="400"/>
      <c r="F95" s="506">
        <f>'Cost Input'!$E$46</f>
        <v>1.5</v>
      </c>
      <c r="G95" s="506">
        <f>'Cost Input'!$E$46</f>
        <v>1.5</v>
      </c>
      <c r="H95" s="506">
        <f>'Cost Input'!$E$46</f>
        <v>1.5</v>
      </c>
      <c r="I95" s="506">
        <f>'Cost Input'!$E$46</f>
        <v>1.5</v>
      </c>
      <c r="J95" s="506">
        <f>'Cost Input'!$E$46</f>
        <v>1.5</v>
      </c>
      <c r="K95" s="506">
        <f>'Cost Input'!$E$46</f>
        <v>1.5</v>
      </c>
      <c r="L95" s="506">
        <f>'Cost Input'!$E$46</f>
        <v>1.5</v>
      </c>
      <c r="N95" s="263"/>
    </row>
    <row r="96" spans="1:14" x14ac:dyDescent="0.2">
      <c r="A96" s="400" t="s">
        <v>841</v>
      </c>
      <c r="B96" s="400"/>
      <c r="C96" s="400"/>
      <c r="D96" s="400"/>
      <c r="E96" s="400"/>
      <c r="F96" s="507">
        <f ca="1">'Cost Input'!$E$48*'Battery Design'!F135/1000+'Cost Input'!$E$49</f>
        <v>1.6382691072105655</v>
      </c>
      <c r="G96" s="507">
        <f ca="1">'Cost Input'!$E$48*'Battery Design'!G135/1000+'Cost Input'!$E$49</f>
        <v>1.7782655782201566</v>
      </c>
      <c r="H96" s="507">
        <f ca="1">'Cost Input'!$E$48*'Battery Design'!H135/1000+'Cost Input'!$E$49</f>
        <v>1.9130425500626558</v>
      </c>
      <c r="I96" s="507">
        <f ca="1">'Cost Input'!$E$48*'Battery Design'!I135/1000+'Cost Input'!$E$49</f>
        <v>2.0375010725026108</v>
      </c>
      <c r="J96" s="507">
        <f ca="1">'Cost Input'!$E$48*'Battery Design'!J135/1000+'Cost Input'!$E$49</f>
        <v>2.1546328326374353</v>
      </c>
      <c r="K96" s="507">
        <f ca="1">'Cost Input'!$E$48*'Battery Design'!K135/1000+'Cost Input'!$E$49</f>
        <v>2.266215059126925</v>
      </c>
      <c r="L96" s="507">
        <f ca="1">'Cost Input'!$E$48*'Battery Design'!L135/1000+'Cost Input'!$E$49</f>
        <v>2.3734055567224157</v>
      </c>
    </row>
    <row r="97" spans="1:14" x14ac:dyDescent="0.2">
      <c r="A97" s="400" t="s">
        <v>448</v>
      </c>
      <c r="B97" s="400"/>
      <c r="C97" s="400"/>
      <c r="D97" s="400"/>
      <c r="E97" s="400"/>
      <c r="F97" s="506">
        <f t="shared" ref="F97:K97" ca="1" si="52">SUM(F91:F96)</f>
        <v>70.308746749452652</v>
      </c>
      <c r="G97" s="506">
        <f t="shared" ca="1" si="52"/>
        <v>72.320477200764103</v>
      </c>
      <c r="H97" s="506">
        <f t="shared" ca="1" si="52"/>
        <v>74.368931285723718</v>
      </c>
      <c r="I97" s="506">
        <f t="shared" ca="1" si="52"/>
        <v>76.402833970100289</v>
      </c>
      <c r="J97" s="506">
        <f t="shared" ca="1" si="52"/>
        <v>78.425552647385757</v>
      </c>
      <c r="K97" s="506">
        <f t="shared" ca="1" si="52"/>
        <v>80.439552720598286</v>
      </c>
      <c r="L97" s="506">
        <f t="shared" ref="L97" ca="1" si="53">SUM(L91:L96)</f>
        <v>82.446583428493042</v>
      </c>
    </row>
    <row r="98" spans="1:14" ht="15" x14ac:dyDescent="0.25">
      <c r="A98" s="259" t="s">
        <v>449</v>
      </c>
      <c r="B98" s="400"/>
      <c r="C98" s="400"/>
      <c r="D98" s="400"/>
      <c r="E98" s="400"/>
      <c r="F98" s="506"/>
      <c r="G98" s="506"/>
      <c r="H98" s="506"/>
      <c r="I98" s="506"/>
      <c r="J98" s="506"/>
      <c r="K98" s="506"/>
      <c r="L98" s="506"/>
    </row>
    <row r="99" spans="1:14" x14ac:dyDescent="0.2">
      <c r="A99" s="400" t="s">
        <v>470</v>
      </c>
      <c r="B99" s="400"/>
      <c r="C99" s="400"/>
      <c r="D99" s="400"/>
      <c r="E99" s="400"/>
      <c r="F99" s="506">
        <f ca="1">('Battery Design'!F63+1)*('Cost Input'!$E52*'Battery Design'!F162/1000*'Cost Input'!$E52+'Cost Input'!$E53)</f>
        <v>9.253311621421787</v>
      </c>
      <c r="G99" s="506">
        <f ca="1">('Battery Design'!G63+1)*('Cost Input'!$E52*'Battery Design'!G162/1000*'Cost Input'!$E52+'Cost Input'!$E53)</f>
        <v>9.0336982385660605</v>
      </c>
      <c r="H99" s="506">
        <f ca="1">('Battery Design'!H63+1)*('Cost Input'!$E52*'Battery Design'!H162/1000*'Cost Input'!$E52+'Cost Input'!$E53)</f>
        <v>8.8389904485704989</v>
      </c>
      <c r="I99" s="506">
        <f ca="1">('Battery Design'!I63+1)*('Cost Input'!$E52*'Battery Design'!I162/1000*'Cost Input'!$E52+'Cost Input'!$E53)</f>
        <v>8.739802670641124</v>
      </c>
      <c r="J99" s="506">
        <f ca="1">('Battery Design'!J63+1)*('Cost Input'!$E52*'Battery Design'!J162/1000*'Cost Input'!$E52+'Cost Input'!$E53)</f>
        <v>8.6793499143321728</v>
      </c>
      <c r="K99" s="506">
        <f ca="1">('Battery Design'!K63+1)*('Cost Input'!$E52*'Battery Design'!K162/1000*'Cost Input'!$E52+'Cost Input'!$E53)</f>
        <v>8.6385627810725545</v>
      </c>
      <c r="L99" s="506">
        <f ca="1">('Battery Design'!L63+1)*('Cost Input'!$E52*'Battery Design'!L162/1000*'Cost Input'!$E52+'Cost Input'!$E53)</f>
        <v>8.6091577754404867</v>
      </c>
    </row>
    <row r="100" spans="1:14" x14ac:dyDescent="0.2">
      <c r="A100" s="400" t="s">
        <v>480</v>
      </c>
      <c r="B100" s="400"/>
      <c r="C100" s="400"/>
      <c r="D100" s="400"/>
      <c r="E100" s="400"/>
      <c r="F100" s="506">
        <f ca="1">'Battery Design'!F163/1000*'Cost Input'!$E54</f>
        <v>0.92692539927645801</v>
      </c>
      <c r="G100" s="506">
        <f ca="1">'Battery Design'!G163/1000*'Cost Input'!$E54</f>
        <v>1.2408630758956734</v>
      </c>
      <c r="H100" s="506">
        <f ca="1">'Battery Design'!H163/1000*'Cost Input'!$E54</f>
        <v>1.5748903172295354</v>
      </c>
      <c r="I100" s="506">
        <f ca="1">'Battery Design'!I163/1000*'Cost Input'!$E54</f>
        <v>1.9019457169796292</v>
      </c>
      <c r="J100" s="506">
        <f ca="1">'Battery Design'!J163/1000*'Cost Input'!$E54</f>
        <v>2.2010223089626093</v>
      </c>
      <c r="K100" s="506">
        <f ca="1">'Battery Design'!K163/1000*'Cost Input'!$E54</f>
        <v>2.4990879415032685</v>
      </c>
      <c r="L100" s="506">
        <f ca="1">'Battery Design'!L163/1000*'Cost Input'!$E54</f>
        <v>2.7963719431287353</v>
      </c>
    </row>
    <row r="101" spans="1:14" x14ac:dyDescent="0.2">
      <c r="A101" s="400" t="s">
        <v>479</v>
      </c>
      <c r="B101" s="400"/>
      <c r="C101" s="400"/>
      <c r="D101" s="400"/>
      <c r="E101" s="400"/>
      <c r="F101" s="506">
        <f ca="1">'Cost Input'!$E56+'Cost Input'!$E57*ROUNDUP('Battery Design'!F149,-2)</f>
        <v>21</v>
      </c>
      <c r="G101" s="506">
        <f ca="1">'Cost Input'!$E56+'Cost Input'!$E57*ROUNDUP('Battery Design'!G149,-2)</f>
        <v>19</v>
      </c>
      <c r="H101" s="506">
        <f ca="1">'Cost Input'!$E56+'Cost Input'!$E57*ROUNDUP('Battery Design'!H149,-2)</f>
        <v>19</v>
      </c>
      <c r="I101" s="506">
        <f ca="1">'Cost Input'!$E56+'Cost Input'!$E57*ROUNDUP('Battery Design'!I149,-2)</f>
        <v>19</v>
      </c>
      <c r="J101" s="506">
        <f ca="1">'Cost Input'!$E56+'Cost Input'!$E57*ROUNDUP('Battery Design'!J149,-2)</f>
        <v>19</v>
      </c>
      <c r="K101" s="506">
        <f ca="1">'Cost Input'!$E56+'Cost Input'!$E57*ROUNDUP('Battery Design'!K149,-2)</f>
        <v>19</v>
      </c>
      <c r="L101" s="506">
        <f ca="1">'Cost Input'!$E56+'Cost Input'!$E57*ROUNDUP('Battery Design'!L149,-2)</f>
        <v>19</v>
      </c>
    </row>
    <row r="102" spans="1:14" x14ac:dyDescent="0.2">
      <c r="A102" s="400" t="s">
        <v>642</v>
      </c>
      <c r="B102" s="400"/>
      <c r="C102" s="400"/>
      <c r="D102" s="400"/>
      <c r="E102" s="400"/>
      <c r="F102" s="506">
        <f>IF(AND('Battery Design'!F62=1,'Battery Design'!F61&gt;1),'Cost Input'!$E59,0)</f>
        <v>20</v>
      </c>
      <c r="G102" s="506">
        <f>IF(AND('Battery Design'!G62=1,'Battery Design'!G61&gt;1),'Cost Input'!$E59,0)</f>
        <v>20</v>
      </c>
      <c r="H102" s="506">
        <f>IF(AND('Battery Design'!H62=1,'Battery Design'!H61&gt;1),'Cost Input'!$E59,0)</f>
        <v>20</v>
      </c>
      <c r="I102" s="506">
        <f>IF(AND('Battery Design'!I62=1,'Battery Design'!I61&gt;1),'Cost Input'!$E59,0)</f>
        <v>20</v>
      </c>
      <c r="J102" s="506">
        <f>IF(AND('Battery Design'!J62=1,'Battery Design'!J61&gt;1),'Cost Input'!$E59,0)</f>
        <v>20</v>
      </c>
      <c r="K102" s="506">
        <f>IF(AND('Battery Design'!K62=1,'Battery Design'!K61&gt;1),'Cost Input'!$E59,0)</f>
        <v>20</v>
      </c>
      <c r="L102" s="506">
        <f>IF(AND('Battery Design'!L62=1,'Battery Design'!L61&gt;1),'Cost Input'!$E59,0)</f>
        <v>20</v>
      </c>
    </row>
    <row r="103" spans="1:14" x14ac:dyDescent="0.2">
      <c r="A103" s="400" t="s">
        <v>644</v>
      </c>
      <c r="B103" s="400"/>
      <c r="C103" s="400"/>
      <c r="D103" s="400"/>
      <c r="E103" s="400"/>
      <c r="F103" s="506">
        <f>IF('Battery Design'!F64&gt;1,'Cost Input'!$E59*'Battery Design'!F64,0)</f>
        <v>0</v>
      </c>
      <c r="G103" s="506">
        <f>IF('Battery Design'!G64&gt;1,'Cost Input'!$E59*'Battery Design'!G64,0)</f>
        <v>0</v>
      </c>
      <c r="H103" s="506">
        <f>IF('Battery Design'!H64&gt;1,'Cost Input'!$E59*'Battery Design'!H64,0)</f>
        <v>0</v>
      </c>
      <c r="I103" s="506">
        <f>IF('Battery Design'!I64&gt;1,'Cost Input'!$E59*'Battery Design'!I64,0)</f>
        <v>0</v>
      </c>
      <c r="J103" s="506">
        <f>IF('Battery Design'!J64&gt;1,'Cost Input'!$E59*'Battery Design'!J64,0)</f>
        <v>0</v>
      </c>
      <c r="K103" s="506">
        <f>IF('Battery Design'!K64&gt;1,'Cost Input'!$E59*'Battery Design'!K64,0)</f>
        <v>0</v>
      </c>
      <c r="L103" s="506">
        <f>IF('Battery Design'!L64&gt;1,'Cost Input'!$E59*'Battery Design'!L64,0)</f>
        <v>0</v>
      </c>
    </row>
    <row r="104" spans="1:14" x14ac:dyDescent="0.2">
      <c r="A104" s="400" t="s">
        <v>643</v>
      </c>
      <c r="B104" s="400"/>
      <c r="C104" s="400"/>
      <c r="D104" s="400"/>
      <c r="E104" s="400"/>
      <c r="F104" s="506">
        <f>IF('Battery Design'!F65&gt;1,'Cost Input'!$E59*'Battery Design'!F65,0)</f>
        <v>0</v>
      </c>
      <c r="G104" s="506">
        <f>IF('Battery Design'!G65&gt;1,'Cost Input'!$E59*'Battery Design'!G65,0)</f>
        <v>0</v>
      </c>
      <c r="H104" s="506">
        <f>IF('Battery Design'!H65&gt;1,'Cost Input'!$E59*'Battery Design'!H65,0)</f>
        <v>0</v>
      </c>
      <c r="I104" s="506">
        <f>IF('Battery Design'!I65&gt;1,'Cost Input'!$E59*'Battery Design'!I65,0)</f>
        <v>0</v>
      </c>
      <c r="J104" s="506">
        <f>IF('Battery Design'!J65&gt;1,'Cost Input'!$E59*'Battery Design'!J65,0)</f>
        <v>0</v>
      </c>
      <c r="K104" s="506">
        <f>IF('Battery Design'!K65&gt;1,'Cost Input'!$E59*'Battery Design'!K65,0)</f>
        <v>0</v>
      </c>
      <c r="L104" s="506">
        <f>IF('Battery Design'!L65&gt;1,'Cost Input'!$E59*'Battery Design'!L65,0)</f>
        <v>0</v>
      </c>
    </row>
    <row r="105" spans="1:14" s="400" customFormat="1" x14ac:dyDescent="0.2">
      <c r="A105" s="400" t="s">
        <v>510</v>
      </c>
      <c r="F105" s="506">
        <f>IF('Battery Design'!F53="microHEV",'Cost Input'!$H64,IF('Battery Design'!F53="HEV-HP",'Cost Input'!$I64,'Cost Input'!$J64+('Battery Design'!F65-1)*60))</f>
        <v>120</v>
      </c>
      <c r="G105" s="506">
        <f>IF('Battery Design'!G53="microHEV",'Cost Input'!$H64,IF('Battery Design'!G53="HEV-HP",'Cost Input'!$I64,'Cost Input'!$J64+('Battery Design'!G65-1)*60))</f>
        <v>120</v>
      </c>
      <c r="H105" s="506">
        <f>IF('Battery Design'!H53="microHEV",'Cost Input'!$H64,IF('Battery Design'!H53="HEV-HP",'Cost Input'!$I64,'Cost Input'!$J64+('Battery Design'!H65-1)*60))</f>
        <v>120</v>
      </c>
      <c r="I105" s="506">
        <f>IF('Battery Design'!I53="microHEV",'Cost Input'!$H64,IF('Battery Design'!I53="HEV-HP",'Cost Input'!$I64,'Cost Input'!$J64+('Battery Design'!I65-1)*60))</f>
        <v>120</v>
      </c>
      <c r="J105" s="506">
        <f>IF('Battery Design'!J53="microHEV",'Cost Input'!$H64,IF('Battery Design'!J53="HEV-HP",'Cost Input'!$I64,'Cost Input'!$J64+('Battery Design'!J65-1)*60))</f>
        <v>120</v>
      </c>
      <c r="K105" s="506">
        <f>IF('Battery Design'!K53="microHEV",'Cost Input'!$H64,IF('Battery Design'!K53="HEV-HP",'Cost Input'!$I64,'Cost Input'!$J64+('Battery Design'!K65-1)*60))</f>
        <v>120</v>
      </c>
      <c r="L105" s="506">
        <f>IF('Battery Design'!L53="microHEV",'Cost Input'!$H64,IF('Battery Design'!L53="HEV-HP",'Cost Input'!$I64,'Cost Input'!$J64+('Battery Design'!L65-1)*60))</f>
        <v>120</v>
      </c>
    </row>
    <row r="106" spans="1:14" s="400" customFormat="1" x14ac:dyDescent="0.2">
      <c r="A106" s="400" t="s">
        <v>489</v>
      </c>
      <c r="F106" s="506">
        <f>IF(Thermal!F66="CA",0,Thermal!F190/1000*IF('Battery Design'!F53="microHEV",'Cost Input'!$H66,IF('Battery Design'!F53="HEV-HP",'Cost Input'!$I66,'Cost Input'!$J66)))*'Battery Design'!F65</f>
        <v>20</v>
      </c>
      <c r="G106" s="506">
        <f>IF(Thermal!G66="CA",0,Thermal!G190/1000*IF('Battery Design'!G53="microHEV",'Cost Input'!$H66,IF('Battery Design'!G53="HEV-HP",'Cost Input'!$I66,'Cost Input'!$J66)))*'Battery Design'!G65</f>
        <v>20</v>
      </c>
      <c r="H106" s="506">
        <f>IF(Thermal!H66="CA",0,Thermal!H190/1000*IF('Battery Design'!H53="microHEV",'Cost Input'!$H66,IF('Battery Design'!H53="HEV-HP",'Cost Input'!$I66,'Cost Input'!$J66)))*'Battery Design'!H65</f>
        <v>20</v>
      </c>
      <c r="I106" s="506">
        <f>IF(Thermal!I66="CA",0,Thermal!I190/1000*IF('Battery Design'!I53="microHEV",'Cost Input'!$H66,IF('Battery Design'!I53="HEV-HP",'Cost Input'!$I66,'Cost Input'!$J66)))*'Battery Design'!I65</f>
        <v>20</v>
      </c>
      <c r="J106" s="506">
        <f>IF(Thermal!J66="CA",0,Thermal!J190/1000*IF('Battery Design'!J53="microHEV",'Cost Input'!$H66,IF('Battery Design'!J53="HEV-HP",'Cost Input'!$I66,'Cost Input'!$J66)))*'Battery Design'!J65</f>
        <v>20</v>
      </c>
      <c r="K106" s="506">
        <f>IF(Thermal!K66="CA",0,Thermal!K190/1000*IF('Battery Design'!K53="microHEV",'Cost Input'!$H66,IF('Battery Design'!K53="HEV-HP",'Cost Input'!$I66,'Cost Input'!$J66)))*'Battery Design'!K65</f>
        <v>20</v>
      </c>
      <c r="L106" s="506">
        <f>IF(Thermal!L66="CA",0,Thermal!L190/1000*IF('Battery Design'!L53="microHEV",'Cost Input'!$H66,IF('Battery Design'!L53="HEV-HP",'Cost Input'!$I66,'Cost Input'!$J66)))*'Battery Design'!L65</f>
        <v>20</v>
      </c>
    </row>
    <row r="107" spans="1:14" x14ac:dyDescent="0.2">
      <c r="A107" s="400" t="s">
        <v>451</v>
      </c>
      <c r="B107" s="400"/>
      <c r="C107" s="400"/>
      <c r="D107" s="400"/>
      <c r="E107" s="400"/>
      <c r="F107" s="506">
        <f ca="1">'Cost Input'!$E61*'Battery Design'!F172+'Cost Input'!$E62</f>
        <v>66.987743788933471</v>
      </c>
      <c r="G107" s="506">
        <f ca="1">'Cost Input'!$E61*'Battery Design'!G172+'Cost Input'!$E62</f>
        <v>72.120011226027103</v>
      </c>
      <c r="H107" s="506">
        <f ca="1">'Cost Input'!$E61*'Battery Design'!H172+'Cost Input'!$E62</f>
        <v>93.398765121181853</v>
      </c>
      <c r="I107" s="506">
        <f ca="1">'Cost Input'!$E61*'Battery Design'!I172+'Cost Input'!$E62</f>
        <v>99.605975391338802</v>
      </c>
      <c r="J107" s="506">
        <f ca="1">'Cost Input'!$E61*'Battery Design'!J172+'Cost Input'!$E62</f>
        <v>105.09550444714574</v>
      </c>
      <c r="K107" s="506">
        <f ca="1">'Cost Input'!$E61*'Battery Design'!K172+'Cost Input'!$E62</f>
        <v>131.51447633949152</v>
      </c>
      <c r="L107" s="506">
        <f ca="1">'Cost Input'!$E61*'Battery Design'!L172+'Cost Input'!$E62</f>
        <v>137.83911022850418</v>
      </c>
    </row>
    <row r="108" spans="1:14" x14ac:dyDescent="0.2">
      <c r="A108" s="400" t="s">
        <v>646</v>
      </c>
      <c r="B108" s="400"/>
      <c r="C108" s="400"/>
      <c r="D108" s="400"/>
      <c r="E108" s="400"/>
      <c r="F108" s="506">
        <f t="shared" ref="F108:K108" ca="1" si="54">SUM(F99:F107)</f>
        <v>258.16798080963173</v>
      </c>
      <c r="G108" s="506">
        <f t="shared" ca="1" si="54"/>
        <v>261.39457254048881</v>
      </c>
      <c r="H108" s="506">
        <f t="shared" ca="1" si="54"/>
        <v>282.8126458869819</v>
      </c>
      <c r="I108" s="506">
        <f t="shared" ca="1" si="54"/>
        <v>289.24772377895954</v>
      </c>
      <c r="J108" s="506">
        <f t="shared" ca="1" si="54"/>
        <v>294.97587667044053</v>
      </c>
      <c r="K108" s="506">
        <f t="shared" ca="1" si="54"/>
        <v>321.65212706206734</v>
      </c>
      <c r="L108" s="506">
        <f t="shared" ref="L108" ca="1" si="55">SUM(L99:L107)</f>
        <v>328.24463994707344</v>
      </c>
    </row>
    <row r="109" spans="1:14" x14ac:dyDescent="0.2">
      <c r="A109" s="400" t="s">
        <v>700</v>
      </c>
      <c r="B109" s="400"/>
      <c r="C109" s="400"/>
      <c r="D109" s="400"/>
      <c r="E109" s="400"/>
      <c r="F109" s="506">
        <f ca="1">F88*'Battery Design'!F67+F97*'Battery Design'!F63+F108</f>
        <v>1028.1562303285932</v>
      </c>
      <c r="G109" s="506">
        <f ca="1">G88*'Battery Design'!G67+G97*'Battery Design'!G63+G108</f>
        <v>1190.5295072948932</v>
      </c>
      <c r="H109" s="506">
        <f ca="1">H88*'Battery Design'!H67+H97*'Battery Design'!H63+H108</f>
        <v>1397.3739054076696</v>
      </c>
      <c r="I109" s="506">
        <f ca="1">I88*'Battery Design'!I67+I97*'Battery Design'!I63+I108</f>
        <v>1586.6357990168162</v>
      </c>
      <c r="J109" s="506">
        <f ca="1">J88*'Battery Design'!J67+J97*'Battery Design'!J63+J108</f>
        <v>1773.2128353852049</v>
      </c>
      <c r="K109" s="506">
        <f ca="1">K88*'Battery Design'!K67+K97*'Battery Design'!K63+K108</f>
        <v>1979.1540040919667</v>
      </c>
      <c r="L109" s="506">
        <f ca="1">L88*'Battery Design'!L67+L97*'Battery Design'!L63+L108</f>
        <v>2163.6978574497571</v>
      </c>
    </row>
    <row r="110" spans="1:14" ht="15" x14ac:dyDescent="0.25">
      <c r="A110" s="259" t="s">
        <v>810</v>
      </c>
      <c r="B110" s="400"/>
      <c r="C110" s="400"/>
      <c r="D110" s="400"/>
      <c r="E110" s="400"/>
      <c r="F110" s="506"/>
      <c r="G110" s="506"/>
      <c r="H110" s="506"/>
      <c r="I110" s="506"/>
      <c r="J110" s="506"/>
      <c r="K110" s="506"/>
      <c r="L110" s="506"/>
    </row>
    <row r="111" spans="1:14" x14ac:dyDescent="0.2">
      <c r="A111" s="400" t="s">
        <v>485</v>
      </c>
      <c r="B111" s="400"/>
      <c r="C111" s="400"/>
      <c r="D111" s="400"/>
      <c r="E111" s="400"/>
      <c r="F111" s="506">
        <f>IF('Battery Design'!F53="microHEV",'Cost Input'!$H57,IF('Battery Design'!F53="HEV-HP",'Cost Input'!$I57,'Cost Input'!$J57))</f>
        <v>100</v>
      </c>
      <c r="G111" s="506">
        <f>IF('Battery Design'!G53="microHEV",'Cost Input'!$H57,IF('Battery Design'!G53="HEV-HP",'Cost Input'!$I57,'Cost Input'!$J57))</f>
        <v>100</v>
      </c>
      <c r="H111" s="506">
        <f>IF('Battery Design'!H53="microHEV",'Cost Input'!$H57,IF('Battery Design'!H53="HEV-HP",'Cost Input'!$I57,'Cost Input'!$J57))</f>
        <v>100</v>
      </c>
      <c r="I111" s="506">
        <f>IF('Battery Design'!I53="microHEV",'Cost Input'!$H57,IF('Battery Design'!I53="HEV-HP",'Cost Input'!$I57,'Cost Input'!$J57))</f>
        <v>100</v>
      </c>
      <c r="J111" s="506">
        <f>IF('Battery Design'!J53="microHEV",'Cost Input'!$H57,IF('Battery Design'!J53="HEV-HP",'Cost Input'!$I57,'Cost Input'!$J57))</f>
        <v>100</v>
      </c>
      <c r="K111" s="506">
        <f>IF('Battery Design'!K53="microHEV",'Cost Input'!$H57,IF('Battery Design'!K53="HEV-HP",'Cost Input'!$I57,'Cost Input'!$J57))</f>
        <v>100</v>
      </c>
      <c r="L111" s="506">
        <f>IF('Battery Design'!L53="microHEV",'Cost Input'!$H57,IF('Battery Design'!L53="HEV-HP",'Cost Input'!$I57,'Cost Input'!$J57))</f>
        <v>100</v>
      </c>
      <c r="N111" s="263"/>
    </row>
    <row r="112" spans="1:14" x14ac:dyDescent="0.2">
      <c r="A112" s="400" t="s">
        <v>486</v>
      </c>
      <c r="B112" s="400"/>
      <c r="C112" s="400"/>
      <c r="D112" s="400"/>
      <c r="E112" s="400"/>
      <c r="F112" s="506">
        <f>'Battery Design'!F63*'Battery Design'!F65*IF('Battery Design'!F53="microHEV",'Cost Input'!$H58,IF('Battery Design'!F53="HEV-HP",'Cost Input'!$I58,'Cost Input'!$J58))</f>
        <v>80</v>
      </c>
      <c r="G112" s="506">
        <f>'Battery Design'!G63*'Battery Design'!G65*IF('Battery Design'!G53="microHEV",'Cost Input'!$H58,IF('Battery Design'!G53="HEV-HP",'Cost Input'!$I58,'Cost Input'!$J58))</f>
        <v>80</v>
      </c>
      <c r="H112" s="506">
        <f>'Battery Design'!H63*'Battery Design'!H65*IF('Battery Design'!H53="microHEV",'Cost Input'!$H58,IF('Battery Design'!H53="HEV-HP",'Cost Input'!$I58,'Cost Input'!$J58))</f>
        <v>80</v>
      </c>
      <c r="I112" s="506">
        <f>'Battery Design'!I63*'Battery Design'!I65*IF('Battery Design'!I53="microHEV",'Cost Input'!$H58,IF('Battery Design'!I53="HEV-HP",'Cost Input'!$I58,'Cost Input'!$J58))</f>
        <v>80</v>
      </c>
      <c r="J112" s="506">
        <f>'Battery Design'!J63*'Battery Design'!J65*IF('Battery Design'!J53="microHEV",'Cost Input'!$H58,IF('Battery Design'!J53="HEV-HP",'Cost Input'!$I58,'Cost Input'!$J58))</f>
        <v>80</v>
      </c>
      <c r="K112" s="506">
        <f>'Battery Design'!K63*'Battery Design'!K65*IF('Battery Design'!K53="microHEV",'Cost Input'!$H58,IF('Battery Design'!K53="HEV-HP",'Cost Input'!$I58,'Cost Input'!$J58))</f>
        <v>80</v>
      </c>
      <c r="L112" s="506">
        <f>'Battery Design'!L63*'Battery Design'!L65*IF('Battery Design'!L53="microHEV",'Cost Input'!$H58,IF('Battery Design'!L53="HEV-HP",'Cost Input'!$I58,'Cost Input'!$J58))</f>
        <v>80</v>
      </c>
    </row>
    <row r="113" spans="1:12" x14ac:dyDescent="0.2">
      <c r="A113" s="400" t="s">
        <v>487</v>
      </c>
      <c r="B113" s="400"/>
      <c r="C113" s="400"/>
      <c r="D113" s="400"/>
      <c r="E113" s="400"/>
      <c r="F113" s="506">
        <f>IF('Battery Design'!F53="microHEV",'Cost Input'!$H59,IF('Battery Design'!F53="HEV-HP",'Cost Input'!$I59,'Cost Input'!$J59))</f>
        <v>200</v>
      </c>
      <c r="G113" s="506">
        <f>IF('Battery Design'!G53="microHEV",'Cost Input'!$H59,IF('Battery Design'!G53="HEV-HP",'Cost Input'!$I59,'Cost Input'!$J59))</f>
        <v>200</v>
      </c>
      <c r="H113" s="506">
        <f>IF('Battery Design'!H53="microHEV",'Cost Input'!$H59,IF('Battery Design'!H53="HEV-HP",'Cost Input'!$I59,'Cost Input'!$J59))</f>
        <v>200</v>
      </c>
      <c r="I113" s="506">
        <f>IF('Battery Design'!I53="microHEV",'Cost Input'!$H59,IF('Battery Design'!I53="HEV-HP",'Cost Input'!$I59,'Cost Input'!$J59))</f>
        <v>200</v>
      </c>
      <c r="J113" s="506">
        <f>IF('Battery Design'!J53="microHEV",'Cost Input'!$H59,IF('Battery Design'!J53="HEV-HP",'Cost Input'!$I59,'Cost Input'!$J59))</f>
        <v>200</v>
      </c>
      <c r="K113" s="506">
        <f>IF('Battery Design'!K53="microHEV",'Cost Input'!$H59,IF('Battery Design'!K53="HEV-HP",'Cost Input'!$I59,'Cost Input'!$J59))</f>
        <v>200</v>
      </c>
      <c r="L113" s="506">
        <f>IF('Battery Design'!L53="microHEV",'Cost Input'!$H59,IF('Battery Design'!L53="HEV-HP",'Cost Input'!$I59,'Cost Input'!$J59))</f>
        <v>200</v>
      </c>
    </row>
    <row r="114" spans="1:12" x14ac:dyDescent="0.2">
      <c r="A114" s="400" t="s">
        <v>483</v>
      </c>
      <c r="B114" s="400"/>
      <c r="C114" s="400"/>
      <c r="D114" s="400"/>
      <c r="E114" s="400"/>
      <c r="F114" s="487">
        <f>IF('Battery Design'!F53="microHEV",'Cost Input'!$H60,IF('Battery Design'!F53="HEV-HP",'Cost Input'!$I60,'Cost Input'!$J60)*'Battery Design'!F65)</f>
        <v>15</v>
      </c>
      <c r="G114" s="487">
        <f>IF('Battery Design'!G53="microHEV",'Cost Input'!$H60,IF('Battery Design'!G53="HEV-HP",'Cost Input'!$I60,'Cost Input'!$J60)*'Battery Design'!G65)</f>
        <v>15</v>
      </c>
      <c r="H114" s="487">
        <f>IF('Battery Design'!H53="microHEV",'Cost Input'!$H60,IF('Battery Design'!H53="HEV-HP",'Cost Input'!$I60,'Cost Input'!$J60)*'Battery Design'!H65)</f>
        <v>15</v>
      </c>
      <c r="I114" s="487">
        <f>IF('Battery Design'!I53="microHEV",'Cost Input'!$H60,IF('Battery Design'!I53="HEV-HP",'Cost Input'!$I60,'Cost Input'!$J60)*'Battery Design'!I65)</f>
        <v>15</v>
      </c>
      <c r="J114" s="487">
        <f>IF('Battery Design'!J53="microHEV",'Cost Input'!$H60,IF('Battery Design'!J53="HEV-HP",'Cost Input'!$I60,'Cost Input'!$J60)*'Battery Design'!J65)</f>
        <v>15</v>
      </c>
      <c r="K114" s="487">
        <f>IF('Battery Design'!K53="microHEV",'Cost Input'!$H60,IF('Battery Design'!K53="HEV-HP",'Cost Input'!$I60,'Cost Input'!$J60)*'Battery Design'!K65)</f>
        <v>15</v>
      </c>
      <c r="L114" s="487">
        <f>IF('Battery Design'!L53="microHEV",'Cost Input'!$H60,IF('Battery Design'!L53="HEV-HP",'Cost Input'!$I60,'Cost Input'!$J60)*'Battery Design'!L65)</f>
        <v>15</v>
      </c>
    </row>
    <row r="115" spans="1:12" x14ac:dyDescent="0.2">
      <c r="A115" s="400" t="s">
        <v>649</v>
      </c>
      <c r="B115" s="400"/>
      <c r="C115" s="400"/>
      <c r="D115" s="400"/>
      <c r="E115" s="400"/>
      <c r="F115" s="507">
        <f>'Cost Input'!$J61*('Battery Design'!F64*'Battery Design'!F65-1)</f>
        <v>0</v>
      </c>
      <c r="G115" s="507">
        <f>'Cost Input'!$J61*('Battery Design'!G64*'Battery Design'!G65-1)</f>
        <v>0</v>
      </c>
      <c r="H115" s="507">
        <f>'Cost Input'!$J61*('Battery Design'!H64*'Battery Design'!H65-1)</f>
        <v>0</v>
      </c>
      <c r="I115" s="507">
        <f>'Cost Input'!$J61*('Battery Design'!I64*'Battery Design'!I65-1)</f>
        <v>0</v>
      </c>
      <c r="J115" s="507">
        <f>'Cost Input'!$J61*('Battery Design'!J64*'Battery Design'!J65-1)</f>
        <v>0</v>
      </c>
      <c r="K115" s="507">
        <f>'Cost Input'!$J61*('Battery Design'!K64*'Battery Design'!K65-1)</f>
        <v>0</v>
      </c>
      <c r="L115" s="507">
        <f>'Cost Input'!$J61*('Battery Design'!L64*'Battery Design'!L65-1)</f>
        <v>0</v>
      </c>
    </row>
    <row r="116" spans="1:12" x14ac:dyDescent="0.2">
      <c r="A116" s="400" t="s">
        <v>811</v>
      </c>
      <c r="B116" s="400"/>
      <c r="C116" s="400"/>
      <c r="D116" s="400"/>
      <c r="E116" s="400"/>
      <c r="F116" s="506">
        <f t="shared" ref="F116:K116" si="56">SUM(F111:F115)</f>
        <v>395</v>
      </c>
      <c r="G116" s="506">
        <f t="shared" si="56"/>
        <v>395</v>
      </c>
      <c r="H116" s="506">
        <f t="shared" si="56"/>
        <v>395</v>
      </c>
      <c r="I116" s="506">
        <f t="shared" si="56"/>
        <v>395</v>
      </c>
      <c r="J116" s="506">
        <f t="shared" si="56"/>
        <v>395</v>
      </c>
      <c r="K116" s="506">
        <f t="shared" si="56"/>
        <v>395</v>
      </c>
      <c r="L116" s="506">
        <f t="shared" ref="L116" si="57">SUM(L111:L115)</f>
        <v>395</v>
      </c>
    </row>
    <row r="117" spans="1:12" ht="15.75" x14ac:dyDescent="0.25">
      <c r="A117" s="17" t="s">
        <v>509</v>
      </c>
      <c r="B117" s="400"/>
      <c r="C117" s="400"/>
      <c r="D117" s="400"/>
      <c r="E117" s="400"/>
      <c r="F117" s="506"/>
      <c r="G117" s="506"/>
      <c r="H117" s="506"/>
      <c r="I117" s="506"/>
      <c r="J117" s="506"/>
      <c r="K117" s="506"/>
      <c r="L117" s="506"/>
    </row>
    <row r="118" spans="1:12" s="400" customFormat="1" x14ac:dyDescent="0.2">
      <c r="A118" s="401" t="s">
        <v>488</v>
      </c>
      <c r="F118" s="506">
        <f ca="1">IF(Thermal!F66="CA",0,ROUNDUP('Battery Design'!F184,-3)/1000*IF('Battery Design'!F53="microHEV",'Cost Input'!$H65,IF('Battery Design'!F53="HEV-HP",'Cost Input'!$I65,'Cost Input'!$J65)))</f>
        <v>120</v>
      </c>
      <c r="G118" s="506">
        <f ca="1">IF(Thermal!G66="CA",0,ROUNDUP('Battery Design'!G184,-3)/1000*IF('Battery Design'!G53="microHEV",'Cost Input'!$H65,IF('Battery Design'!G53="HEV-HP",'Cost Input'!$I65,'Cost Input'!$J65)))</f>
        <v>160</v>
      </c>
      <c r="H118" s="506">
        <f ca="1">IF(Thermal!H66="CA",0,ROUNDUP('Battery Design'!H184,-3)/1000*IF('Battery Design'!H53="microHEV",'Cost Input'!$H65,IF('Battery Design'!H53="HEV-HP",'Cost Input'!$I65,'Cost Input'!$J65)))</f>
        <v>160</v>
      </c>
      <c r="I118" s="506">
        <f ca="1">IF(Thermal!I66="CA",0,ROUNDUP('Battery Design'!I184,-3)/1000*IF('Battery Design'!I53="microHEV",'Cost Input'!$H65,IF('Battery Design'!I53="HEV-HP",'Cost Input'!$I65,'Cost Input'!$J65)))</f>
        <v>160</v>
      </c>
      <c r="J118" s="506">
        <f ca="1">IF(Thermal!J66="CA",0,ROUNDUP('Battery Design'!J184,-3)/1000*IF('Battery Design'!J53="microHEV",'Cost Input'!$H65,IF('Battery Design'!J53="HEV-HP",'Cost Input'!$I65,'Cost Input'!$J65)))</f>
        <v>160</v>
      </c>
      <c r="K118" s="506">
        <f ca="1">IF(Thermal!K66="CA",0,ROUNDUP('Battery Design'!K184,-3)/1000*IF('Battery Design'!K53="microHEV",'Cost Input'!$H65,IF('Battery Design'!K53="HEV-HP",'Cost Input'!$I65,'Cost Input'!$J65)))</f>
        <v>120</v>
      </c>
      <c r="L118" s="506">
        <f ca="1">IF(Thermal!L66="CA",0,ROUNDUP('Battery Design'!L184,-3)/1000*IF('Battery Design'!L53="microHEV",'Cost Input'!$H65,IF('Battery Design'!L53="HEV-HP",'Cost Input'!$I65,'Cost Input'!$J65)))</f>
        <v>120</v>
      </c>
    </row>
    <row r="119" spans="1:12" x14ac:dyDescent="0.2">
      <c r="A119" s="400" t="s">
        <v>647</v>
      </c>
      <c r="B119" s="400"/>
      <c r="C119" s="400"/>
      <c r="D119" s="400"/>
      <c r="E119" s="400"/>
      <c r="F119" s="506">
        <f>IF('Battery Design'!F65&gt;1,('Battery Design'!F65-1)*'Cost Input'!$J67,0)</f>
        <v>0</v>
      </c>
      <c r="G119" s="506">
        <f>IF('Battery Design'!G65&gt;1,('Battery Design'!G65-1)*'Cost Input'!$J67,0)</f>
        <v>0</v>
      </c>
      <c r="H119" s="506">
        <f>IF('Battery Design'!H65&gt;1,('Battery Design'!H65-1)*'Cost Input'!$J67,0)</f>
        <v>0</v>
      </c>
      <c r="I119" s="506">
        <f>IF('Battery Design'!I65&gt;1,('Battery Design'!I65-1)*'Cost Input'!$J67,0)</f>
        <v>0</v>
      </c>
      <c r="J119" s="506">
        <f>IF('Battery Design'!J65&gt;1,('Battery Design'!J65-1)*'Cost Input'!$J67,0)</f>
        <v>0</v>
      </c>
      <c r="K119" s="506">
        <f>IF('Battery Design'!K65&gt;1,('Battery Design'!K65-1)*'Cost Input'!$J67,0)</f>
        <v>0</v>
      </c>
      <c r="L119" s="506">
        <f>IF('Battery Design'!L65&gt;1,('Battery Design'!L65-1)*'Cost Input'!$J67,0)</f>
        <v>0</v>
      </c>
    </row>
    <row r="120" spans="1:12" x14ac:dyDescent="0.2">
      <c r="A120" s="400" t="s">
        <v>825</v>
      </c>
      <c r="B120" s="400"/>
      <c r="C120" s="400"/>
      <c r="D120" s="400"/>
      <c r="E120" s="400"/>
      <c r="F120" s="506">
        <f ca="1">SUM(F118:F119)</f>
        <v>120</v>
      </c>
      <c r="G120" s="506">
        <f t="shared" ref="G120:L120" ca="1" si="58">SUM(G118:G119)</f>
        <v>160</v>
      </c>
      <c r="H120" s="506">
        <f t="shared" ca="1" si="58"/>
        <v>160</v>
      </c>
      <c r="I120" s="506">
        <f t="shared" ca="1" si="58"/>
        <v>160</v>
      </c>
      <c r="J120" s="506">
        <f t="shared" ca="1" si="58"/>
        <v>160</v>
      </c>
      <c r="K120" s="506">
        <f t="shared" ca="1" si="58"/>
        <v>120</v>
      </c>
      <c r="L120" s="506">
        <f t="shared" ca="1" si="58"/>
        <v>120</v>
      </c>
    </row>
    <row r="121" spans="1:12" x14ac:dyDescent="0.2">
      <c r="A121" s="400"/>
      <c r="B121" s="400"/>
      <c r="C121" s="400"/>
      <c r="D121" s="400"/>
      <c r="E121" s="400"/>
      <c r="F121" s="506"/>
      <c r="G121" s="506"/>
      <c r="H121" s="506"/>
      <c r="I121" s="506"/>
      <c r="J121" s="506"/>
      <c r="K121" s="506"/>
      <c r="L121" s="506"/>
    </row>
    <row r="122" spans="1:12" ht="15.75" x14ac:dyDescent="0.25">
      <c r="A122" s="17" t="s">
        <v>61</v>
      </c>
      <c r="B122" s="17"/>
      <c r="C122" s="17"/>
      <c r="D122" s="400"/>
      <c r="E122" s="400"/>
      <c r="F122" s="313"/>
      <c r="G122" s="313"/>
      <c r="H122" s="313"/>
      <c r="I122" s="313"/>
      <c r="J122" s="313"/>
      <c r="K122" s="313"/>
      <c r="L122" s="313"/>
    </row>
    <row r="123" spans="1:12" ht="15" x14ac:dyDescent="0.25">
      <c r="A123" s="401"/>
      <c r="B123" s="401"/>
      <c r="C123" s="401"/>
      <c r="D123" s="335" t="s">
        <v>40</v>
      </c>
      <c r="E123" s="66"/>
      <c r="F123" s="491"/>
      <c r="G123" s="491"/>
      <c r="H123" s="491"/>
      <c r="I123" s="491"/>
      <c r="J123" s="491"/>
      <c r="K123" s="491"/>
      <c r="L123" s="491"/>
    </row>
    <row r="124" spans="1:12" ht="15" x14ac:dyDescent="0.25">
      <c r="A124" s="334" t="s">
        <v>129</v>
      </c>
      <c r="B124" s="492"/>
      <c r="C124" s="492"/>
      <c r="D124" s="336" t="s">
        <v>63</v>
      </c>
      <c r="E124" s="337" t="s">
        <v>42</v>
      </c>
      <c r="F124" s="493"/>
      <c r="G124" s="493"/>
      <c r="H124" s="493"/>
      <c r="I124" s="493"/>
      <c r="J124" s="493"/>
      <c r="K124" s="493"/>
      <c r="L124" s="493"/>
    </row>
    <row r="125" spans="1:12" x14ac:dyDescent="0.2">
      <c r="A125" s="399" t="s">
        <v>221</v>
      </c>
      <c r="B125" s="399"/>
      <c r="C125" s="399"/>
      <c r="D125" s="400"/>
      <c r="E125" s="486"/>
      <c r="F125" s="400"/>
      <c r="G125" s="400"/>
      <c r="H125" s="400"/>
      <c r="I125" s="400"/>
      <c r="J125" s="400"/>
      <c r="K125" s="400"/>
      <c r="L125" s="400"/>
    </row>
    <row r="126" spans="1:12" x14ac:dyDescent="0.2">
      <c r="A126" s="400" t="s">
        <v>130</v>
      </c>
      <c r="B126" s="400"/>
      <c r="C126" s="400"/>
      <c r="D126" s="296"/>
      <c r="E126" s="486"/>
      <c r="F126" s="508">
        <f ca="1">F6/'Cost Input'!$J19</f>
        <v>0.46007873470311988</v>
      </c>
      <c r="G126" s="508">
        <f ca="1">G6/'Cost Input'!$J19</f>
        <v>0.69011810205467949</v>
      </c>
      <c r="H126" s="508">
        <f ca="1">H6/'Cost Input'!$J19</f>
        <v>0.92015746940623921</v>
      </c>
      <c r="I126" s="508">
        <f ca="1">I6/'Cost Input'!$J19</f>
        <v>1.1501968367578013</v>
      </c>
      <c r="J126" s="508">
        <f ca="1">J6/'Cost Input'!$J19</f>
        <v>1.3802362041093597</v>
      </c>
      <c r="K126" s="508">
        <f ca="1">K6/'Cost Input'!$J19</f>
        <v>1.6102755714609176</v>
      </c>
      <c r="L126" s="508">
        <f ca="1">L6/'Cost Input'!$J19</f>
        <v>1.8403149388124795</v>
      </c>
    </row>
    <row r="127" spans="1:12" x14ac:dyDescent="0.2">
      <c r="A127" s="400" t="s">
        <v>66</v>
      </c>
      <c r="B127" s="400"/>
      <c r="C127" s="400"/>
      <c r="D127" s="501">
        <f>'Cost Input'!D75</f>
        <v>14400</v>
      </c>
      <c r="E127" s="504">
        <f>'Cost Input'!E75</f>
        <v>0.4</v>
      </c>
      <c r="F127" s="486">
        <f t="shared" ref="F127:L129" ca="1" si="59">$D127*F$126^$E127</f>
        <v>10555.902159442596</v>
      </c>
      <c r="G127" s="486">
        <f t="shared" ca="1" si="59"/>
        <v>12414.575093543337</v>
      </c>
      <c r="H127" s="486">
        <f t="shared" ca="1" si="59"/>
        <v>13928.59640472918</v>
      </c>
      <c r="I127" s="486">
        <f t="shared" ca="1" si="59"/>
        <v>15228.999052193596</v>
      </c>
      <c r="J127" s="486">
        <f t="shared" ca="1" si="59"/>
        <v>16381.130044814581</v>
      </c>
      <c r="K127" s="486">
        <f t="shared" ca="1" si="59"/>
        <v>17422.985449019056</v>
      </c>
      <c r="L127" s="486">
        <f t="shared" ca="1" si="59"/>
        <v>18378.893142003053</v>
      </c>
    </row>
    <row r="128" spans="1:12" x14ac:dyDescent="0.2">
      <c r="A128" s="400" t="s">
        <v>68</v>
      </c>
      <c r="B128" s="400"/>
      <c r="C128" s="400"/>
      <c r="D128" s="509">
        <f>'Cost Input'!D76</f>
        <v>3.6</v>
      </c>
      <c r="E128" s="504">
        <f>'Cost Input'!E76</f>
        <v>0.6</v>
      </c>
      <c r="F128" s="510">
        <f t="shared" ca="1" si="59"/>
        <v>2.2594451186414899</v>
      </c>
      <c r="G128" s="510">
        <f t="shared" ca="1" si="59"/>
        <v>2.8817516621347021</v>
      </c>
      <c r="H128" s="510">
        <f t="shared" ca="1" si="59"/>
        <v>3.4246783974459567</v>
      </c>
      <c r="I128" s="510">
        <f t="shared" ca="1" si="59"/>
        <v>3.915306830946045</v>
      </c>
      <c r="J128" s="510">
        <f t="shared" ca="1" si="59"/>
        <v>4.3679187348664446</v>
      </c>
      <c r="K128" s="510">
        <f t="shared" ca="1" si="59"/>
        <v>4.7911815038124743</v>
      </c>
      <c r="L128" s="510">
        <f t="shared" ca="1" si="59"/>
        <v>5.1908417819791195</v>
      </c>
    </row>
    <row r="129" spans="1:12" x14ac:dyDescent="0.2">
      <c r="A129" s="400" t="s">
        <v>69</v>
      </c>
      <c r="B129" s="400"/>
      <c r="C129" s="400"/>
      <c r="D129" s="501">
        <f>'Cost Input'!D77</f>
        <v>900</v>
      </c>
      <c r="E129" s="504">
        <f>'Cost Input'!E77</f>
        <v>0.5</v>
      </c>
      <c r="F129" s="486">
        <f t="shared" ca="1" si="59"/>
        <v>610.46193584000559</v>
      </c>
      <c r="G129" s="486">
        <f t="shared" ca="1" si="59"/>
        <v>747.66012509982795</v>
      </c>
      <c r="H129" s="486">
        <f t="shared" ca="1" si="59"/>
        <v>863.32354897746984</v>
      </c>
      <c r="I129" s="486">
        <f t="shared" ca="1" si="59"/>
        <v>965.22507104499675</v>
      </c>
      <c r="J129" s="486">
        <f t="shared" ca="1" si="59"/>
        <v>1057.3510889617419</v>
      </c>
      <c r="K129" s="486">
        <f t="shared" ca="1" si="59"/>
        <v>1142.0697057900377</v>
      </c>
      <c r="L129" s="486">
        <f t="shared" ca="1" si="59"/>
        <v>1220.9238716800112</v>
      </c>
    </row>
    <row r="130" spans="1:12" x14ac:dyDescent="0.2">
      <c r="A130" s="399" t="s">
        <v>70</v>
      </c>
      <c r="B130" s="399"/>
      <c r="C130" s="399"/>
      <c r="D130" s="501"/>
      <c r="E130" s="504"/>
      <c r="F130" s="296"/>
      <c r="G130" s="296"/>
      <c r="H130" s="296"/>
      <c r="I130" s="296"/>
      <c r="J130" s="296"/>
      <c r="K130" s="296"/>
      <c r="L130" s="296"/>
    </row>
    <row r="131" spans="1:12" x14ac:dyDescent="0.2">
      <c r="A131" s="400" t="s">
        <v>71</v>
      </c>
      <c r="B131" s="400"/>
      <c r="C131" s="400"/>
      <c r="D131" s="501"/>
      <c r="E131" s="504"/>
      <c r="F131" s="296"/>
      <c r="G131" s="296"/>
      <c r="H131" s="296"/>
      <c r="I131" s="296"/>
      <c r="J131" s="296"/>
      <c r="K131" s="296"/>
      <c r="L131" s="296"/>
    </row>
    <row r="132" spans="1:12" x14ac:dyDescent="0.2">
      <c r="A132" s="400" t="s">
        <v>131</v>
      </c>
      <c r="B132" s="400"/>
      <c r="C132" s="400"/>
      <c r="D132" s="501"/>
      <c r="E132" s="504"/>
      <c r="F132" s="296"/>
      <c r="G132" s="296"/>
      <c r="H132" s="296"/>
      <c r="I132" s="296"/>
      <c r="J132" s="296"/>
      <c r="K132" s="296"/>
      <c r="L132" s="296"/>
    </row>
    <row r="133" spans="1:12" x14ac:dyDescent="0.2">
      <c r="A133" s="400" t="s">
        <v>130</v>
      </c>
      <c r="B133" s="400"/>
      <c r="C133" s="400"/>
      <c r="D133" s="501"/>
      <c r="E133" s="504"/>
      <c r="F133" s="511">
        <f ca="1">F10/'Cost Input'!$J23</f>
        <v>0.67859441355732208</v>
      </c>
      <c r="G133" s="511">
        <f ca="1">G10/'Cost Input'!$J23</f>
        <v>1.0193739039363066</v>
      </c>
      <c r="H133" s="511">
        <f ca="1">H10/'Cost Input'!$J23</f>
        <v>1.3592728353110575</v>
      </c>
      <c r="I133" s="511">
        <f ca="1">I10/'Cost Input'!$J23</f>
        <v>1.6992236610830622</v>
      </c>
      <c r="J133" s="511">
        <f ca="1">J10/'Cost Input'!$J23</f>
        <v>2.0392259225460139</v>
      </c>
      <c r="K133" s="511">
        <f ca="1">K10/'Cost Input'!$J23</f>
        <v>2.3792792853882276</v>
      </c>
      <c r="L133" s="511">
        <f ca="1">L10/'Cost Input'!$J23</f>
        <v>2.7193834976829168</v>
      </c>
    </row>
    <row r="134" spans="1:12" x14ac:dyDescent="0.2">
      <c r="A134" s="400" t="s">
        <v>66</v>
      </c>
      <c r="B134" s="400"/>
      <c r="C134" s="400"/>
      <c r="D134" s="501">
        <f>'Cost Input'!D82</f>
        <v>14400</v>
      </c>
      <c r="E134" s="504">
        <f>'Cost Input'!E82</f>
        <v>0.5</v>
      </c>
      <c r="F134" s="486">
        <f t="shared" ref="F134:L136" ca="1" si="60">$D134*F$133^$E134</f>
        <v>11862.265280933752</v>
      </c>
      <c r="G134" s="486">
        <f t="shared" ca="1" si="60"/>
        <v>14538.822948238709</v>
      </c>
      <c r="H134" s="486">
        <f t="shared" ca="1" si="60"/>
        <v>16788.651379134088</v>
      </c>
      <c r="I134" s="486">
        <f t="shared" ca="1" si="60"/>
        <v>18771.015379094006</v>
      </c>
      <c r="J134" s="486">
        <f t="shared" ca="1" si="60"/>
        <v>20563.411373095212</v>
      </c>
      <c r="K134" s="486">
        <f t="shared" ca="1" si="60"/>
        <v>22211.874135653277</v>
      </c>
      <c r="L134" s="486">
        <f t="shared" ca="1" si="60"/>
        <v>23746.396823087278</v>
      </c>
    </row>
    <row r="135" spans="1:12" x14ac:dyDescent="0.2">
      <c r="A135" s="400" t="s">
        <v>68</v>
      </c>
      <c r="B135" s="400"/>
      <c r="C135" s="400"/>
      <c r="D135" s="509">
        <f>'Cost Input'!D83</f>
        <v>2</v>
      </c>
      <c r="E135" s="504">
        <f>'Cost Input'!E83</f>
        <v>0.7</v>
      </c>
      <c r="F135" s="510">
        <f t="shared" ca="1" si="60"/>
        <v>1.5246044803604388</v>
      </c>
      <c r="G135" s="510">
        <f t="shared" ca="1" si="60"/>
        <v>2.0270452968679211</v>
      </c>
      <c r="H135" s="510">
        <f t="shared" ca="1" si="60"/>
        <v>2.4793888400577138</v>
      </c>
      <c r="I135" s="510">
        <f t="shared" ca="1" si="60"/>
        <v>2.8987140694518234</v>
      </c>
      <c r="J135" s="510">
        <f t="shared" ca="1" si="60"/>
        <v>3.2934853496931931</v>
      </c>
      <c r="K135" s="510">
        <f t="shared" ca="1" si="60"/>
        <v>3.6689499903211176</v>
      </c>
      <c r="L135" s="510">
        <f t="shared" ca="1" si="60"/>
        <v>4.0286479367803807</v>
      </c>
    </row>
    <row r="136" spans="1:12" x14ac:dyDescent="0.2">
      <c r="A136" s="400" t="s">
        <v>69</v>
      </c>
      <c r="B136" s="400"/>
      <c r="C136" s="400"/>
      <c r="D136" s="501">
        <f>'Cost Input'!D84</f>
        <v>600</v>
      </c>
      <c r="E136" s="504">
        <f>'Cost Input'!E84</f>
        <v>0.6</v>
      </c>
      <c r="F136" s="486">
        <f t="shared" ca="1" si="60"/>
        <v>475.46375774783928</v>
      </c>
      <c r="G136" s="486">
        <f t="shared" ca="1" si="60"/>
        <v>606.94782188445447</v>
      </c>
      <c r="H136" s="486">
        <f t="shared" ca="1" si="60"/>
        <v>721.33205658909787</v>
      </c>
      <c r="I136" s="486">
        <f t="shared" ca="1" si="60"/>
        <v>824.71060361556795</v>
      </c>
      <c r="J136" s="486">
        <f t="shared" ca="1" si="60"/>
        <v>920.09030872656376</v>
      </c>
      <c r="K136" s="486">
        <f t="shared" ca="1" si="60"/>
        <v>1009.2958894386408</v>
      </c>
      <c r="L136" s="486">
        <f t="shared" ca="1" si="60"/>
        <v>1093.5371082369516</v>
      </c>
    </row>
    <row r="137" spans="1:12" x14ac:dyDescent="0.2">
      <c r="A137" s="400" t="s">
        <v>132</v>
      </c>
      <c r="B137" s="400"/>
      <c r="C137" s="400"/>
      <c r="D137" s="501"/>
      <c r="E137" s="504"/>
      <c r="F137" s="296"/>
      <c r="G137" s="296"/>
      <c r="H137" s="296"/>
      <c r="I137" s="296"/>
      <c r="J137" s="296"/>
      <c r="K137" s="296"/>
      <c r="L137" s="296"/>
    </row>
    <row r="138" spans="1:12" x14ac:dyDescent="0.2">
      <c r="A138" s="400" t="s">
        <v>130</v>
      </c>
      <c r="B138" s="400"/>
      <c r="C138" s="400"/>
      <c r="D138" s="501"/>
      <c r="E138" s="504"/>
      <c r="F138" s="511">
        <f ca="1">F11/'Cost Input'!$J24</f>
        <v>0.33468913244875675</v>
      </c>
      <c r="G138" s="511">
        <f ca="1">G11/'Cost Input'!$J24</f>
        <v>0.49938949271958627</v>
      </c>
      <c r="H138" s="511">
        <f ca="1">H11/'Cost Input'!$J24</f>
        <v>0.66287908152975605</v>
      </c>
      <c r="I138" s="511">
        <f ca="1">I11/'Cost Input'!$J24</f>
        <v>0.82608541914392819</v>
      </c>
      <c r="J138" s="511">
        <f ca="1">J11/'Cost Input'!$J24</f>
        <v>0.98909747098249867</v>
      </c>
      <c r="K138" s="511">
        <f ca="1">K11/'Cost Input'!$J24</f>
        <v>1.1519680700179753</v>
      </c>
      <c r="L138" s="511">
        <f ca="1">L11/'Cost Input'!$J24</f>
        <v>1.3147315867533382</v>
      </c>
    </row>
    <row r="139" spans="1:12" x14ac:dyDescent="0.2">
      <c r="A139" s="400" t="s">
        <v>66</v>
      </c>
      <c r="B139" s="400"/>
      <c r="C139" s="400"/>
      <c r="D139" s="501">
        <f>'Cost Input'!D87</f>
        <v>14400</v>
      </c>
      <c r="E139" s="504">
        <f>'Cost Input'!E87</f>
        <v>0.5</v>
      </c>
      <c r="F139" s="486">
        <f t="shared" ref="F139:L141" ca="1" si="61">$D139*F$138^$E139</f>
        <v>8330.7345717274056</v>
      </c>
      <c r="G139" s="486">
        <f t="shared" ca="1" si="61"/>
        <v>10176.119359084454</v>
      </c>
      <c r="H139" s="486">
        <f t="shared" ca="1" si="61"/>
        <v>11724.103647870494</v>
      </c>
      <c r="I139" s="486">
        <f t="shared" ca="1" si="61"/>
        <v>13088.050753022198</v>
      </c>
      <c r="J139" s="486">
        <f t="shared" ca="1" si="61"/>
        <v>14321.286659477593</v>
      </c>
      <c r="K139" s="486">
        <f t="shared" ca="1" si="61"/>
        <v>15455.487666163348</v>
      </c>
      <c r="L139" s="486">
        <f t="shared" ca="1" si="61"/>
        <v>16511.291343476809</v>
      </c>
    </row>
    <row r="140" spans="1:12" x14ac:dyDescent="0.2">
      <c r="A140" s="400" t="s">
        <v>68</v>
      </c>
      <c r="B140" s="400"/>
      <c r="C140" s="400"/>
      <c r="D140" s="509">
        <f>'Cost Input'!D88</f>
        <v>2</v>
      </c>
      <c r="E140" s="504">
        <f>'Cost Input'!E88</f>
        <v>0.7</v>
      </c>
      <c r="F140" s="510">
        <f t="shared" ca="1" si="61"/>
        <v>0.9295636299906197</v>
      </c>
      <c r="G140" s="510">
        <f t="shared" ca="1" si="61"/>
        <v>1.230091948838393</v>
      </c>
      <c r="H140" s="510">
        <f t="shared" ca="1" si="61"/>
        <v>1.499802301166181</v>
      </c>
      <c r="I140" s="510">
        <f t="shared" ca="1" si="61"/>
        <v>1.7496350303502581</v>
      </c>
      <c r="J140" s="510">
        <f t="shared" ca="1" si="61"/>
        <v>1.9847113790219684</v>
      </c>
      <c r="K140" s="510">
        <f t="shared" ca="1" si="61"/>
        <v>2.2081994876114281</v>
      </c>
      <c r="L140" s="510">
        <f t="shared" ca="1" si="61"/>
        <v>2.422233262449311</v>
      </c>
    </row>
    <row r="141" spans="1:12" x14ac:dyDescent="0.2">
      <c r="A141" s="400" t="s">
        <v>69</v>
      </c>
      <c r="B141" s="400"/>
      <c r="C141" s="400"/>
      <c r="D141" s="501">
        <f>'Cost Input'!D89</f>
        <v>600</v>
      </c>
      <c r="E141" s="504">
        <f>'Cost Input'!E89</f>
        <v>0.6</v>
      </c>
      <c r="F141" s="486">
        <f t="shared" ca="1" si="61"/>
        <v>311.12593649885724</v>
      </c>
      <c r="G141" s="486">
        <f t="shared" ca="1" si="61"/>
        <v>395.56229746444956</v>
      </c>
      <c r="H141" s="486">
        <f t="shared" ca="1" si="61"/>
        <v>468.82616221509784</v>
      </c>
      <c r="I141" s="486">
        <f t="shared" ca="1" si="61"/>
        <v>535.01532777680438</v>
      </c>
      <c r="J141" s="486">
        <f t="shared" ca="1" si="61"/>
        <v>596.06648743345625</v>
      </c>
      <c r="K141" s="486">
        <f t="shared" ca="1" si="61"/>
        <v>653.15388639667697</v>
      </c>
      <c r="L141" s="486">
        <f t="shared" ca="1" si="61"/>
        <v>707.05550611462695</v>
      </c>
    </row>
    <row r="142" spans="1:12" x14ac:dyDescent="0.2">
      <c r="A142" s="400" t="s">
        <v>78</v>
      </c>
      <c r="B142" s="400"/>
      <c r="C142" s="400"/>
      <c r="D142" s="501"/>
      <c r="E142" s="504"/>
      <c r="F142" s="296"/>
      <c r="G142" s="296"/>
      <c r="H142" s="296"/>
      <c r="I142" s="296"/>
      <c r="J142" s="296"/>
      <c r="K142" s="296"/>
      <c r="L142" s="296"/>
    </row>
    <row r="143" spans="1:12" x14ac:dyDescent="0.2">
      <c r="A143" s="400" t="s">
        <v>133</v>
      </c>
      <c r="B143" s="400"/>
      <c r="C143" s="400"/>
      <c r="D143" s="501"/>
      <c r="E143" s="504"/>
      <c r="F143" s="296"/>
      <c r="G143" s="296"/>
      <c r="H143" s="296"/>
      <c r="I143" s="296"/>
      <c r="J143" s="296"/>
      <c r="K143" s="296"/>
      <c r="L143" s="296"/>
    </row>
    <row r="144" spans="1:12" x14ac:dyDescent="0.2">
      <c r="A144" s="400" t="s">
        <v>130</v>
      </c>
      <c r="B144" s="400"/>
      <c r="C144" s="400"/>
      <c r="D144" s="501"/>
      <c r="E144" s="504"/>
      <c r="F144" s="511">
        <f ca="1">F9/'Cost Input'!$J22</f>
        <v>0.82055552976912827</v>
      </c>
      <c r="G144" s="511">
        <f ca="1">G9/'Cost Input'!$J22</f>
        <v>1.0046564233330098</v>
      </c>
      <c r="H144" s="511">
        <f ca="1">H9/'Cost Input'!$J22</f>
        <v>1.3396479739024723</v>
      </c>
      <c r="I144" s="511">
        <f ca="1">I9/'Cost Input'!$J22</f>
        <v>1.6746906696300892</v>
      </c>
      <c r="J144" s="511">
        <f ca="1">J9/'Cost Input'!$J22</f>
        <v>2.0097840584322491</v>
      </c>
      <c r="K144" s="511">
        <f ca="1">K9/'Cost Input'!$J22</f>
        <v>2.3449278108239788</v>
      </c>
      <c r="L144" s="511">
        <f ca="1">L9/'Cost Input'!$J22</f>
        <v>2.6801216785157536</v>
      </c>
    </row>
    <row r="145" spans="1:12" ht="14.25" x14ac:dyDescent="0.2">
      <c r="A145" s="400" t="s">
        <v>719</v>
      </c>
      <c r="B145" s="400"/>
      <c r="C145" s="400"/>
      <c r="D145" s="512">
        <f>'Cost Input'!D93</f>
        <v>0.28127792478399444</v>
      </c>
      <c r="E145" s="509"/>
      <c r="F145" s="511">
        <f t="shared" ref="F145:L145" ca="1" si="62">F50/F9</f>
        <v>0.23261512657055586</v>
      </c>
      <c r="G145" s="511">
        <f t="shared" ca="1" si="62"/>
        <v>0.28539844032144596</v>
      </c>
      <c r="H145" s="511">
        <f t="shared" ca="1" si="62"/>
        <v>0.28539844032144596</v>
      </c>
      <c r="I145" s="511">
        <f t="shared" ca="1" si="62"/>
        <v>0.28539844032144596</v>
      </c>
      <c r="J145" s="511">
        <f t="shared" ca="1" si="62"/>
        <v>0.2853984403214459</v>
      </c>
      <c r="K145" s="511">
        <f t="shared" ca="1" si="62"/>
        <v>0.2853984403214459</v>
      </c>
      <c r="L145" s="511">
        <f t="shared" ca="1" si="62"/>
        <v>0.2853984403214459</v>
      </c>
    </row>
    <row r="146" spans="1:12" x14ac:dyDescent="0.2">
      <c r="A146" s="400" t="s">
        <v>66</v>
      </c>
      <c r="B146" s="400"/>
      <c r="C146" s="400"/>
      <c r="D146" s="501">
        <f>'Cost Input'!D94</f>
        <v>28800</v>
      </c>
      <c r="E146" s="504">
        <f>'Cost Input'!E94</f>
        <v>0.5</v>
      </c>
      <c r="F146" s="486">
        <f t="shared" ref="F146:L146" ca="1" si="63">$D146*F$144^$E146</f>
        <v>26088.341814145755</v>
      </c>
      <c r="G146" s="486">
        <f t="shared" ca="1" si="63"/>
        <v>28866.974620997811</v>
      </c>
      <c r="H146" s="486">
        <f t="shared" ca="1" si="63"/>
        <v>33334.030891472852</v>
      </c>
      <c r="I146" s="486">
        <f t="shared" ca="1" si="63"/>
        <v>37270.03392831808</v>
      </c>
      <c r="J146" s="486">
        <f t="shared" ca="1" si="63"/>
        <v>40828.853638401903</v>
      </c>
      <c r="K146" s="486">
        <f t="shared" ca="1" si="63"/>
        <v>44101.892515059269</v>
      </c>
      <c r="L146" s="486">
        <f t="shared" ca="1" si="63"/>
        <v>47148.702262396437</v>
      </c>
    </row>
    <row r="147" spans="1:12" x14ac:dyDescent="0.2">
      <c r="A147" s="400" t="s">
        <v>68</v>
      </c>
      <c r="B147" s="400"/>
      <c r="C147" s="400"/>
      <c r="D147" s="509">
        <f>'Cost Input'!D95</f>
        <v>8</v>
      </c>
      <c r="E147" s="504">
        <f>'Cost Input'!E95</f>
        <v>0.8</v>
      </c>
      <c r="F147" s="510">
        <f t="shared" ref="F147:K147" ca="1" si="64">$D147*F$144^$E147*(F145/$D145)^0.2</f>
        <v>6.5747134424612543</v>
      </c>
      <c r="G147" s="510">
        <f t="shared" ca="1" si="64"/>
        <v>8.0531767019692175</v>
      </c>
      <c r="H147" s="510">
        <f t="shared" ca="1" si="64"/>
        <v>10.137846927910427</v>
      </c>
      <c r="I147" s="510">
        <f t="shared" ca="1" si="64"/>
        <v>12.119950798046887</v>
      </c>
      <c r="J147" s="510">
        <f t="shared" ca="1" si="64"/>
        <v>14.024025536241762</v>
      </c>
      <c r="K147" s="510">
        <f t="shared" ca="1" si="64"/>
        <v>15.865609402740644</v>
      </c>
      <c r="L147" s="510">
        <f t="shared" ref="L147" ca="1" si="65">$D147*L$144^$E147*(L145/$D145)^0.2</f>
        <v>17.655368458827638</v>
      </c>
    </row>
    <row r="148" spans="1:12" x14ac:dyDescent="0.2">
      <c r="A148" s="400" t="s">
        <v>69</v>
      </c>
      <c r="B148" s="400"/>
      <c r="C148" s="400"/>
      <c r="D148" s="501">
        <f>'Cost Input'!D96</f>
        <v>750</v>
      </c>
      <c r="E148" s="504">
        <f>'Cost Input'!E96</f>
        <v>0.8</v>
      </c>
      <c r="F148" s="486">
        <f t="shared" ref="F148:L148" ca="1" si="66">$D148*F$144^$E148</f>
        <v>640.24713631410748</v>
      </c>
      <c r="G148" s="486">
        <f t="shared" ca="1" si="66"/>
        <v>752.7925554800081</v>
      </c>
      <c r="H148" s="486">
        <f t="shared" ca="1" si="66"/>
        <v>947.66276444184871</v>
      </c>
      <c r="I148" s="486">
        <f t="shared" ca="1" si="66"/>
        <v>1132.9453048413382</v>
      </c>
      <c r="J148" s="486">
        <f t="shared" ca="1" si="66"/>
        <v>1310.9338602942628</v>
      </c>
      <c r="K148" s="486">
        <f t="shared" ca="1" si="66"/>
        <v>1483.0809118613111</v>
      </c>
      <c r="L148" s="486">
        <f t="shared" ca="1" si="66"/>
        <v>1650.3834985778997</v>
      </c>
    </row>
    <row r="149" spans="1:12" x14ac:dyDescent="0.2">
      <c r="A149" s="400" t="s">
        <v>134</v>
      </c>
      <c r="B149" s="400"/>
      <c r="C149" s="400"/>
      <c r="D149" s="501"/>
      <c r="E149" s="504"/>
      <c r="F149" s="296"/>
      <c r="G149" s="296"/>
      <c r="H149" s="296"/>
      <c r="I149" s="296"/>
      <c r="J149" s="296"/>
      <c r="K149" s="296"/>
      <c r="L149" s="296"/>
    </row>
    <row r="150" spans="1:12" x14ac:dyDescent="0.2">
      <c r="A150" s="400" t="s">
        <v>130</v>
      </c>
      <c r="B150" s="400"/>
      <c r="C150" s="400"/>
      <c r="D150" s="501"/>
      <c r="E150" s="504"/>
      <c r="F150" s="511">
        <f t="shared" ref="F150:K150" ca="1" si="67">F144</f>
        <v>0.82055552976912827</v>
      </c>
      <c r="G150" s="511">
        <f t="shared" ca="1" si="67"/>
        <v>1.0046564233330098</v>
      </c>
      <c r="H150" s="511">
        <f t="shared" ca="1" si="67"/>
        <v>1.3396479739024723</v>
      </c>
      <c r="I150" s="511">
        <f t="shared" ca="1" si="67"/>
        <v>1.6746906696300892</v>
      </c>
      <c r="J150" s="511">
        <f t="shared" ca="1" si="67"/>
        <v>2.0097840584322491</v>
      </c>
      <c r="K150" s="511">
        <f t="shared" ca="1" si="67"/>
        <v>2.3449278108239788</v>
      </c>
      <c r="L150" s="511">
        <f t="shared" ref="L150" ca="1" si="68">L144</f>
        <v>2.6801216785157536</v>
      </c>
    </row>
    <row r="151" spans="1:12" ht="14.25" x14ac:dyDescent="0.2">
      <c r="A151" s="400" t="s">
        <v>719</v>
      </c>
      <c r="B151" s="400"/>
      <c r="C151" s="400"/>
      <c r="D151" s="512">
        <f>'Cost Input'!D99</f>
        <v>0.18602721768598535</v>
      </c>
      <c r="E151" s="509"/>
      <c r="F151" s="513">
        <f t="shared" ref="F151:L151" ca="1" si="69">F51/F9</f>
        <v>7.5684589560469778E-2</v>
      </c>
      <c r="G151" s="513">
        <f t="shared" ca="1" si="69"/>
        <v>9.223498065595423E-2</v>
      </c>
      <c r="H151" s="513">
        <f t="shared" ca="1" si="69"/>
        <v>9.1815805463274142E-2</v>
      </c>
      <c r="I151" s="513">
        <f t="shared" ca="1" si="69"/>
        <v>9.1530151635383528E-2</v>
      </c>
      <c r="J151" s="513">
        <f t="shared" ca="1" si="69"/>
        <v>9.1319498999074045E-2</v>
      </c>
      <c r="K151" s="513">
        <f t="shared" ca="1" si="69"/>
        <v>9.1155901413762896E-2</v>
      </c>
      <c r="L151" s="513">
        <f t="shared" ca="1" si="69"/>
        <v>9.1024103728377895E-2</v>
      </c>
    </row>
    <row r="152" spans="1:12" x14ac:dyDescent="0.2">
      <c r="A152" s="400" t="s">
        <v>66</v>
      </c>
      <c r="B152" s="400"/>
      <c r="C152" s="400"/>
      <c r="D152" s="501">
        <f>'Cost Input'!D100</f>
        <v>28800</v>
      </c>
      <c r="E152" s="504">
        <f>'Cost Input'!E100</f>
        <v>0.5</v>
      </c>
      <c r="F152" s="486">
        <f t="shared" ref="F152:L152" ca="1" si="70">$D152*F$150^$E152</f>
        <v>26088.341814145755</v>
      </c>
      <c r="G152" s="486">
        <f t="shared" ca="1" si="70"/>
        <v>28866.974620997811</v>
      </c>
      <c r="H152" s="486">
        <f t="shared" ca="1" si="70"/>
        <v>33334.030891472852</v>
      </c>
      <c r="I152" s="486">
        <f t="shared" ca="1" si="70"/>
        <v>37270.03392831808</v>
      </c>
      <c r="J152" s="486">
        <f t="shared" ca="1" si="70"/>
        <v>40828.853638401903</v>
      </c>
      <c r="K152" s="486">
        <f t="shared" ca="1" si="70"/>
        <v>44101.892515059269</v>
      </c>
      <c r="L152" s="486">
        <f t="shared" ca="1" si="70"/>
        <v>47148.702262396437</v>
      </c>
    </row>
    <row r="153" spans="1:12" x14ac:dyDescent="0.2">
      <c r="A153" s="400" t="s">
        <v>68</v>
      </c>
      <c r="B153" s="400"/>
      <c r="C153" s="400"/>
      <c r="D153" s="509">
        <f>'Cost Input'!D101</f>
        <v>8</v>
      </c>
      <c r="E153" s="504">
        <f>'Cost Input'!E101</f>
        <v>0.8</v>
      </c>
      <c r="F153" s="510">
        <f t="shared" ref="F153:K153" ca="1" si="71">$D153*F$144^$E153*(F151/$D151)^0.2</f>
        <v>5.7050908166383527</v>
      </c>
      <c r="G153" s="510">
        <f t="shared" ca="1" si="71"/>
        <v>6.9785930452180898</v>
      </c>
      <c r="H153" s="510">
        <f t="shared" ca="1" si="71"/>
        <v>8.7770936421928685</v>
      </c>
      <c r="I153" s="510">
        <f t="shared" ca="1" si="71"/>
        <v>10.48661214978477</v>
      </c>
      <c r="J153" s="510">
        <f t="shared" ca="1" si="71"/>
        <v>12.128494918401671</v>
      </c>
      <c r="K153" s="510">
        <f t="shared" ca="1" si="71"/>
        <v>13.7162448389904</v>
      </c>
      <c r="L153" s="510">
        <f t="shared" ref="L153" ca="1" si="72">$D153*L$144^$E153*(L151/$D151)^0.2</f>
        <v>15.259123233619462</v>
      </c>
    </row>
    <row r="154" spans="1:12" x14ac:dyDescent="0.2">
      <c r="A154" s="400" t="s">
        <v>69</v>
      </c>
      <c r="B154" s="400"/>
      <c r="C154" s="400"/>
      <c r="D154" s="501">
        <f>'Cost Input'!D102</f>
        <v>750</v>
      </c>
      <c r="E154" s="504">
        <f>'Cost Input'!E102</f>
        <v>0.8</v>
      </c>
      <c r="F154" s="486">
        <f t="shared" ref="F154:L154" ca="1" si="73">$D154*F$150^$E154</f>
        <v>640.24713631410748</v>
      </c>
      <c r="G154" s="486">
        <f t="shared" ca="1" si="73"/>
        <v>752.7925554800081</v>
      </c>
      <c r="H154" s="486">
        <f t="shared" ca="1" si="73"/>
        <v>947.66276444184871</v>
      </c>
      <c r="I154" s="486">
        <f t="shared" ca="1" si="73"/>
        <v>1132.9453048413382</v>
      </c>
      <c r="J154" s="486">
        <f t="shared" ca="1" si="73"/>
        <v>1310.9338602942628</v>
      </c>
      <c r="K154" s="486">
        <f t="shared" ca="1" si="73"/>
        <v>1483.0809118613111</v>
      </c>
      <c r="L154" s="486">
        <f t="shared" ca="1" si="73"/>
        <v>1650.3834985778997</v>
      </c>
    </row>
    <row r="155" spans="1:12" x14ac:dyDescent="0.2">
      <c r="A155" s="400" t="s">
        <v>279</v>
      </c>
      <c r="B155" s="400"/>
      <c r="C155" s="400"/>
      <c r="D155" s="501"/>
      <c r="E155" s="504"/>
      <c r="F155" s="486"/>
      <c r="G155" s="486"/>
      <c r="H155" s="486"/>
      <c r="I155" s="486"/>
      <c r="J155" s="486"/>
      <c r="K155" s="486"/>
      <c r="L155" s="486"/>
    </row>
    <row r="156" spans="1:12" x14ac:dyDescent="0.2">
      <c r="A156" s="400" t="s">
        <v>130</v>
      </c>
      <c r="B156" s="400"/>
      <c r="C156" s="400"/>
      <c r="D156" s="501"/>
      <c r="E156" s="504"/>
      <c r="F156" s="511">
        <f ca="1">F12/'Cost Input'!$J25</f>
        <v>0.67859441355732208</v>
      </c>
      <c r="G156" s="511">
        <f ca="1">G12/'Cost Input'!$J25</f>
        <v>1.0193739039363068</v>
      </c>
      <c r="H156" s="511">
        <f ca="1">H12/'Cost Input'!$J25</f>
        <v>1.3592728353110581</v>
      </c>
      <c r="I156" s="511">
        <f ca="1">I12/'Cost Input'!$J25</f>
        <v>1.6992236610830629</v>
      </c>
      <c r="J156" s="511">
        <f ca="1">J12/'Cost Input'!$J25</f>
        <v>2.0392259225460148</v>
      </c>
      <c r="K156" s="511">
        <f ca="1">K12/'Cost Input'!$J25</f>
        <v>2.3792792853882281</v>
      </c>
      <c r="L156" s="511">
        <f ca="1">L12/'Cost Input'!$J25</f>
        <v>2.7193834976829185</v>
      </c>
    </row>
    <row r="157" spans="1:12" x14ac:dyDescent="0.2">
      <c r="A157" s="400" t="s">
        <v>66</v>
      </c>
      <c r="B157" s="400"/>
      <c r="C157" s="400"/>
      <c r="D157" s="501">
        <f>'Cost Input'!D105</f>
        <v>10800</v>
      </c>
      <c r="E157" s="504">
        <f>'Cost Input'!E105</f>
        <v>0.4</v>
      </c>
      <c r="F157" s="486">
        <f t="shared" ref="F157:L159" ca="1" si="74">$D157*F$156^$E157</f>
        <v>9248.4268846912564</v>
      </c>
      <c r="G157" s="486">
        <f t="shared" ca="1" si="74"/>
        <v>10883.213777748382</v>
      </c>
      <c r="H157" s="486">
        <f t="shared" ca="1" si="74"/>
        <v>12210.864458825965</v>
      </c>
      <c r="I157" s="486">
        <f t="shared" ca="1" si="74"/>
        <v>13351.312903636339</v>
      </c>
      <c r="J157" s="486">
        <f t="shared" ca="1" si="74"/>
        <v>14361.83367303048</v>
      </c>
      <c r="K157" s="486">
        <f t="shared" ca="1" si="74"/>
        <v>15275.728288055237</v>
      </c>
      <c r="L157" s="486">
        <f t="shared" ca="1" si="74"/>
        <v>16114.318327427982</v>
      </c>
    </row>
    <row r="158" spans="1:12" x14ac:dyDescent="0.2">
      <c r="A158" s="400" t="s">
        <v>68</v>
      </c>
      <c r="B158" s="400"/>
      <c r="C158" s="400"/>
      <c r="D158" s="501">
        <f>'Cost Input'!D106</f>
        <v>5</v>
      </c>
      <c r="E158" s="504">
        <f>'Cost Input'!E106</f>
        <v>0.6</v>
      </c>
      <c r="F158" s="510">
        <f t="shared" ca="1" si="74"/>
        <v>3.9621979812319941</v>
      </c>
      <c r="G158" s="510">
        <f t="shared" ca="1" si="74"/>
        <v>5.0578985157037879</v>
      </c>
      <c r="H158" s="510">
        <f t="shared" ca="1" si="74"/>
        <v>6.0111004715758174</v>
      </c>
      <c r="I158" s="510">
        <f t="shared" ca="1" si="74"/>
        <v>6.872588363463068</v>
      </c>
      <c r="J158" s="510">
        <f t="shared" ca="1" si="74"/>
        <v>7.6674192393880327</v>
      </c>
      <c r="K158" s="510">
        <f t="shared" ca="1" si="74"/>
        <v>8.4107990786553408</v>
      </c>
      <c r="L158" s="510">
        <f t="shared" ca="1" si="74"/>
        <v>9.1128092353079335</v>
      </c>
    </row>
    <row r="159" spans="1:12" x14ac:dyDescent="0.2">
      <c r="A159" s="400" t="s">
        <v>69</v>
      </c>
      <c r="B159" s="400"/>
      <c r="C159" s="400"/>
      <c r="D159" s="501">
        <f>'Cost Input'!D107</f>
        <v>225</v>
      </c>
      <c r="E159" s="504">
        <f>'Cost Input'!E107</f>
        <v>0.6</v>
      </c>
      <c r="F159" s="486">
        <f t="shared" ca="1" si="74"/>
        <v>178.29890915543973</v>
      </c>
      <c r="G159" s="486">
        <f t="shared" ca="1" si="74"/>
        <v>227.60543320667045</v>
      </c>
      <c r="H159" s="486">
        <f t="shared" ca="1" si="74"/>
        <v>270.49952122091179</v>
      </c>
      <c r="I159" s="486">
        <f t="shared" ca="1" si="74"/>
        <v>309.26647635583805</v>
      </c>
      <c r="J159" s="486">
        <f t="shared" ca="1" si="74"/>
        <v>345.03386577246147</v>
      </c>
      <c r="K159" s="486">
        <f t="shared" ca="1" si="74"/>
        <v>378.48595853949035</v>
      </c>
      <c r="L159" s="486">
        <f t="shared" ca="1" si="74"/>
        <v>410.076415588857</v>
      </c>
    </row>
    <row r="160" spans="1:12" x14ac:dyDescent="0.2">
      <c r="A160" s="400" t="s">
        <v>226</v>
      </c>
      <c r="B160" s="400"/>
      <c r="C160" s="400"/>
      <c r="D160" s="501"/>
      <c r="E160" s="504"/>
      <c r="F160" s="296"/>
      <c r="G160" s="296"/>
      <c r="H160" s="296"/>
      <c r="I160" s="296"/>
      <c r="J160" s="296"/>
      <c r="K160" s="296"/>
      <c r="L160" s="296"/>
    </row>
    <row r="161" spans="1:12" x14ac:dyDescent="0.2">
      <c r="A161" s="400" t="s">
        <v>133</v>
      </c>
      <c r="B161" s="400"/>
      <c r="C161" s="400"/>
      <c r="D161" s="501"/>
      <c r="E161" s="504"/>
      <c r="F161" s="296"/>
      <c r="G161" s="296"/>
      <c r="H161" s="296"/>
      <c r="I161" s="296"/>
      <c r="J161" s="296"/>
      <c r="K161" s="296"/>
      <c r="L161" s="296"/>
    </row>
    <row r="162" spans="1:12" x14ac:dyDescent="0.2">
      <c r="A162" s="400" t="s">
        <v>130</v>
      </c>
      <c r="B162" s="400"/>
      <c r="C162" s="400"/>
      <c r="D162" s="501"/>
      <c r="E162" s="504"/>
      <c r="F162" s="511">
        <f t="shared" ref="F162:K162" ca="1" si="75">F144</f>
        <v>0.82055552976912827</v>
      </c>
      <c r="G162" s="511">
        <f t="shared" ca="1" si="75"/>
        <v>1.0046564233330098</v>
      </c>
      <c r="H162" s="511">
        <f t="shared" ca="1" si="75"/>
        <v>1.3396479739024723</v>
      </c>
      <c r="I162" s="511">
        <f t="shared" ca="1" si="75"/>
        <v>1.6746906696300892</v>
      </c>
      <c r="J162" s="511">
        <f t="shared" ca="1" si="75"/>
        <v>2.0097840584322491</v>
      </c>
      <c r="K162" s="511">
        <f t="shared" ca="1" si="75"/>
        <v>2.3449278108239788</v>
      </c>
      <c r="L162" s="511">
        <f t="shared" ref="L162" ca="1" si="76">L144</f>
        <v>2.6801216785157536</v>
      </c>
    </row>
    <row r="163" spans="1:12" x14ac:dyDescent="0.2">
      <c r="A163" s="400" t="s">
        <v>66</v>
      </c>
      <c r="B163" s="400"/>
      <c r="C163" s="400"/>
      <c r="D163" s="501">
        <f>'Cost Input'!D111</f>
        <v>14400</v>
      </c>
      <c r="E163" s="504">
        <f>'Cost Input'!E111</f>
        <v>0.5</v>
      </c>
      <c r="F163" s="486">
        <f t="shared" ref="F163:L165" ca="1" si="77">$D163*F$162^$E163</f>
        <v>13044.170907072878</v>
      </c>
      <c r="G163" s="486">
        <f t="shared" ca="1" si="77"/>
        <v>14433.487310498906</v>
      </c>
      <c r="H163" s="486">
        <f t="shared" ca="1" si="77"/>
        <v>16667.015445736426</v>
      </c>
      <c r="I163" s="486">
        <f t="shared" ca="1" si="77"/>
        <v>18635.01696415904</v>
      </c>
      <c r="J163" s="486">
        <f t="shared" ca="1" si="77"/>
        <v>20414.426819200951</v>
      </c>
      <c r="K163" s="486">
        <f t="shared" ca="1" si="77"/>
        <v>22050.946257529635</v>
      </c>
      <c r="L163" s="486">
        <f t="shared" ca="1" si="77"/>
        <v>23574.351131198218</v>
      </c>
    </row>
    <row r="164" spans="1:12" x14ac:dyDescent="0.2">
      <c r="A164" s="400" t="s">
        <v>68</v>
      </c>
      <c r="B164" s="400"/>
      <c r="C164" s="400"/>
      <c r="D164" s="509">
        <f>'Cost Input'!D112</f>
        <v>1</v>
      </c>
      <c r="E164" s="504">
        <f>'Cost Input'!E112</f>
        <v>0.7</v>
      </c>
      <c r="F164" s="510">
        <f t="shared" ca="1" si="77"/>
        <v>0.87071411259641984</v>
      </c>
      <c r="G164" s="510">
        <f t="shared" ca="1" si="77"/>
        <v>1.003257224275393</v>
      </c>
      <c r="H164" s="510">
        <f t="shared" ca="1" si="77"/>
        <v>1.2271382240047533</v>
      </c>
      <c r="I164" s="510">
        <f t="shared" ca="1" si="77"/>
        <v>1.4346772791805822</v>
      </c>
      <c r="J164" s="510">
        <f t="shared" ca="1" si="77"/>
        <v>1.6300637066326804</v>
      </c>
      <c r="K164" s="510">
        <f t="shared" ca="1" si="77"/>
        <v>1.8158945875468693</v>
      </c>
      <c r="L164" s="510">
        <f t="shared" ca="1" si="77"/>
        <v>1.9939219675466533</v>
      </c>
    </row>
    <row r="165" spans="1:12" x14ac:dyDescent="0.2">
      <c r="A165" s="400" t="s">
        <v>69</v>
      </c>
      <c r="B165" s="400"/>
      <c r="C165" s="400"/>
      <c r="D165" s="501">
        <f>'Cost Input'!D113</f>
        <v>225</v>
      </c>
      <c r="E165" s="504">
        <f>'Cost Input'!E113</f>
        <v>0.6</v>
      </c>
      <c r="F165" s="486">
        <f t="shared" ca="1" si="77"/>
        <v>199.82384162288182</v>
      </c>
      <c r="G165" s="486">
        <f t="shared" ca="1" si="77"/>
        <v>225.62803299702003</v>
      </c>
      <c r="H165" s="486">
        <f t="shared" ca="1" si="77"/>
        <v>268.14946392027213</v>
      </c>
      <c r="I165" s="486">
        <f t="shared" ca="1" si="77"/>
        <v>306.57961784561695</v>
      </c>
      <c r="J165" s="486">
        <f t="shared" ca="1" si="77"/>
        <v>342.03626580789711</v>
      </c>
      <c r="K165" s="486">
        <f t="shared" ca="1" si="77"/>
        <v>375.19773205376254</v>
      </c>
      <c r="L165" s="486">
        <f t="shared" ca="1" si="77"/>
        <v>406.51373618031317</v>
      </c>
    </row>
    <row r="166" spans="1:12" x14ac:dyDescent="0.2">
      <c r="A166" s="400" t="s">
        <v>134</v>
      </c>
      <c r="B166" s="400"/>
      <c r="C166" s="400"/>
      <c r="D166" s="501"/>
      <c r="E166" s="504"/>
      <c r="F166" s="400"/>
      <c r="G166" s="400"/>
      <c r="H166" s="400"/>
      <c r="I166" s="400"/>
      <c r="J166" s="400"/>
      <c r="K166" s="400"/>
      <c r="L166" s="400"/>
    </row>
    <row r="167" spans="1:12" x14ac:dyDescent="0.2">
      <c r="A167" s="400" t="s">
        <v>130</v>
      </c>
      <c r="B167" s="400"/>
      <c r="C167" s="400"/>
      <c r="D167" s="501"/>
      <c r="E167" s="504"/>
      <c r="F167" s="514">
        <f t="shared" ref="F167:K167" ca="1" si="78">F150</f>
        <v>0.82055552976912827</v>
      </c>
      <c r="G167" s="514">
        <f t="shared" ca="1" si="78"/>
        <v>1.0046564233330098</v>
      </c>
      <c r="H167" s="514">
        <f t="shared" ca="1" si="78"/>
        <v>1.3396479739024723</v>
      </c>
      <c r="I167" s="514">
        <f t="shared" ca="1" si="78"/>
        <v>1.6746906696300892</v>
      </c>
      <c r="J167" s="514">
        <f t="shared" ca="1" si="78"/>
        <v>2.0097840584322491</v>
      </c>
      <c r="K167" s="514">
        <f t="shared" ca="1" si="78"/>
        <v>2.3449278108239788</v>
      </c>
      <c r="L167" s="514">
        <f t="shared" ref="L167" ca="1" si="79">L150</f>
        <v>2.6801216785157536</v>
      </c>
    </row>
    <row r="168" spans="1:12" x14ac:dyDescent="0.2">
      <c r="A168" s="400" t="s">
        <v>66</v>
      </c>
      <c r="B168" s="400"/>
      <c r="C168" s="400"/>
      <c r="D168" s="501">
        <f>'Cost Input'!D116</f>
        <v>7200</v>
      </c>
      <c r="E168" s="504">
        <f>'Cost Input'!E116</f>
        <v>0.5</v>
      </c>
      <c r="F168" s="486">
        <f t="shared" ref="F168:L170" ca="1" si="80">$D168*F$167^$E168</f>
        <v>6522.0854535364388</v>
      </c>
      <c r="G168" s="486">
        <f t="shared" ca="1" si="80"/>
        <v>7216.7436552494528</v>
      </c>
      <c r="H168" s="486">
        <f t="shared" ca="1" si="80"/>
        <v>8333.507722868213</v>
      </c>
      <c r="I168" s="486">
        <f t="shared" ca="1" si="80"/>
        <v>9317.50848207952</v>
      </c>
      <c r="J168" s="486">
        <f t="shared" ca="1" si="80"/>
        <v>10207.213409600476</v>
      </c>
      <c r="K168" s="486">
        <f t="shared" ca="1" si="80"/>
        <v>11025.473128764817</v>
      </c>
      <c r="L168" s="486">
        <f t="shared" ca="1" si="80"/>
        <v>11787.175565599109</v>
      </c>
    </row>
    <row r="169" spans="1:12" x14ac:dyDescent="0.2">
      <c r="A169" s="400" t="s">
        <v>68</v>
      </c>
      <c r="B169" s="400"/>
      <c r="C169" s="400"/>
      <c r="D169" s="509">
        <f>'Cost Input'!D117</f>
        <v>1</v>
      </c>
      <c r="E169" s="504">
        <f>'Cost Input'!E117</f>
        <v>0.7</v>
      </c>
      <c r="F169" s="510">
        <f t="shared" ca="1" si="80"/>
        <v>0.87071411259641984</v>
      </c>
      <c r="G169" s="510">
        <f t="shared" ca="1" si="80"/>
        <v>1.003257224275393</v>
      </c>
      <c r="H169" s="510">
        <f t="shared" ca="1" si="80"/>
        <v>1.2271382240047533</v>
      </c>
      <c r="I169" s="510">
        <f t="shared" ca="1" si="80"/>
        <v>1.4346772791805822</v>
      </c>
      <c r="J169" s="510">
        <f t="shared" ca="1" si="80"/>
        <v>1.6300637066326804</v>
      </c>
      <c r="K169" s="510">
        <f t="shared" ca="1" si="80"/>
        <v>1.8158945875468693</v>
      </c>
      <c r="L169" s="510">
        <f t="shared" ca="1" si="80"/>
        <v>1.9939219675466533</v>
      </c>
    </row>
    <row r="170" spans="1:12" x14ac:dyDescent="0.2">
      <c r="A170" s="400" t="s">
        <v>69</v>
      </c>
      <c r="B170" s="400"/>
      <c r="C170" s="400"/>
      <c r="D170" s="501">
        <f>'Cost Input'!D118</f>
        <v>225</v>
      </c>
      <c r="E170" s="504">
        <f>'Cost Input'!E118</f>
        <v>0.6</v>
      </c>
      <c r="F170" s="486">
        <f t="shared" ca="1" si="80"/>
        <v>199.82384162288182</v>
      </c>
      <c r="G170" s="486">
        <f t="shared" ca="1" si="80"/>
        <v>225.62803299702003</v>
      </c>
      <c r="H170" s="486">
        <f t="shared" ca="1" si="80"/>
        <v>268.14946392027213</v>
      </c>
      <c r="I170" s="486">
        <f t="shared" ca="1" si="80"/>
        <v>306.57961784561695</v>
      </c>
      <c r="J170" s="486">
        <f t="shared" ca="1" si="80"/>
        <v>342.03626580789711</v>
      </c>
      <c r="K170" s="486">
        <f t="shared" ca="1" si="80"/>
        <v>375.19773205376254</v>
      </c>
      <c r="L170" s="486">
        <f t="shared" ca="1" si="80"/>
        <v>406.51373618031317</v>
      </c>
    </row>
    <row r="171" spans="1:12" x14ac:dyDescent="0.2">
      <c r="A171" s="400" t="s">
        <v>231</v>
      </c>
      <c r="B171" s="400"/>
      <c r="C171" s="400"/>
      <c r="D171" s="401"/>
      <c r="E171" s="515"/>
      <c r="F171" s="296"/>
      <c r="G171" s="296"/>
      <c r="H171" s="296"/>
      <c r="I171" s="296"/>
      <c r="J171" s="296"/>
      <c r="K171" s="296"/>
      <c r="L171" s="296"/>
    </row>
    <row r="172" spans="1:12" x14ac:dyDescent="0.2">
      <c r="A172" s="400" t="s">
        <v>130</v>
      </c>
      <c r="B172" s="400"/>
      <c r="C172" s="400"/>
      <c r="D172" s="401"/>
      <c r="E172" s="515"/>
      <c r="F172" s="516">
        <f t="shared" ref="F172:K172" ca="1" si="81">F162</f>
        <v>0.82055552976912827</v>
      </c>
      <c r="G172" s="516">
        <f t="shared" ca="1" si="81"/>
        <v>1.0046564233330098</v>
      </c>
      <c r="H172" s="516">
        <f t="shared" ca="1" si="81"/>
        <v>1.3396479739024723</v>
      </c>
      <c r="I172" s="516">
        <f t="shared" ca="1" si="81"/>
        <v>1.6746906696300892</v>
      </c>
      <c r="J172" s="516">
        <f t="shared" ca="1" si="81"/>
        <v>2.0097840584322491</v>
      </c>
      <c r="K172" s="516">
        <f t="shared" ca="1" si="81"/>
        <v>2.3449278108239788</v>
      </c>
      <c r="L172" s="516">
        <f t="shared" ref="L172" ca="1" si="82">L162</f>
        <v>2.6801216785157536</v>
      </c>
    </row>
    <row r="173" spans="1:12" x14ac:dyDescent="0.2">
      <c r="A173" s="400" t="s">
        <v>66</v>
      </c>
      <c r="B173" s="400"/>
      <c r="C173" s="400"/>
      <c r="D173" s="486">
        <f>'Cost Input'!D121</f>
        <v>28800</v>
      </c>
      <c r="E173" s="510">
        <f>'Cost Input'!E121</f>
        <v>0.7</v>
      </c>
      <c r="F173" s="486">
        <f t="shared" ref="F173:L175" ca="1" si="83">$D173*F$172^$E173</f>
        <v>25076.56644277689</v>
      </c>
      <c r="G173" s="486">
        <f t="shared" ca="1" si="83"/>
        <v>28893.808059131319</v>
      </c>
      <c r="H173" s="486">
        <f t="shared" ca="1" si="83"/>
        <v>35341.58085133689</v>
      </c>
      <c r="I173" s="486">
        <f t="shared" ca="1" si="83"/>
        <v>41318.705640400767</v>
      </c>
      <c r="J173" s="486">
        <f t="shared" ca="1" si="83"/>
        <v>46945.834751021197</v>
      </c>
      <c r="K173" s="486">
        <f t="shared" ca="1" si="83"/>
        <v>52297.764121349835</v>
      </c>
      <c r="L173" s="486">
        <f t="shared" ca="1" si="83"/>
        <v>57424.952665343611</v>
      </c>
    </row>
    <row r="174" spans="1:12" x14ac:dyDescent="0.2">
      <c r="A174" s="400" t="s">
        <v>68</v>
      </c>
      <c r="B174" s="400"/>
      <c r="C174" s="400"/>
      <c r="D174" s="510">
        <f>'Cost Input'!D122</f>
        <v>1.5</v>
      </c>
      <c r="E174" s="510">
        <f>'Cost Input'!E122</f>
        <v>0.7</v>
      </c>
      <c r="F174" s="510">
        <f t="shared" ca="1" si="83"/>
        <v>1.3060711688946298</v>
      </c>
      <c r="G174" s="510">
        <f t="shared" ca="1" si="83"/>
        <v>1.5048858364130895</v>
      </c>
      <c r="H174" s="510">
        <f t="shared" ca="1" si="83"/>
        <v>1.8407073360071298</v>
      </c>
      <c r="I174" s="510">
        <f t="shared" ca="1" si="83"/>
        <v>2.1520159187708732</v>
      </c>
      <c r="J174" s="510">
        <f t="shared" ca="1" si="83"/>
        <v>2.4450955599490207</v>
      </c>
      <c r="K174" s="510">
        <f t="shared" ca="1" si="83"/>
        <v>2.723841881320304</v>
      </c>
      <c r="L174" s="510">
        <f t="shared" ca="1" si="83"/>
        <v>2.9908829513199802</v>
      </c>
    </row>
    <row r="175" spans="1:12" x14ac:dyDescent="0.2">
      <c r="A175" s="400" t="s">
        <v>69</v>
      </c>
      <c r="B175" s="400"/>
      <c r="C175" s="400"/>
      <c r="D175" s="486">
        <f>'Cost Input'!D123</f>
        <v>900</v>
      </c>
      <c r="E175" s="510">
        <f>'Cost Input'!E123</f>
        <v>0.6</v>
      </c>
      <c r="F175" s="486">
        <f t="shared" ca="1" si="83"/>
        <v>799.29536649152726</v>
      </c>
      <c r="G175" s="486">
        <f t="shared" ca="1" si="83"/>
        <v>902.51213198808011</v>
      </c>
      <c r="H175" s="486">
        <f t="shared" ca="1" si="83"/>
        <v>1072.5978556810885</v>
      </c>
      <c r="I175" s="486">
        <f t="shared" ca="1" si="83"/>
        <v>1226.3184713824678</v>
      </c>
      <c r="J175" s="486">
        <f t="shared" ca="1" si="83"/>
        <v>1368.1450632315884</v>
      </c>
      <c r="K175" s="486">
        <f t="shared" ca="1" si="83"/>
        <v>1500.7909282150501</v>
      </c>
      <c r="L175" s="486">
        <f t="shared" ca="1" si="83"/>
        <v>1626.0549447212527</v>
      </c>
    </row>
    <row r="176" spans="1:12" x14ac:dyDescent="0.2">
      <c r="A176" s="400" t="s">
        <v>135</v>
      </c>
      <c r="B176" s="400"/>
      <c r="C176" s="400"/>
      <c r="D176" s="486"/>
      <c r="E176" s="510"/>
      <c r="F176" s="296"/>
      <c r="G176" s="296"/>
      <c r="H176" s="296"/>
      <c r="I176" s="296"/>
      <c r="J176" s="296"/>
      <c r="K176" s="296"/>
      <c r="L176" s="296"/>
    </row>
    <row r="177" spans="1:12" x14ac:dyDescent="0.2">
      <c r="A177" s="400" t="s">
        <v>130</v>
      </c>
      <c r="B177" s="400"/>
      <c r="C177" s="400"/>
      <c r="D177" s="486"/>
      <c r="E177" s="510"/>
      <c r="F177" s="511">
        <f t="shared" ref="F177:K177" ca="1" si="84">F172</f>
        <v>0.82055552976912827</v>
      </c>
      <c r="G177" s="511">
        <f t="shared" ca="1" si="84"/>
        <v>1.0046564233330098</v>
      </c>
      <c r="H177" s="511">
        <f t="shared" ca="1" si="84"/>
        <v>1.3396479739024723</v>
      </c>
      <c r="I177" s="511">
        <f t="shared" ca="1" si="84"/>
        <v>1.6746906696300892</v>
      </c>
      <c r="J177" s="511">
        <f t="shared" ca="1" si="84"/>
        <v>2.0097840584322491</v>
      </c>
      <c r="K177" s="511">
        <f t="shared" ca="1" si="84"/>
        <v>2.3449278108239788</v>
      </c>
      <c r="L177" s="511">
        <f t="shared" ref="L177" ca="1" si="85">L172</f>
        <v>2.6801216785157536</v>
      </c>
    </row>
    <row r="178" spans="1:12" x14ac:dyDescent="0.2">
      <c r="A178" s="400" t="s">
        <v>66</v>
      </c>
      <c r="B178" s="400"/>
      <c r="C178" s="400"/>
      <c r="D178" s="486">
        <f>'Cost Input'!D126</f>
        <v>28800</v>
      </c>
      <c r="E178" s="510">
        <f>'Cost Input'!E126</f>
        <v>0.5</v>
      </c>
      <c r="F178" s="486">
        <f t="shared" ref="F178:L180" ca="1" si="86">$D178*F$177^$E178</f>
        <v>26088.341814145755</v>
      </c>
      <c r="G178" s="486">
        <f t="shared" ca="1" si="86"/>
        <v>28866.974620997811</v>
      </c>
      <c r="H178" s="486">
        <f t="shared" ca="1" si="86"/>
        <v>33334.030891472852</v>
      </c>
      <c r="I178" s="486">
        <f t="shared" ca="1" si="86"/>
        <v>37270.03392831808</v>
      </c>
      <c r="J178" s="486">
        <f t="shared" ca="1" si="86"/>
        <v>40828.853638401903</v>
      </c>
      <c r="K178" s="486">
        <f t="shared" ca="1" si="86"/>
        <v>44101.892515059269</v>
      </c>
      <c r="L178" s="486">
        <f t="shared" ca="1" si="86"/>
        <v>47148.702262396437</v>
      </c>
    </row>
    <row r="179" spans="1:12" x14ac:dyDescent="0.2">
      <c r="A179" s="400" t="s">
        <v>68</v>
      </c>
      <c r="B179" s="400"/>
      <c r="C179" s="400"/>
      <c r="D179" s="510">
        <f>'Cost Input'!D127</f>
        <v>2</v>
      </c>
      <c r="E179" s="510">
        <f>'Cost Input'!E127</f>
        <v>0.7</v>
      </c>
      <c r="F179" s="510">
        <f t="shared" ca="1" si="86"/>
        <v>1.7414282251928397</v>
      </c>
      <c r="G179" s="510">
        <f t="shared" ca="1" si="86"/>
        <v>2.006514448550786</v>
      </c>
      <c r="H179" s="510">
        <f t="shared" ca="1" si="86"/>
        <v>2.4542764480095065</v>
      </c>
      <c r="I179" s="510">
        <f t="shared" ca="1" si="86"/>
        <v>2.8693545583611644</v>
      </c>
      <c r="J179" s="510">
        <f t="shared" ca="1" si="86"/>
        <v>3.2601274132653608</v>
      </c>
      <c r="K179" s="510">
        <f t="shared" ca="1" si="86"/>
        <v>3.6317891750937386</v>
      </c>
      <c r="L179" s="510">
        <f t="shared" ca="1" si="86"/>
        <v>3.9878439350933066</v>
      </c>
    </row>
    <row r="180" spans="1:12" x14ac:dyDescent="0.2">
      <c r="A180" s="400" t="s">
        <v>69</v>
      </c>
      <c r="B180" s="400"/>
      <c r="C180" s="400"/>
      <c r="D180" s="486">
        <f>'Cost Input'!D128</f>
        <v>300</v>
      </c>
      <c r="E180" s="510">
        <f>'Cost Input'!E128</f>
        <v>0.6</v>
      </c>
      <c r="F180" s="486">
        <f t="shared" ca="1" si="86"/>
        <v>266.43178883050911</v>
      </c>
      <c r="G180" s="486">
        <f t="shared" ca="1" si="86"/>
        <v>300.83737732936004</v>
      </c>
      <c r="H180" s="486">
        <f t="shared" ca="1" si="86"/>
        <v>357.53261856036289</v>
      </c>
      <c r="I180" s="486">
        <f t="shared" ca="1" si="86"/>
        <v>408.7728237941559</v>
      </c>
      <c r="J180" s="486">
        <f t="shared" ca="1" si="86"/>
        <v>456.0483544105295</v>
      </c>
      <c r="K180" s="486">
        <f t="shared" ca="1" si="86"/>
        <v>500.26364273835003</v>
      </c>
      <c r="L180" s="486">
        <f t="shared" ca="1" si="86"/>
        <v>542.01831490708423</v>
      </c>
    </row>
    <row r="181" spans="1:12" x14ac:dyDescent="0.2">
      <c r="A181" s="399" t="s">
        <v>305</v>
      </c>
      <c r="B181" s="400"/>
      <c r="C181" s="400"/>
      <c r="D181" s="486"/>
      <c r="E181" s="510"/>
      <c r="F181" s="486"/>
      <c r="G181" s="486"/>
      <c r="H181" s="486"/>
      <c r="I181" s="486"/>
      <c r="J181" s="486"/>
      <c r="K181" s="486"/>
      <c r="L181" s="486"/>
    </row>
    <row r="182" spans="1:12" x14ac:dyDescent="0.2">
      <c r="A182" s="400" t="s">
        <v>130</v>
      </c>
      <c r="B182" s="400"/>
      <c r="C182" s="400"/>
      <c r="D182" s="486"/>
      <c r="E182" s="510"/>
      <c r="F182" s="511">
        <f t="shared" ref="F182:K182" ca="1" si="87">F177</f>
        <v>0.82055552976912827</v>
      </c>
      <c r="G182" s="511">
        <f t="shared" ca="1" si="87"/>
        <v>1.0046564233330098</v>
      </c>
      <c r="H182" s="511">
        <f t="shared" ca="1" si="87"/>
        <v>1.3396479739024723</v>
      </c>
      <c r="I182" s="511">
        <f t="shared" ca="1" si="87"/>
        <v>1.6746906696300892</v>
      </c>
      <c r="J182" s="511">
        <f t="shared" ca="1" si="87"/>
        <v>2.0097840584322491</v>
      </c>
      <c r="K182" s="511">
        <f t="shared" ca="1" si="87"/>
        <v>2.3449278108239788</v>
      </c>
      <c r="L182" s="511">
        <f t="shared" ref="L182" ca="1" si="88">L177</f>
        <v>2.6801216785157536</v>
      </c>
    </row>
    <row r="183" spans="1:12" x14ac:dyDescent="0.2">
      <c r="A183" s="400" t="s">
        <v>66</v>
      </c>
      <c r="B183" s="400"/>
      <c r="C183" s="400"/>
      <c r="D183" s="486">
        <f>'Cost Input'!D131</f>
        <v>14400</v>
      </c>
      <c r="E183" s="510">
        <f>'Cost Input'!E131</f>
        <v>0.5</v>
      </c>
      <c r="F183" s="486">
        <f t="shared" ref="F183:L185" ca="1" si="89">$D183*F$182^$E183</f>
        <v>13044.170907072878</v>
      </c>
      <c r="G183" s="486">
        <f t="shared" ca="1" si="89"/>
        <v>14433.487310498906</v>
      </c>
      <c r="H183" s="486">
        <f t="shared" ca="1" si="89"/>
        <v>16667.015445736426</v>
      </c>
      <c r="I183" s="486">
        <f t="shared" ca="1" si="89"/>
        <v>18635.01696415904</v>
      </c>
      <c r="J183" s="486">
        <f t="shared" ca="1" si="89"/>
        <v>20414.426819200951</v>
      </c>
      <c r="K183" s="486">
        <f t="shared" ca="1" si="89"/>
        <v>22050.946257529635</v>
      </c>
      <c r="L183" s="486">
        <f t="shared" ca="1" si="89"/>
        <v>23574.351131198218</v>
      </c>
    </row>
    <row r="184" spans="1:12" x14ac:dyDescent="0.2">
      <c r="A184" s="400" t="s">
        <v>68</v>
      </c>
      <c r="B184" s="400"/>
      <c r="C184" s="400"/>
      <c r="D184" s="510">
        <f>'Cost Input'!D132</f>
        <v>1.6</v>
      </c>
      <c r="E184" s="510">
        <f>'Cost Input'!E132</f>
        <v>0.7</v>
      </c>
      <c r="F184" s="510">
        <f t="shared" ca="1" si="89"/>
        <v>1.3931425801542718</v>
      </c>
      <c r="G184" s="510">
        <f t="shared" ca="1" si="89"/>
        <v>1.6052115588406288</v>
      </c>
      <c r="H184" s="510">
        <f t="shared" ca="1" si="89"/>
        <v>1.9634211584076053</v>
      </c>
      <c r="I184" s="510">
        <f t="shared" ca="1" si="89"/>
        <v>2.2954836466889317</v>
      </c>
      <c r="J184" s="510">
        <f t="shared" ca="1" si="89"/>
        <v>2.608101930612289</v>
      </c>
      <c r="K184" s="510">
        <f t="shared" ca="1" si="89"/>
        <v>2.9054313400749909</v>
      </c>
      <c r="L184" s="510">
        <f t="shared" ca="1" si="89"/>
        <v>3.1902751480746456</v>
      </c>
    </row>
    <row r="185" spans="1:12" x14ac:dyDescent="0.2">
      <c r="A185" s="400" t="s">
        <v>69</v>
      </c>
      <c r="B185" s="400"/>
      <c r="C185" s="400"/>
      <c r="D185" s="486">
        <f>'Cost Input'!D133</f>
        <v>300</v>
      </c>
      <c r="E185" s="510">
        <f>'Cost Input'!E133</f>
        <v>0.6</v>
      </c>
      <c r="F185" s="486">
        <f t="shared" ca="1" si="89"/>
        <v>266.43178883050911</v>
      </c>
      <c r="G185" s="486">
        <f t="shared" ca="1" si="89"/>
        <v>300.83737732936004</v>
      </c>
      <c r="H185" s="486">
        <f t="shared" ca="1" si="89"/>
        <v>357.53261856036289</v>
      </c>
      <c r="I185" s="486">
        <f t="shared" ca="1" si="89"/>
        <v>408.7728237941559</v>
      </c>
      <c r="J185" s="486">
        <f t="shared" ca="1" si="89"/>
        <v>456.0483544105295</v>
      </c>
      <c r="K185" s="486">
        <f t="shared" ca="1" si="89"/>
        <v>500.26364273835003</v>
      </c>
      <c r="L185" s="486">
        <f t="shared" ca="1" si="89"/>
        <v>542.01831490708423</v>
      </c>
    </row>
    <row r="186" spans="1:12" x14ac:dyDescent="0.2">
      <c r="A186" s="399" t="s">
        <v>306</v>
      </c>
      <c r="B186" s="400"/>
      <c r="C186" s="400"/>
      <c r="D186" s="486"/>
      <c r="E186" s="510"/>
      <c r="F186" s="486"/>
      <c r="G186" s="486"/>
      <c r="H186" s="486"/>
      <c r="I186" s="486"/>
      <c r="J186" s="486"/>
      <c r="K186" s="486"/>
      <c r="L186" s="486"/>
    </row>
    <row r="187" spans="1:12" x14ac:dyDescent="0.2">
      <c r="A187" s="400" t="s">
        <v>130</v>
      </c>
      <c r="B187" s="400"/>
      <c r="C187" s="400"/>
      <c r="D187" s="486"/>
      <c r="E187" s="510"/>
      <c r="F187" s="511">
        <f t="shared" ref="F187:K187" ca="1" si="90">F126</f>
        <v>0.46007873470311988</v>
      </c>
      <c r="G187" s="511">
        <f t="shared" ca="1" si="90"/>
        <v>0.69011810205467949</v>
      </c>
      <c r="H187" s="511">
        <f t="shared" ca="1" si="90"/>
        <v>0.92015746940623921</v>
      </c>
      <c r="I187" s="511">
        <f t="shared" ca="1" si="90"/>
        <v>1.1501968367578013</v>
      </c>
      <c r="J187" s="511">
        <f t="shared" ca="1" si="90"/>
        <v>1.3802362041093597</v>
      </c>
      <c r="K187" s="511">
        <f t="shared" ca="1" si="90"/>
        <v>1.6102755714609176</v>
      </c>
      <c r="L187" s="511">
        <f t="shared" ref="L187" ca="1" si="91">L126</f>
        <v>1.8403149388124795</v>
      </c>
    </row>
    <row r="188" spans="1:12" x14ac:dyDescent="0.2">
      <c r="A188" s="400" t="s">
        <v>66</v>
      </c>
      <c r="B188" s="400"/>
      <c r="C188" s="400"/>
      <c r="D188" s="486">
        <f>'Cost Input'!D136</f>
        <v>28800</v>
      </c>
      <c r="E188" s="510">
        <f>'Cost Input'!E136</f>
        <v>0.5</v>
      </c>
      <c r="F188" s="486">
        <f t="shared" ref="F188:L190" ca="1" si="92">$D188*F$187^$E188</f>
        <v>19534.781946880179</v>
      </c>
      <c r="G188" s="486">
        <f t="shared" ca="1" si="92"/>
        <v>23925.124003194494</v>
      </c>
      <c r="H188" s="486">
        <f t="shared" ca="1" si="92"/>
        <v>27626.353567279035</v>
      </c>
      <c r="I188" s="486">
        <f t="shared" ca="1" si="92"/>
        <v>30887.202273439896</v>
      </c>
      <c r="J188" s="486">
        <f t="shared" ca="1" si="92"/>
        <v>33835.23484677574</v>
      </c>
      <c r="K188" s="486">
        <f t="shared" ca="1" si="92"/>
        <v>36546.230585281206</v>
      </c>
      <c r="L188" s="486">
        <f t="shared" ca="1" si="92"/>
        <v>39069.563893760358</v>
      </c>
    </row>
    <row r="189" spans="1:12" x14ac:dyDescent="0.2">
      <c r="A189" s="400" t="s">
        <v>68</v>
      </c>
      <c r="B189" s="400"/>
      <c r="C189" s="400"/>
      <c r="D189" s="510">
        <f>'Cost Input'!D137</f>
        <v>1.5</v>
      </c>
      <c r="E189" s="510">
        <f>'Cost Input'!E137</f>
        <v>0.7</v>
      </c>
      <c r="F189" s="510">
        <f t="shared" ca="1" si="92"/>
        <v>0.87111154828599968</v>
      </c>
      <c r="G189" s="510">
        <f t="shared" ca="1" si="92"/>
        <v>1.1570114385624219</v>
      </c>
      <c r="H189" s="510">
        <f t="shared" ca="1" si="92"/>
        <v>1.4151248851777867</v>
      </c>
      <c r="I189" s="510">
        <f t="shared" ca="1" si="92"/>
        <v>1.6543666904221155</v>
      </c>
      <c r="J189" s="510">
        <f t="shared" ca="1" si="92"/>
        <v>1.8795706271678057</v>
      </c>
      <c r="K189" s="510">
        <f t="shared" ca="1" si="92"/>
        <v>2.0937335018183729</v>
      </c>
      <c r="L189" s="510">
        <f t="shared" ca="1" si="92"/>
        <v>2.2988771582580005</v>
      </c>
    </row>
    <row r="190" spans="1:12" x14ac:dyDescent="0.2">
      <c r="A190" s="400" t="s">
        <v>69</v>
      </c>
      <c r="B190" s="400"/>
      <c r="C190" s="400"/>
      <c r="D190" s="486">
        <f>'Cost Input'!D138</f>
        <v>300</v>
      </c>
      <c r="E190" s="510">
        <f>'Cost Input'!E138</f>
        <v>0.6</v>
      </c>
      <c r="F190" s="486">
        <f t="shared" ca="1" si="92"/>
        <v>188.28709322012415</v>
      </c>
      <c r="G190" s="486">
        <f t="shared" ca="1" si="92"/>
        <v>240.14597184455849</v>
      </c>
      <c r="H190" s="486">
        <f t="shared" ca="1" si="92"/>
        <v>285.38986645382971</v>
      </c>
      <c r="I190" s="486">
        <f t="shared" ca="1" si="92"/>
        <v>326.27556924550373</v>
      </c>
      <c r="J190" s="486">
        <f t="shared" ca="1" si="92"/>
        <v>363.99322790553703</v>
      </c>
      <c r="K190" s="486">
        <f t="shared" ca="1" si="92"/>
        <v>399.26512531770618</v>
      </c>
      <c r="L190" s="486">
        <f t="shared" ca="1" si="92"/>
        <v>432.57014849825993</v>
      </c>
    </row>
    <row r="191" spans="1:12" x14ac:dyDescent="0.2">
      <c r="A191" s="399" t="s">
        <v>299</v>
      </c>
      <c r="B191" s="400"/>
      <c r="C191" s="400"/>
      <c r="D191" s="486"/>
      <c r="E191" s="510"/>
      <c r="F191" s="486"/>
      <c r="G191" s="486"/>
      <c r="H191" s="486"/>
      <c r="I191" s="486"/>
      <c r="J191" s="486"/>
      <c r="K191" s="486"/>
      <c r="L191" s="486"/>
    </row>
    <row r="192" spans="1:12" x14ac:dyDescent="0.2">
      <c r="A192" s="400" t="s">
        <v>283</v>
      </c>
      <c r="B192" s="400"/>
      <c r="C192" s="400"/>
      <c r="D192" s="486"/>
      <c r="E192" s="510"/>
      <c r="F192" s="296"/>
      <c r="G192" s="296"/>
      <c r="H192" s="296"/>
      <c r="I192" s="296"/>
      <c r="J192" s="296"/>
      <c r="K192" s="296"/>
      <c r="L192" s="296"/>
    </row>
    <row r="193" spans="1:12" x14ac:dyDescent="0.2">
      <c r="A193" s="400" t="s">
        <v>130</v>
      </c>
      <c r="B193" s="400"/>
      <c r="C193" s="400"/>
      <c r="D193" s="486"/>
      <c r="E193" s="510"/>
      <c r="F193" s="511">
        <f>F8/'Cost Input'!$J21</f>
        <v>1.6000000000000003</v>
      </c>
      <c r="G193" s="511">
        <f>G8/'Cost Input'!$J21</f>
        <v>1.6000000000000003</v>
      </c>
      <c r="H193" s="511">
        <f>H8/'Cost Input'!$J21</f>
        <v>1.6000000000000003</v>
      </c>
      <c r="I193" s="511">
        <f>I8/'Cost Input'!$J21</f>
        <v>1.6000000000000003</v>
      </c>
      <c r="J193" s="511">
        <f>J8/'Cost Input'!$J21</f>
        <v>1.6000000000000003</v>
      </c>
      <c r="K193" s="511">
        <f>K8/'Cost Input'!$J21</f>
        <v>1.6000000000000003</v>
      </c>
      <c r="L193" s="511">
        <f>L8/'Cost Input'!$J21</f>
        <v>1.6000000000000003</v>
      </c>
    </row>
    <row r="194" spans="1:12" x14ac:dyDescent="0.2">
      <c r="A194" s="400" t="s">
        <v>233</v>
      </c>
      <c r="B194" s="400"/>
      <c r="C194" s="400"/>
      <c r="D194" s="486">
        <f>'Cost Input'!I76</f>
        <v>40</v>
      </c>
      <c r="E194" s="510">
        <f>'Cost Input'!J76</f>
        <v>0.3</v>
      </c>
      <c r="F194" s="517">
        <f ca="1">'Battery Design'!F79</f>
        <v>10.603037711833156</v>
      </c>
      <c r="G194" s="517">
        <f ca="1">'Battery Design'!G79</f>
        <v>15.927717249004788</v>
      </c>
      <c r="H194" s="517">
        <f ca="1">'Battery Design'!H79</f>
        <v>21.238638051735272</v>
      </c>
      <c r="I194" s="517">
        <f ca="1">'Battery Design'!I79</f>
        <v>26.550369704422842</v>
      </c>
      <c r="J194" s="517">
        <f ca="1">'Battery Design'!J79</f>
        <v>31.862905039781463</v>
      </c>
      <c r="K194" s="517">
        <f ca="1">'Battery Design'!K79</f>
        <v>37.176238834191054</v>
      </c>
      <c r="L194" s="517">
        <f ca="1">'Battery Design'!L79</f>
        <v>42.49036715129558</v>
      </c>
    </row>
    <row r="195" spans="1:12" x14ac:dyDescent="0.2">
      <c r="A195" s="400" t="s">
        <v>66</v>
      </c>
      <c r="B195" s="400"/>
      <c r="C195" s="400"/>
      <c r="D195" s="486">
        <f>'Cost Input'!I77</f>
        <v>36000</v>
      </c>
      <c r="E195" s="510">
        <f>'Cost Input'!J77</f>
        <v>0.7</v>
      </c>
      <c r="F195" s="486">
        <f t="shared" ref="F195:L195" si="93">$D195*F$193^$E195</f>
        <v>50024.929887926985</v>
      </c>
      <c r="G195" s="486">
        <f t="shared" si="93"/>
        <v>50024.929887926985</v>
      </c>
      <c r="H195" s="486">
        <f t="shared" si="93"/>
        <v>50024.929887926985</v>
      </c>
      <c r="I195" s="486">
        <f t="shared" si="93"/>
        <v>50024.929887926985</v>
      </c>
      <c r="J195" s="486">
        <f t="shared" si="93"/>
        <v>50024.929887926985</v>
      </c>
      <c r="K195" s="486">
        <f t="shared" si="93"/>
        <v>50024.929887926985</v>
      </c>
      <c r="L195" s="486">
        <f t="shared" si="93"/>
        <v>50024.929887926985</v>
      </c>
    </row>
    <row r="196" spans="1:12" x14ac:dyDescent="0.2">
      <c r="A196" s="400" t="s">
        <v>68</v>
      </c>
      <c r="B196" s="400"/>
      <c r="C196" s="400"/>
      <c r="D196" s="510">
        <f>'Cost Input'!I78</f>
        <v>4</v>
      </c>
      <c r="E196" s="510">
        <f>'Cost Input'!J78</f>
        <v>0.8</v>
      </c>
      <c r="F196" s="510">
        <f t="shared" ref="F196:K196" ca="1" si="94">$D196*F$193^$E196*(F194/$D194)^$E194</f>
        <v>3.9117137972245049</v>
      </c>
      <c r="G196" s="510">
        <f t="shared" ca="1" si="94"/>
        <v>4.4196109538180268</v>
      </c>
      <c r="H196" s="510">
        <f t="shared" ca="1" si="94"/>
        <v>4.8181018816743677</v>
      </c>
      <c r="I196" s="510">
        <f t="shared" ca="1" si="94"/>
        <v>5.1518018641170267</v>
      </c>
      <c r="J196" s="510">
        <f t="shared" ca="1" si="94"/>
        <v>5.4415621131692768</v>
      </c>
      <c r="K196" s="510">
        <f t="shared" ca="1" si="94"/>
        <v>5.6992487797944982</v>
      </c>
      <c r="L196" s="510">
        <f t="shared" ref="L196" ca="1" si="95">$D196*L$193^$E196*(L194/$D194)^$E194</f>
        <v>5.9323275889125524</v>
      </c>
    </row>
    <row r="197" spans="1:12" x14ac:dyDescent="0.2">
      <c r="A197" s="400" t="s">
        <v>69</v>
      </c>
      <c r="B197" s="400"/>
      <c r="C197" s="400"/>
      <c r="D197" s="486">
        <f>'Cost Input'!I79</f>
        <v>600</v>
      </c>
      <c r="E197" s="510">
        <f>'Cost Input'!J79</f>
        <v>0.8</v>
      </c>
      <c r="F197" s="486">
        <f t="shared" ref="F197:L197" si="96">$D197*F$193^$E197</f>
        <v>873.87081745251862</v>
      </c>
      <c r="G197" s="486">
        <f t="shared" si="96"/>
        <v>873.87081745251862</v>
      </c>
      <c r="H197" s="486">
        <f t="shared" si="96"/>
        <v>873.87081745251862</v>
      </c>
      <c r="I197" s="486">
        <f t="shared" si="96"/>
        <v>873.87081745251862</v>
      </c>
      <c r="J197" s="486">
        <f t="shared" si="96"/>
        <v>873.87081745251862</v>
      </c>
      <c r="K197" s="486">
        <f t="shared" si="96"/>
        <v>873.87081745251862</v>
      </c>
      <c r="L197" s="486">
        <f t="shared" si="96"/>
        <v>873.87081745251862</v>
      </c>
    </row>
    <row r="198" spans="1:12" x14ac:dyDescent="0.2">
      <c r="A198" s="400" t="s">
        <v>136</v>
      </c>
      <c r="B198" s="400"/>
      <c r="C198" s="400"/>
      <c r="D198" s="486"/>
      <c r="E198" s="510"/>
      <c r="F198" s="296"/>
      <c r="G198" s="296"/>
      <c r="H198" s="296"/>
      <c r="I198" s="296"/>
      <c r="J198" s="296"/>
      <c r="K198" s="296"/>
      <c r="L198" s="296"/>
    </row>
    <row r="199" spans="1:12" x14ac:dyDescent="0.2">
      <c r="A199" s="400" t="s">
        <v>130</v>
      </c>
      <c r="B199" s="400"/>
      <c r="C199" s="400"/>
      <c r="D199" s="486"/>
      <c r="E199" s="510"/>
      <c r="F199" s="511">
        <f t="shared" ref="F199:K199" si="97">F193</f>
        <v>1.6000000000000003</v>
      </c>
      <c r="G199" s="511">
        <f t="shared" si="97"/>
        <v>1.6000000000000003</v>
      </c>
      <c r="H199" s="511">
        <f t="shared" si="97"/>
        <v>1.6000000000000003</v>
      </c>
      <c r="I199" s="511">
        <f t="shared" si="97"/>
        <v>1.6000000000000003</v>
      </c>
      <c r="J199" s="511">
        <f t="shared" si="97"/>
        <v>1.6000000000000003</v>
      </c>
      <c r="K199" s="511">
        <f t="shared" si="97"/>
        <v>1.6000000000000003</v>
      </c>
      <c r="L199" s="511">
        <f t="shared" ref="L199" si="98">L193</f>
        <v>1.6000000000000003</v>
      </c>
    </row>
    <row r="200" spans="1:12" x14ac:dyDescent="0.2">
      <c r="A200" s="400" t="s">
        <v>66</v>
      </c>
      <c r="B200" s="400"/>
      <c r="C200" s="400"/>
      <c r="D200" s="486">
        <f>'Cost Input'!I82</f>
        <v>36000</v>
      </c>
      <c r="E200" s="510">
        <f>'Cost Input'!J82</f>
        <v>0.7</v>
      </c>
      <c r="F200" s="486">
        <f t="shared" ref="F200:L202" si="99">$D200*F$199^$E200</f>
        <v>50024.929887926985</v>
      </c>
      <c r="G200" s="486">
        <f t="shared" si="99"/>
        <v>50024.929887926985</v>
      </c>
      <c r="H200" s="486">
        <f t="shared" si="99"/>
        <v>50024.929887926985</v>
      </c>
      <c r="I200" s="486">
        <f t="shared" si="99"/>
        <v>50024.929887926985</v>
      </c>
      <c r="J200" s="486">
        <f t="shared" si="99"/>
        <v>50024.929887926985</v>
      </c>
      <c r="K200" s="486">
        <f t="shared" si="99"/>
        <v>50024.929887926985</v>
      </c>
      <c r="L200" s="486">
        <f t="shared" si="99"/>
        <v>50024.929887926985</v>
      </c>
    </row>
    <row r="201" spans="1:12" x14ac:dyDescent="0.2">
      <c r="A201" s="400" t="s">
        <v>68</v>
      </c>
      <c r="B201" s="400"/>
      <c r="C201" s="400"/>
      <c r="D201" s="510">
        <f>'Cost Input'!I83</f>
        <v>4</v>
      </c>
      <c r="E201" s="510">
        <f>'Cost Input'!J83</f>
        <v>0.8</v>
      </c>
      <c r="F201" s="510">
        <f t="shared" si="99"/>
        <v>5.8258054496834575</v>
      </c>
      <c r="G201" s="510">
        <f t="shared" si="99"/>
        <v>5.8258054496834575</v>
      </c>
      <c r="H201" s="510">
        <f t="shared" si="99"/>
        <v>5.8258054496834575</v>
      </c>
      <c r="I201" s="510">
        <f t="shared" si="99"/>
        <v>5.8258054496834575</v>
      </c>
      <c r="J201" s="510">
        <f t="shared" si="99"/>
        <v>5.8258054496834575</v>
      </c>
      <c r="K201" s="510">
        <f t="shared" si="99"/>
        <v>5.8258054496834575</v>
      </c>
      <c r="L201" s="510">
        <f t="shared" si="99"/>
        <v>5.8258054496834575</v>
      </c>
    </row>
    <row r="202" spans="1:12" x14ac:dyDescent="0.2">
      <c r="A202" s="400" t="s">
        <v>69</v>
      </c>
      <c r="B202" s="400"/>
      <c r="C202" s="400"/>
      <c r="D202" s="486">
        <f>'Cost Input'!I84</f>
        <v>600</v>
      </c>
      <c r="E202" s="510">
        <f>'Cost Input'!J84</f>
        <v>0.8</v>
      </c>
      <c r="F202" s="486">
        <f t="shared" si="99"/>
        <v>873.87081745251862</v>
      </c>
      <c r="G202" s="486">
        <f t="shared" si="99"/>
        <v>873.87081745251862</v>
      </c>
      <c r="H202" s="486">
        <f t="shared" si="99"/>
        <v>873.87081745251862</v>
      </c>
      <c r="I202" s="486">
        <f t="shared" si="99"/>
        <v>873.87081745251862</v>
      </c>
      <c r="J202" s="486">
        <f t="shared" si="99"/>
        <v>873.87081745251862</v>
      </c>
      <c r="K202" s="486">
        <f t="shared" si="99"/>
        <v>873.87081745251862</v>
      </c>
      <c r="L202" s="486">
        <f t="shared" si="99"/>
        <v>873.87081745251862</v>
      </c>
    </row>
    <row r="203" spans="1:12" x14ac:dyDescent="0.2">
      <c r="A203" s="400" t="s">
        <v>232</v>
      </c>
      <c r="B203" s="400"/>
      <c r="C203" s="400"/>
      <c r="D203" s="486"/>
      <c r="E203" s="510"/>
      <c r="F203" s="296"/>
      <c r="G203" s="296"/>
      <c r="H203" s="296"/>
      <c r="I203" s="296"/>
      <c r="J203" s="296"/>
      <c r="K203" s="296"/>
      <c r="L203" s="296"/>
    </row>
    <row r="204" spans="1:12" x14ac:dyDescent="0.2">
      <c r="A204" s="400" t="s">
        <v>130</v>
      </c>
      <c r="B204" s="400"/>
      <c r="C204" s="400"/>
      <c r="D204" s="486"/>
      <c r="E204" s="510"/>
      <c r="F204" s="511">
        <f t="shared" ref="F204:K204" si="100">F199</f>
        <v>1.6000000000000003</v>
      </c>
      <c r="G204" s="511">
        <f t="shared" si="100"/>
        <v>1.6000000000000003</v>
      </c>
      <c r="H204" s="511">
        <f t="shared" si="100"/>
        <v>1.6000000000000003</v>
      </c>
      <c r="I204" s="511">
        <f t="shared" si="100"/>
        <v>1.6000000000000003</v>
      </c>
      <c r="J204" s="511">
        <f t="shared" si="100"/>
        <v>1.6000000000000003</v>
      </c>
      <c r="K204" s="511">
        <f t="shared" si="100"/>
        <v>1.6000000000000003</v>
      </c>
      <c r="L204" s="511">
        <f t="shared" ref="L204" si="101">L199</f>
        <v>1.6000000000000003</v>
      </c>
    </row>
    <row r="205" spans="1:12" x14ac:dyDescent="0.2">
      <c r="A205" s="400" t="s">
        <v>66</v>
      </c>
      <c r="B205" s="400"/>
      <c r="C205" s="400"/>
      <c r="D205" s="486">
        <f>'Cost Input'!I87</f>
        <v>21600</v>
      </c>
      <c r="E205" s="510">
        <f>'Cost Input'!J87</f>
        <v>0.5</v>
      </c>
      <c r="F205" s="486">
        <f t="shared" ref="F205:L207" si="102">$D205*F$204^$E205</f>
        <v>27322.078983854797</v>
      </c>
      <c r="G205" s="486">
        <f t="shared" si="102"/>
        <v>27322.078983854797</v>
      </c>
      <c r="H205" s="486">
        <f t="shared" si="102"/>
        <v>27322.078983854797</v>
      </c>
      <c r="I205" s="486">
        <f t="shared" si="102"/>
        <v>27322.078983854797</v>
      </c>
      <c r="J205" s="486">
        <f t="shared" si="102"/>
        <v>27322.078983854797</v>
      </c>
      <c r="K205" s="486">
        <f t="shared" si="102"/>
        <v>27322.078983854797</v>
      </c>
      <c r="L205" s="486">
        <f t="shared" si="102"/>
        <v>27322.078983854797</v>
      </c>
    </row>
    <row r="206" spans="1:12" x14ac:dyDescent="0.2">
      <c r="A206" s="400" t="s">
        <v>68</v>
      </c>
      <c r="B206" s="400"/>
      <c r="C206" s="400"/>
      <c r="D206" s="510">
        <f>'Cost Input'!I88</f>
        <v>3</v>
      </c>
      <c r="E206" s="510">
        <f>'Cost Input'!J88</f>
        <v>0.7</v>
      </c>
      <c r="F206" s="510">
        <f t="shared" si="102"/>
        <v>4.1687441573272483</v>
      </c>
      <c r="G206" s="510">
        <f t="shared" si="102"/>
        <v>4.1687441573272483</v>
      </c>
      <c r="H206" s="510">
        <f t="shared" si="102"/>
        <v>4.1687441573272483</v>
      </c>
      <c r="I206" s="510">
        <f t="shared" si="102"/>
        <v>4.1687441573272483</v>
      </c>
      <c r="J206" s="510">
        <f t="shared" si="102"/>
        <v>4.1687441573272483</v>
      </c>
      <c r="K206" s="510">
        <f t="shared" si="102"/>
        <v>4.1687441573272483</v>
      </c>
      <c r="L206" s="510">
        <f t="shared" si="102"/>
        <v>4.1687441573272483</v>
      </c>
    </row>
    <row r="207" spans="1:12" x14ac:dyDescent="0.2">
      <c r="A207" s="400" t="s">
        <v>69</v>
      </c>
      <c r="B207" s="400"/>
      <c r="C207" s="400"/>
      <c r="D207" s="486">
        <f>'Cost Input'!I89</f>
        <v>600</v>
      </c>
      <c r="E207" s="510">
        <f>'Cost Input'!J89</f>
        <v>0.6</v>
      </c>
      <c r="F207" s="486">
        <f t="shared" si="102"/>
        <v>795.46896416159689</v>
      </c>
      <c r="G207" s="486">
        <f t="shared" si="102"/>
        <v>795.46896416159689</v>
      </c>
      <c r="H207" s="486">
        <f t="shared" si="102"/>
        <v>795.46896416159689</v>
      </c>
      <c r="I207" s="486">
        <f t="shared" si="102"/>
        <v>795.46896416159689</v>
      </c>
      <c r="J207" s="486">
        <f t="shared" si="102"/>
        <v>795.46896416159689</v>
      </c>
      <c r="K207" s="486">
        <f t="shared" si="102"/>
        <v>795.46896416159689</v>
      </c>
      <c r="L207" s="486">
        <f t="shared" si="102"/>
        <v>795.46896416159689</v>
      </c>
    </row>
    <row r="208" spans="1:12" x14ac:dyDescent="0.2">
      <c r="A208" s="400" t="s">
        <v>137</v>
      </c>
      <c r="B208" s="400"/>
      <c r="C208" s="400"/>
      <c r="D208" s="486"/>
      <c r="E208" s="510"/>
      <c r="F208" s="296"/>
      <c r="G208" s="296"/>
      <c r="H208" s="296"/>
      <c r="I208" s="296"/>
      <c r="J208" s="296"/>
      <c r="K208" s="296"/>
      <c r="L208" s="296"/>
    </row>
    <row r="209" spans="1:14" x14ac:dyDescent="0.2">
      <c r="A209" s="400" t="s">
        <v>130</v>
      </c>
      <c r="B209" s="400"/>
      <c r="C209" s="400"/>
      <c r="D209" s="486"/>
      <c r="E209" s="510"/>
      <c r="F209" s="511">
        <f t="shared" ref="F209:K209" si="103">F204</f>
        <v>1.6000000000000003</v>
      </c>
      <c r="G209" s="511">
        <f t="shared" si="103"/>
        <v>1.6000000000000003</v>
      </c>
      <c r="H209" s="511">
        <f t="shared" si="103"/>
        <v>1.6000000000000003</v>
      </c>
      <c r="I209" s="511">
        <f t="shared" si="103"/>
        <v>1.6000000000000003</v>
      </c>
      <c r="J209" s="511">
        <f t="shared" si="103"/>
        <v>1.6000000000000003</v>
      </c>
      <c r="K209" s="511">
        <f t="shared" si="103"/>
        <v>1.6000000000000003</v>
      </c>
      <c r="L209" s="511">
        <f t="shared" ref="L209" si="104">L204</f>
        <v>1.6000000000000003</v>
      </c>
    </row>
    <row r="210" spans="1:14" x14ac:dyDescent="0.2">
      <c r="A210" s="400" t="s">
        <v>66</v>
      </c>
      <c r="B210" s="400"/>
      <c r="C210" s="400"/>
      <c r="D210" s="486">
        <f>'Cost Input'!I92</f>
        <v>36000</v>
      </c>
      <c r="E210" s="510">
        <f>'Cost Input'!J92</f>
        <v>0.5</v>
      </c>
      <c r="F210" s="486">
        <f t="shared" ref="F210:L212" si="105">$D210*F$209^$E210</f>
        <v>45536.798306424665</v>
      </c>
      <c r="G210" s="486">
        <f t="shared" si="105"/>
        <v>45536.798306424665</v>
      </c>
      <c r="H210" s="486">
        <f t="shared" si="105"/>
        <v>45536.798306424665</v>
      </c>
      <c r="I210" s="486">
        <f t="shared" si="105"/>
        <v>45536.798306424665</v>
      </c>
      <c r="J210" s="486">
        <f t="shared" si="105"/>
        <v>45536.798306424665</v>
      </c>
      <c r="K210" s="486">
        <f t="shared" si="105"/>
        <v>45536.798306424665</v>
      </c>
      <c r="L210" s="486">
        <f t="shared" si="105"/>
        <v>45536.798306424665</v>
      </c>
    </row>
    <row r="211" spans="1:14" x14ac:dyDescent="0.2">
      <c r="A211" s="400" t="s">
        <v>68</v>
      </c>
      <c r="B211" s="400"/>
      <c r="C211" s="400"/>
      <c r="D211" s="510">
        <f>'Cost Input'!I93</f>
        <v>5</v>
      </c>
      <c r="E211" s="510">
        <f>'Cost Input'!J93</f>
        <v>0.7</v>
      </c>
      <c r="F211" s="510">
        <f t="shared" si="105"/>
        <v>6.9479069288787478</v>
      </c>
      <c r="G211" s="510">
        <f t="shared" si="105"/>
        <v>6.9479069288787478</v>
      </c>
      <c r="H211" s="510">
        <f t="shared" si="105"/>
        <v>6.9479069288787478</v>
      </c>
      <c r="I211" s="510">
        <f t="shared" si="105"/>
        <v>6.9479069288787478</v>
      </c>
      <c r="J211" s="510">
        <f t="shared" si="105"/>
        <v>6.9479069288787478</v>
      </c>
      <c r="K211" s="510">
        <f t="shared" si="105"/>
        <v>6.9479069288787478</v>
      </c>
      <c r="L211" s="510">
        <f t="shared" si="105"/>
        <v>6.9479069288787478</v>
      </c>
    </row>
    <row r="212" spans="1:14" x14ac:dyDescent="0.2">
      <c r="A212" s="400" t="s">
        <v>69</v>
      </c>
      <c r="B212" s="400"/>
      <c r="C212" s="400"/>
      <c r="D212" s="486">
        <f>'Cost Input'!I94</f>
        <v>900</v>
      </c>
      <c r="E212" s="510">
        <f>'Cost Input'!J94</f>
        <v>0.6</v>
      </c>
      <c r="F212" s="486">
        <f t="shared" si="105"/>
        <v>1193.2034462423953</v>
      </c>
      <c r="G212" s="486">
        <f t="shared" si="105"/>
        <v>1193.2034462423953</v>
      </c>
      <c r="H212" s="486">
        <f t="shared" si="105"/>
        <v>1193.2034462423953</v>
      </c>
      <c r="I212" s="486">
        <f t="shared" si="105"/>
        <v>1193.2034462423953</v>
      </c>
      <c r="J212" s="486">
        <f t="shared" si="105"/>
        <v>1193.2034462423953</v>
      </c>
      <c r="K212" s="486">
        <f t="shared" si="105"/>
        <v>1193.2034462423953</v>
      </c>
      <c r="L212" s="486">
        <f t="shared" si="105"/>
        <v>1193.2034462423953</v>
      </c>
    </row>
    <row r="213" spans="1:14" x14ac:dyDescent="0.2">
      <c r="A213" s="400" t="s">
        <v>309</v>
      </c>
      <c r="B213" s="400"/>
      <c r="C213" s="400"/>
      <c r="D213" s="486"/>
      <c r="E213" s="510"/>
      <c r="F213" s="486"/>
      <c r="G213" s="486"/>
      <c r="H213" s="486"/>
      <c r="I213" s="486"/>
      <c r="J213" s="486"/>
      <c r="K213" s="486"/>
      <c r="L213" s="486"/>
    </row>
    <row r="214" spans="1:14" x14ac:dyDescent="0.2">
      <c r="A214" s="400" t="s">
        <v>130</v>
      </c>
      <c r="B214" s="400"/>
      <c r="C214" s="400"/>
      <c r="D214" s="486"/>
      <c r="E214" s="510"/>
      <c r="F214" s="511">
        <f ca="1">F13/'Cost Input'!$J27</f>
        <v>1.3342819447131795</v>
      </c>
      <c r="G214" s="511">
        <f ca="1">G13/'Cost Input'!$J27</f>
        <v>1.3457504742127966</v>
      </c>
      <c r="H214" s="511">
        <f ca="1">H13/'Cost Input'!$J27</f>
        <v>1.364648887956464</v>
      </c>
      <c r="I214" s="511">
        <f ca="1">I13/'Cost Input'!$J27</f>
        <v>1.3817289563677284</v>
      </c>
      <c r="J214" s="511">
        <f ca="1">J13/'Cost Input'!$J27</f>
        <v>1.3974874665731862</v>
      </c>
      <c r="K214" s="511">
        <f ca="1">K13/'Cost Input'!$J27</f>
        <v>1.4122258960157934</v>
      </c>
      <c r="L214" s="511">
        <f ca="1">L13/'Cost Input'!$J27</f>
        <v>1.4261441200720379</v>
      </c>
    </row>
    <row r="215" spans="1:14" x14ac:dyDescent="0.2">
      <c r="A215" s="400" t="s">
        <v>66</v>
      </c>
      <c r="B215" s="400"/>
      <c r="C215" s="400"/>
      <c r="D215" s="486">
        <f>'Cost Input'!I97</f>
        <v>7200</v>
      </c>
      <c r="E215" s="510">
        <f>'Cost Input'!J97</f>
        <v>0.4</v>
      </c>
      <c r="F215" s="486">
        <f t="shared" ref="F215:L217" ca="1" si="106">$D215*F$214^$E215</f>
        <v>8080.3754434742314</v>
      </c>
      <c r="G215" s="486">
        <f t="shared" ca="1" si="106"/>
        <v>8108.0853758006015</v>
      </c>
      <c r="H215" s="486">
        <f t="shared" ca="1" si="106"/>
        <v>8153.4397568342292</v>
      </c>
      <c r="I215" s="486">
        <f t="shared" ca="1" si="106"/>
        <v>8194.1071754766253</v>
      </c>
      <c r="J215" s="486">
        <f t="shared" ca="1" si="106"/>
        <v>8231.3613080791347</v>
      </c>
      <c r="K215" s="486">
        <f t="shared" ca="1" si="106"/>
        <v>8265.9764720889216</v>
      </c>
      <c r="L215" s="486">
        <f t="shared" ca="1" si="106"/>
        <v>8298.4668358176768</v>
      </c>
      <c r="N215" s="538"/>
    </row>
    <row r="216" spans="1:14" x14ac:dyDescent="0.2">
      <c r="A216" s="400" t="s">
        <v>68</v>
      </c>
      <c r="B216" s="400"/>
      <c r="C216" s="400"/>
      <c r="D216" s="486">
        <f>'Cost Input'!I98</f>
        <v>6</v>
      </c>
      <c r="E216" s="510">
        <f>'Cost Input'!J98</f>
        <v>0.6</v>
      </c>
      <c r="F216" s="510">
        <f t="shared" ca="1" si="106"/>
        <v>7.1334531934602889</v>
      </c>
      <c r="G216" s="510">
        <f t="shared" ca="1" si="106"/>
        <v>7.1701786292861218</v>
      </c>
      <c r="H216" s="510">
        <f t="shared" ca="1" si="106"/>
        <v>7.2304246695764034</v>
      </c>
      <c r="I216" s="510">
        <f t="shared" ca="1" si="106"/>
        <v>7.2845875257439321</v>
      </c>
      <c r="J216" s="510">
        <f t="shared" ca="1" si="106"/>
        <v>7.3343225131797656</v>
      </c>
      <c r="K216" s="510">
        <f t="shared" ca="1" si="106"/>
        <v>7.3806354172291417</v>
      </c>
      <c r="L216" s="510">
        <f t="shared" ca="1" si="106"/>
        <v>7.4241937945928349</v>
      </c>
      <c r="N216" s="539"/>
    </row>
    <row r="217" spans="1:14" x14ac:dyDescent="0.2">
      <c r="A217" s="400" t="s">
        <v>69</v>
      </c>
      <c r="B217" s="400"/>
      <c r="C217" s="400"/>
      <c r="D217" s="486">
        <f>'Cost Input'!I99</f>
        <v>100</v>
      </c>
      <c r="E217" s="510">
        <f>'Cost Input'!J99</f>
        <v>0.4</v>
      </c>
      <c r="F217" s="486">
        <f t="shared" ca="1" si="106"/>
        <v>112.22743671491988</v>
      </c>
      <c r="G217" s="486">
        <f t="shared" ca="1" si="106"/>
        <v>112.61229688611947</v>
      </c>
      <c r="H217" s="486">
        <f t="shared" ca="1" si="106"/>
        <v>113.24221884491985</v>
      </c>
      <c r="I217" s="486">
        <f t="shared" ca="1" si="106"/>
        <v>113.80704410384202</v>
      </c>
      <c r="J217" s="486">
        <f t="shared" ca="1" si="106"/>
        <v>114.32446261221021</v>
      </c>
      <c r="K217" s="486">
        <f t="shared" ca="1" si="106"/>
        <v>114.80522877901281</v>
      </c>
      <c r="L217" s="486">
        <f t="shared" ca="1" si="106"/>
        <v>115.25648383080107</v>
      </c>
      <c r="N217" s="540"/>
    </row>
    <row r="218" spans="1:14" x14ac:dyDescent="0.2">
      <c r="A218" s="399" t="s">
        <v>138</v>
      </c>
      <c r="B218" s="399"/>
      <c r="C218" s="399"/>
      <c r="D218" s="486"/>
      <c r="E218" s="510"/>
      <c r="F218" s="296"/>
      <c r="G218" s="296"/>
      <c r="H218" s="296"/>
      <c r="I218" s="296"/>
      <c r="J218" s="296"/>
      <c r="K218" s="296"/>
      <c r="L218" s="296"/>
    </row>
    <row r="219" spans="1:14" x14ac:dyDescent="0.2">
      <c r="A219" s="400" t="s">
        <v>130</v>
      </c>
      <c r="B219" s="400"/>
      <c r="C219" s="400"/>
      <c r="D219" s="486"/>
      <c r="E219" s="510"/>
      <c r="F219" s="511">
        <f t="shared" ref="F219:K219" si="107">F209</f>
        <v>1.6000000000000003</v>
      </c>
      <c r="G219" s="511">
        <f t="shared" si="107"/>
        <v>1.6000000000000003</v>
      </c>
      <c r="H219" s="511">
        <f t="shared" si="107"/>
        <v>1.6000000000000003</v>
      </c>
      <c r="I219" s="511">
        <f t="shared" si="107"/>
        <v>1.6000000000000003</v>
      </c>
      <c r="J219" s="511">
        <f t="shared" si="107"/>
        <v>1.6000000000000003</v>
      </c>
      <c r="K219" s="511">
        <f t="shared" si="107"/>
        <v>1.6000000000000003</v>
      </c>
      <c r="L219" s="511">
        <f t="shared" ref="L219" si="108">L209</f>
        <v>1.6000000000000003</v>
      </c>
    </row>
    <row r="220" spans="1:14" x14ac:dyDescent="0.2">
      <c r="A220" s="400" t="s">
        <v>233</v>
      </c>
      <c r="B220" s="400"/>
      <c r="C220" s="400"/>
      <c r="D220" s="486">
        <f>'Cost Input'!I102</f>
        <v>40</v>
      </c>
      <c r="E220" s="510">
        <f>'Cost Input'!J102</f>
        <v>0.3</v>
      </c>
      <c r="F220" s="510">
        <f ca="1">'Battery Design'!F79</f>
        <v>10.603037711833156</v>
      </c>
      <c r="G220" s="510">
        <f ca="1">'Battery Design'!G79</f>
        <v>15.927717249004788</v>
      </c>
      <c r="H220" s="510">
        <f ca="1">'Battery Design'!H79</f>
        <v>21.238638051735272</v>
      </c>
      <c r="I220" s="510">
        <f ca="1">'Battery Design'!I79</f>
        <v>26.550369704422842</v>
      </c>
      <c r="J220" s="510">
        <f ca="1">'Battery Design'!J79</f>
        <v>31.862905039781463</v>
      </c>
      <c r="K220" s="510">
        <f ca="1">'Battery Design'!K79</f>
        <v>37.176238834191054</v>
      </c>
      <c r="L220" s="510">
        <f ca="1">'Battery Design'!L79</f>
        <v>42.49036715129558</v>
      </c>
    </row>
    <row r="221" spans="1:14" x14ac:dyDescent="0.2">
      <c r="A221" s="400" t="s">
        <v>66</v>
      </c>
      <c r="B221" s="400"/>
      <c r="C221" s="400"/>
      <c r="D221" s="486">
        <f>'Cost Input'!I103</f>
        <v>57600</v>
      </c>
      <c r="E221" s="510">
        <f>'Cost Input'!J103</f>
        <v>0.7</v>
      </c>
      <c r="F221" s="486">
        <f t="shared" ref="F221:L221" si="109">$D221*F$219^$E221</f>
        <v>80039.887820683172</v>
      </c>
      <c r="G221" s="486">
        <f t="shared" si="109"/>
        <v>80039.887820683172</v>
      </c>
      <c r="H221" s="486">
        <f t="shared" si="109"/>
        <v>80039.887820683172</v>
      </c>
      <c r="I221" s="486">
        <f t="shared" si="109"/>
        <v>80039.887820683172</v>
      </c>
      <c r="J221" s="486">
        <f t="shared" si="109"/>
        <v>80039.887820683172</v>
      </c>
      <c r="K221" s="486">
        <f t="shared" si="109"/>
        <v>80039.887820683172</v>
      </c>
      <c r="L221" s="486">
        <f t="shared" si="109"/>
        <v>80039.887820683172</v>
      </c>
    </row>
    <row r="222" spans="1:14" x14ac:dyDescent="0.2">
      <c r="A222" s="400" t="s">
        <v>68</v>
      </c>
      <c r="B222" s="400"/>
      <c r="C222" s="400"/>
      <c r="D222" s="486">
        <f>'Cost Input'!I104</f>
        <v>30</v>
      </c>
      <c r="E222" s="510">
        <f>'Cost Input'!J104</f>
        <v>0.8</v>
      </c>
      <c r="F222" s="510">
        <f t="shared" ref="F222:K222" ca="1" si="110">$D222*F$219^$E222*(F220/$D220)^$E220</f>
        <v>29.337853479183785</v>
      </c>
      <c r="G222" s="510">
        <f t="shared" ca="1" si="110"/>
        <v>33.147082153635203</v>
      </c>
      <c r="H222" s="510">
        <f t="shared" ca="1" si="110"/>
        <v>36.135764112557759</v>
      </c>
      <c r="I222" s="510">
        <f t="shared" ca="1" si="110"/>
        <v>38.638513980877704</v>
      </c>
      <c r="J222" s="510">
        <f t="shared" ca="1" si="110"/>
        <v>40.811715848769573</v>
      </c>
      <c r="K222" s="510">
        <f t="shared" ca="1" si="110"/>
        <v>42.744365848458735</v>
      </c>
      <c r="L222" s="510">
        <f t="shared" ref="L222" ca="1" si="111">$D222*L$219^$E222*(L220/$D220)^$E220</f>
        <v>44.492456916844148</v>
      </c>
    </row>
    <row r="223" spans="1:14" x14ac:dyDescent="0.2">
      <c r="A223" s="400" t="s">
        <v>69</v>
      </c>
      <c r="B223" s="400"/>
      <c r="C223" s="400"/>
      <c r="D223" s="486">
        <f>'Cost Input'!I105</f>
        <v>2200</v>
      </c>
      <c r="E223" s="510">
        <f>'Cost Input'!J105</f>
        <v>0.8</v>
      </c>
      <c r="F223" s="510">
        <f t="shared" ref="F223:K223" ca="1" si="112">$D223*F$219^$E223*(F220/$D220)^$E220</f>
        <v>2151.4425884734774</v>
      </c>
      <c r="G223" s="510">
        <f t="shared" ca="1" si="112"/>
        <v>2430.7860245999145</v>
      </c>
      <c r="H223" s="510">
        <f t="shared" ca="1" si="112"/>
        <v>2649.9560349209023</v>
      </c>
      <c r="I223" s="510">
        <f t="shared" ca="1" si="112"/>
        <v>2833.4910252643649</v>
      </c>
      <c r="J223" s="510">
        <f t="shared" ca="1" si="112"/>
        <v>2992.8591622431022</v>
      </c>
      <c r="K223" s="510">
        <f t="shared" ca="1" si="112"/>
        <v>3134.5868288869738</v>
      </c>
      <c r="L223" s="510">
        <f t="shared" ref="L223" ca="1" si="113">$D223*L$219^$E223*(L220/$D220)^$E220</f>
        <v>3262.7801739019042</v>
      </c>
    </row>
    <row r="224" spans="1:14" x14ac:dyDescent="0.2">
      <c r="A224" s="399" t="s">
        <v>590</v>
      </c>
      <c r="B224" s="400"/>
      <c r="C224" s="400"/>
      <c r="D224" s="486"/>
      <c r="E224" s="510"/>
      <c r="F224" s="510"/>
      <c r="G224" s="510"/>
      <c r="H224" s="510"/>
      <c r="I224" s="510"/>
      <c r="J224" s="510"/>
      <c r="K224" s="510"/>
      <c r="L224" s="510"/>
    </row>
    <row r="225" spans="1:12" x14ac:dyDescent="0.2">
      <c r="A225" s="400" t="s">
        <v>130</v>
      </c>
      <c r="B225" s="400"/>
      <c r="C225" s="400"/>
      <c r="D225" s="486"/>
      <c r="E225" s="510"/>
      <c r="F225" s="511">
        <f t="shared" ref="F225:K225" si="114">F219</f>
        <v>1.6000000000000003</v>
      </c>
      <c r="G225" s="511">
        <f t="shared" si="114"/>
        <v>1.6000000000000003</v>
      </c>
      <c r="H225" s="511">
        <f t="shared" si="114"/>
        <v>1.6000000000000003</v>
      </c>
      <c r="I225" s="511">
        <f t="shared" si="114"/>
        <v>1.6000000000000003</v>
      </c>
      <c r="J225" s="511">
        <f t="shared" si="114"/>
        <v>1.6000000000000003</v>
      </c>
      <c r="K225" s="511">
        <f t="shared" si="114"/>
        <v>1.6000000000000003</v>
      </c>
      <c r="L225" s="511">
        <f t="shared" ref="L225" si="115">L219</f>
        <v>1.6000000000000003</v>
      </c>
    </row>
    <row r="226" spans="1:12" x14ac:dyDescent="0.2">
      <c r="A226" s="400" t="s">
        <v>66</v>
      </c>
      <c r="B226" s="400"/>
      <c r="C226" s="400"/>
      <c r="D226" s="486">
        <f>'Cost Input'!I108</f>
        <v>14400</v>
      </c>
      <c r="E226" s="510">
        <f>'Cost Input'!J108</f>
        <v>0.5</v>
      </c>
      <c r="F226" s="486">
        <f t="shared" ref="F226:L228" si="116">$D226*F$225^$E226</f>
        <v>18214.719322569865</v>
      </c>
      <c r="G226" s="486">
        <f t="shared" si="116"/>
        <v>18214.719322569865</v>
      </c>
      <c r="H226" s="486">
        <f t="shared" si="116"/>
        <v>18214.719322569865</v>
      </c>
      <c r="I226" s="486">
        <f t="shared" si="116"/>
        <v>18214.719322569865</v>
      </c>
      <c r="J226" s="486">
        <f t="shared" si="116"/>
        <v>18214.719322569865</v>
      </c>
      <c r="K226" s="486">
        <f t="shared" si="116"/>
        <v>18214.719322569865</v>
      </c>
      <c r="L226" s="486">
        <f t="shared" si="116"/>
        <v>18214.719322569865</v>
      </c>
    </row>
    <row r="227" spans="1:12" x14ac:dyDescent="0.2">
      <c r="A227" s="400" t="s">
        <v>68</v>
      </c>
      <c r="B227" s="400"/>
      <c r="C227" s="400"/>
      <c r="D227" s="510">
        <f>'Cost Input'!I109</f>
        <v>2</v>
      </c>
      <c r="E227" s="510">
        <f>'Cost Input'!J109</f>
        <v>0.7</v>
      </c>
      <c r="F227" s="510">
        <f t="shared" si="116"/>
        <v>2.779162771551499</v>
      </c>
      <c r="G227" s="510">
        <f t="shared" si="116"/>
        <v>2.779162771551499</v>
      </c>
      <c r="H227" s="510">
        <f t="shared" si="116"/>
        <v>2.779162771551499</v>
      </c>
      <c r="I227" s="510">
        <f t="shared" si="116"/>
        <v>2.779162771551499</v>
      </c>
      <c r="J227" s="510">
        <f t="shared" si="116"/>
        <v>2.779162771551499</v>
      </c>
      <c r="K227" s="510">
        <f t="shared" si="116"/>
        <v>2.779162771551499</v>
      </c>
      <c r="L227" s="510">
        <f t="shared" si="116"/>
        <v>2.779162771551499</v>
      </c>
    </row>
    <row r="228" spans="1:12" x14ac:dyDescent="0.2">
      <c r="A228" s="400" t="s">
        <v>69</v>
      </c>
      <c r="B228" s="400"/>
      <c r="C228" s="400"/>
      <c r="D228" s="486">
        <f>'Cost Input'!I110</f>
        <v>450</v>
      </c>
      <c r="E228" s="510">
        <f>'Cost Input'!J110</f>
        <v>0.6</v>
      </c>
      <c r="F228" s="486">
        <f t="shared" si="116"/>
        <v>596.60172312119767</v>
      </c>
      <c r="G228" s="486">
        <f t="shared" si="116"/>
        <v>596.60172312119767</v>
      </c>
      <c r="H228" s="486">
        <f t="shared" si="116"/>
        <v>596.60172312119767</v>
      </c>
      <c r="I228" s="486">
        <f t="shared" si="116"/>
        <v>596.60172312119767</v>
      </c>
      <c r="J228" s="486">
        <f t="shared" si="116"/>
        <v>596.60172312119767</v>
      </c>
      <c r="K228" s="486">
        <f t="shared" si="116"/>
        <v>596.60172312119767</v>
      </c>
      <c r="L228" s="486">
        <f t="shared" si="116"/>
        <v>596.60172312119767</v>
      </c>
    </row>
    <row r="229" spans="1:12" x14ac:dyDescent="0.2">
      <c r="A229" s="399" t="s">
        <v>591</v>
      </c>
      <c r="B229" s="400"/>
      <c r="C229" s="400"/>
      <c r="D229" s="486"/>
      <c r="E229" s="510"/>
      <c r="F229" s="510"/>
      <c r="G229" s="510"/>
      <c r="H229" s="510"/>
      <c r="I229" s="510"/>
      <c r="J229" s="510"/>
      <c r="K229" s="510"/>
      <c r="L229" s="510"/>
    </row>
    <row r="230" spans="1:12" x14ac:dyDescent="0.2">
      <c r="A230" s="400" t="s">
        <v>130</v>
      </c>
      <c r="B230" s="400"/>
      <c r="C230" s="400"/>
      <c r="D230" s="486"/>
      <c r="E230" s="510"/>
      <c r="F230" s="511">
        <f t="shared" ref="F230:K230" si="117">F225</f>
        <v>1.6000000000000003</v>
      </c>
      <c r="G230" s="511">
        <f t="shared" si="117"/>
        <v>1.6000000000000003</v>
      </c>
      <c r="H230" s="511">
        <f t="shared" si="117"/>
        <v>1.6000000000000003</v>
      </c>
      <c r="I230" s="511">
        <f t="shared" si="117"/>
        <v>1.6000000000000003</v>
      </c>
      <c r="J230" s="511">
        <f t="shared" si="117"/>
        <v>1.6000000000000003</v>
      </c>
      <c r="K230" s="511">
        <f t="shared" si="117"/>
        <v>1.6000000000000003</v>
      </c>
      <c r="L230" s="511">
        <f t="shared" ref="L230" si="118">L225</f>
        <v>1.6000000000000003</v>
      </c>
    </row>
    <row r="231" spans="1:12" x14ac:dyDescent="0.2">
      <c r="A231" s="400" t="s">
        <v>66</v>
      </c>
      <c r="B231" s="400"/>
      <c r="C231" s="400"/>
      <c r="D231" s="486">
        <f>'Cost Input'!I113</f>
        <v>21600</v>
      </c>
      <c r="E231" s="510">
        <f>'Cost Input'!J113</f>
        <v>0.4</v>
      </c>
      <c r="F231" s="486">
        <f t="shared" ref="F231:L233" si="119">$D231*F$230^$E231</f>
        <v>26067.641773875108</v>
      </c>
      <c r="G231" s="486">
        <f t="shared" si="119"/>
        <v>26067.641773875108</v>
      </c>
      <c r="H231" s="486">
        <f t="shared" si="119"/>
        <v>26067.641773875108</v>
      </c>
      <c r="I231" s="486">
        <f t="shared" si="119"/>
        <v>26067.641773875108</v>
      </c>
      <c r="J231" s="486">
        <f t="shared" si="119"/>
        <v>26067.641773875108</v>
      </c>
      <c r="K231" s="486">
        <f t="shared" si="119"/>
        <v>26067.641773875108</v>
      </c>
      <c r="L231" s="486">
        <f t="shared" si="119"/>
        <v>26067.641773875108</v>
      </c>
    </row>
    <row r="232" spans="1:12" x14ac:dyDescent="0.2">
      <c r="A232" s="400" t="s">
        <v>68</v>
      </c>
      <c r="B232" s="400"/>
      <c r="C232" s="400"/>
      <c r="D232" s="517">
        <f>'Cost Input'!I114</f>
        <v>4.75</v>
      </c>
      <c r="E232" s="510">
        <f>'Cost Input'!J114</f>
        <v>0.7</v>
      </c>
      <c r="F232" s="517">
        <f t="shared" si="119"/>
        <v>6.6005115824348106</v>
      </c>
      <c r="G232" s="517">
        <f t="shared" si="119"/>
        <v>6.6005115824348106</v>
      </c>
      <c r="H232" s="517">
        <f t="shared" si="119"/>
        <v>6.6005115824348106</v>
      </c>
      <c r="I232" s="517">
        <f t="shared" si="119"/>
        <v>6.6005115824348106</v>
      </c>
      <c r="J232" s="517">
        <f t="shared" si="119"/>
        <v>6.6005115824348106</v>
      </c>
      <c r="K232" s="517">
        <f t="shared" si="119"/>
        <v>6.6005115824348106</v>
      </c>
      <c r="L232" s="517">
        <f t="shared" si="119"/>
        <v>6.6005115824348106</v>
      </c>
    </row>
    <row r="233" spans="1:12" x14ac:dyDescent="0.2">
      <c r="A233" s="400" t="s">
        <v>69</v>
      </c>
      <c r="B233" s="400"/>
      <c r="C233" s="400"/>
      <c r="D233" s="486">
        <f>'Cost Input'!I115</f>
        <v>900</v>
      </c>
      <c r="E233" s="510">
        <f>'Cost Input'!J115</f>
        <v>0.6</v>
      </c>
      <c r="F233" s="486">
        <f t="shared" si="119"/>
        <v>1193.2034462423953</v>
      </c>
      <c r="G233" s="486">
        <f t="shared" si="119"/>
        <v>1193.2034462423953</v>
      </c>
      <c r="H233" s="486">
        <f t="shared" si="119"/>
        <v>1193.2034462423953</v>
      </c>
      <c r="I233" s="486">
        <f t="shared" si="119"/>
        <v>1193.2034462423953</v>
      </c>
      <c r="J233" s="486">
        <f t="shared" si="119"/>
        <v>1193.2034462423953</v>
      </c>
      <c r="K233" s="486">
        <f t="shared" si="119"/>
        <v>1193.2034462423953</v>
      </c>
      <c r="L233" s="486">
        <f t="shared" si="119"/>
        <v>1193.2034462423953</v>
      </c>
    </row>
    <row r="234" spans="1:12" x14ac:dyDescent="0.2">
      <c r="A234" s="399" t="s">
        <v>139</v>
      </c>
      <c r="B234" s="399"/>
      <c r="C234" s="399"/>
      <c r="D234" s="486"/>
      <c r="E234" s="510"/>
      <c r="F234" s="296"/>
      <c r="G234" s="296"/>
      <c r="H234" s="296"/>
      <c r="I234" s="296"/>
      <c r="J234" s="296"/>
      <c r="K234" s="296"/>
      <c r="L234" s="296"/>
    </row>
    <row r="235" spans="1:12" x14ac:dyDescent="0.2">
      <c r="A235" s="400" t="s">
        <v>130</v>
      </c>
      <c r="B235" s="400"/>
      <c r="C235" s="400"/>
      <c r="D235" s="486"/>
      <c r="E235" s="510"/>
      <c r="F235" s="516">
        <f t="shared" ref="F235:K235" si="120">F219</f>
        <v>1.6000000000000003</v>
      </c>
      <c r="G235" s="516">
        <f t="shared" si="120"/>
        <v>1.6000000000000003</v>
      </c>
      <c r="H235" s="516">
        <f t="shared" si="120"/>
        <v>1.6000000000000003</v>
      </c>
      <c r="I235" s="516">
        <f t="shared" si="120"/>
        <v>1.6000000000000003</v>
      </c>
      <c r="J235" s="516">
        <f t="shared" si="120"/>
        <v>1.6000000000000003</v>
      </c>
      <c r="K235" s="516">
        <f t="shared" si="120"/>
        <v>1.6000000000000003</v>
      </c>
      <c r="L235" s="516">
        <f t="shared" ref="L235" si="121">L219</f>
        <v>1.6000000000000003</v>
      </c>
    </row>
    <row r="236" spans="1:12" x14ac:dyDescent="0.2">
      <c r="A236" s="400" t="s">
        <v>66</v>
      </c>
      <c r="B236" s="400"/>
      <c r="C236" s="400"/>
      <c r="D236" s="486">
        <f>'Cost Input'!I118</f>
        <v>43200</v>
      </c>
      <c r="E236" s="510">
        <f>'Cost Input'!J118</f>
        <v>0.5</v>
      </c>
      <c r="F236" s="486">
        <f t="shared" ref="F236:L238" si="122">$D236*F$235^$E236</f>
        <v>54644.157967709594</v>
      </c>
      <c r="G236" s="486">
        <f t="shared" si="122"/>
        <v>54644.157967709594</v>
      </c>
      <c r="H236" s="486">
        <f t="shared" si="122"/>
        <v>54644.157967709594</v>
      </c>
      <c r="I236" s="486">
        <f t="shared" si="122"/>
        <v>54644.157967709594</v>
      </c>
      <c r="J236" s="486">
        <f t="shared" si="122"/>
        <v>54644.157967709594</v>
      </c>
      <c r="K236" s="486">
        <f t="shared" si="122"/>
        <v>54644.157967709594</v>
      </c>
      <c r="L236" s="486">
        <f t="shared" si="122"/>
        <v>54644.157967709594</v>
      </c>
    </row>
    <row r="237" spans="1:12" x14ac:dyDescent="0.2">
      <c r="A237" s="400" t="s">
        <v>68</v>
      </c>
      <c r="B237" s="400"/>
      <c r="C237" s="400"/>
      <c r="D237" s="510">
        <f>'Cost Input'!I119</f>
        <v>6</v>
      </c>
      <c r="E237" s="510">
        <f>'Cost Input'!J119</f>
        <v>0.7</v>
      </c>
      <c r="F237" s="510">
        <f t="shared" si="122"/>
        <v>8.3374883146544967</v>
      </c>
      <c r="G237" s="510">
        <f t="shared" si="122"/>
        <v>8.3374883146544967</v>
      </c>
      <c r="H237" s="510">
        <f t="shared" si="122"/>
        <v>8.3374883146544967</v>
      </c>
      <c r="I237" s="510">
        <f t="shared" si="122"/>
        <v>8.3374883146544967</v>
      </c>
      <c r="J237" s="510">
        <f t="shared" si="122"/>
        <v>8.3374883146544967</v>
      </c>
      <c r="K237" s="510">
        <f t="shared" si="122"/>
        <v>8.3374883146544967</v>
      </c>
      <c r="L237" s="510">
        <f t="shared" si="122"/>
        <v>8.3374883146544967</v>
      </c>
    </row>
    <row r="238" spans="1:12" x14ac:dyDescent="0.2">
      <c r="A238" s="400" t="s">
        <v>69</v>
      </c>
      <c r="B238" s="400"/>
      <c r="C238" s="400"/>
      <c r="D238" s="486">
        <f>'Cost Input'!I120</f>
        <v>600</v>
      </c>
      <c r="E238" s="510">
        <f>'Cost Input'!J120</f>
        <v>0.6</v>
      </c>
      <c r="F238" s="486">
        <f t="shared" si="122"/>
        <v>795.46896416159689</v>
      </c>
      <c r="G238" s="486">
        <f t="shared" si="122"/>
        <v>795.46896416159689</v>
      </c>
      <c r="H238" s="486">
        <f t="shared" si="122"/>
        <v>795.46896416159689</v>
      </c>
      <c r="I238" s="486">
        <f t="shared" si="122"/>
        <v>795.46896416159689</v>
      </c>
      <c r="J238" s="486">
        <f t="shared" si="122"/>
        <v>795.46896416159689</v>
      </c>
      <c r="K238" s="486">
        <f t="shared" si="122"/>
        <v>795.46896416159689</v>
      </c>
      <c r="L238" s="486">
        <f t="shared" si="122"/>
        <v>795.46896416159689</v>
      </c>
    </row>
    <row r="239" spans="1:12" x14ac:dyDescent="0.2">
      <c r="A239" s="34" t="s">
        <v>362</v>
      </c>
      <c r="B239" s="399"/>
      <c r="C239" s="399"/>
      <c r="D239" s="486"/>
      <c r="E239" s="510"/>
      <c r="F239" s="296"/>
      <c r="G239" s="296"/>
      <c r="H239" s="296"/>
      <c r="I239" s="296"/>
      <c r="J239" s="296"/>
      <c r="K239" s="296"/>
      <c r="L239" s="296"/>
    </row>
    <row r="240" spans="1:12" x14ac:dyDescent="0.2">
      <c r="A240" s="400" t="s">
        <v>130</v>
      </c>
      <c r="B240" s="400"/>
      <c r="C240" s="400"/>
      <c r="D240" s="486"/>
      <c r="E240" s="510"/>
      <c r="F240" s="516">
        <f t="shared" ref="F240:K240" si="123">F235</f>
        <v>1.6000000000000003</v>
      </c>
      <c r="G240" s="516">
        <f t="shared" si="123"/>
        <v>1.6000000000000003</v>
      </c>
      <c r="H240" s="516">
        <f t="shared" si="123"/>
        <v>1.6000000000000003</v>
      </c>
      <c r="I240" s="516">
        <f t="shared" si="123"/>
        <v>1.6000000000000003</v>
      </c>
      <c r="J240" s="516">
        <f t="shared" si="123"/>
        <v>1.6000000000000003</v>
      </c>
      <c r="K240" s="516">
        <f t="shared" si="123"/>
        <v>1.6000000000000003</v>
      </c>
      <c r="L240" s="516">
        <f t="shared" ref="L240" si="124">L235</f>
        <v>1.6000000000000003</v>
      </c>
    </row>
    <row r="241" spans="1:12" x14ac:dyDescent="0.2">
      <c r="A241" s="6" t="s">
        <v>354</v>
      </c>
      <c r="B241" s="6"/>
      <c r="C241" s="6"/>
      <c r="D241" s="69">
        <f>'Cost Input'!I123</f>
        <v>4</v>
      </c>
      <c r="E241" s="77">
        <f>'Cost Input'!J123</f>
        <v>0.3</v>
      </c>
      <c r="F241" s="70">
        <f>'Battery Design'!F63</f>
        <v>4</v>
      </c>
      <c r="G241" s="70">
        <f>'Battery Design'!G63</f>
        <v>4</v>
      </c>
      <c r="H241" s="70">
        <f>'Battery Design'!H63</f>
        <v>4</v>
      </c>
      <c r="I241" s="70">
        <f>'Battery Design'!I63</f>
        <v>4</v>
      </c>
      <c r="J241" s="70">
        <f>'Battery Design'!J63</f>
        <v>4</v>
      </c>
      <c r="K241" s="70">
        <f>'Battery Design'!K63</f>
        <v>4</v>
      </c>
      <c r="L241" s="70">
        <f>'Battery Design'!L63</f>
        <v>4</v>
      </c>
    </row>
    <row r="242" spans="1:12" x14ac:dyDescent="0.2">
      <c r="A242" s="6" t="s">
        <v>66</v>
      </c>
      <c r="B242" s="6"/>
      <c r="C242" s="6"/>
      <c r="D242" s="69">
        <f>'Cost Input'!I124</f>
        <v>43200</v>
      </c>
      <c r="E242" s="77">
        <f>'Cost Input'!J124</f>
        <v>0.5</v>
      </c>
      <c r="F242" s="69">
        <f t="shared" ref="F242:L242" si="125">$D242*F$240^$E242</f>
        <v>54644.157967709594</v>
      </c>
      <c r="G242" s="69">
        <f t="shared" si="125"/>
        <v>54644.157967709594</v>
      </c>
      <c r="H242" s="69">
        <f t="shared" si="125"/>
        <v>54644.157967709594</v>
      </c>
      <c r="I242" s="69">
        <f t="shared" si="125"/>
        <v>54644.157967709594</v>
      </c>
      <c r="J242" s="69">
        <f t="shared" si="125"/>
        <v>54644.157967709594</v>
      </c>
      <c r="K242" s="69">
        <f t="shared" si="125"/>
        <v>54644.157967709594</v>
      </c>
      <c r="L242" s="69">
        <f t="shared" si="125"/>
        <v>54644.157967709594</v>
      </c>
    </row>
    <row r="243" spans="1:12" x14ac:dyDescent="0.2">
      <c r="A243" s="6" t="s">
        <v>68</v>
      </c>
      <c r="B243" s="6"/>
      <c r="C243" s="6"/>
      <c r="D243" s="77">
        <f>'Cost Input'!I125</f>
        <v>6</v>
      </c>
      <c r="E243" s="77">
        <f>'Cost Input'!J125</f>
        <v>0.7</v>
      </c>
      <c r="F243" s="77">
        <f t="shared" ref="F243:K243" si="126">$D243*F$240^$E243*(F241/$D241)^$E241</f>
        <v>8.3374883146544967</v>
      </c>
      <c r="G243" s="77">
        <f t="shared" si="126"/>
        <v>8.3374883146544967</v>
      </c>
      <c r="H243" s="77">
        <f t="shared" si="126"/>
        <v>8.3374883146544967</v>
      </c>
      <c r="I243" s="77">
        <f t="shared" si="126"/>
        <v>8.3374883146544967</v>
      </c>
      <c r="J243" s="77">
        <f t="shared" si="126"/>
        <v>8.3374883146544967</v>
      </c>
      <c r="K243" s="77">
        <f t="shared" si="126"/>
        <v>8.3374883146544967</v>
      </c>
      <c r="L243" s="77">
        <f t="shared" ref="L243" si="127">$D243*L$240^$E243*(L241/$D241)^$E241</f>
        <v>8.3374883146544967</v>
      </c>
    </row>
    <row r="244" spans="1:12" x14ac:dyDescent="0.2">
      <c r="A244" s="6" t="s">
        <v>69</v>
      </c>
      <c r="B244" s="6"/>
      <c r="C244" s="6"/>
      <c r="D244" s="69">
        <f>'Cost Input'!I126</f>
        <v>900</v>
      </c>
      <c r="E244" s="77">
        <f>'Cost Input'!J126</f>
        <v>0.6</v>
      </c>
      <c r="F244" s="69">
        <f t="shared" ref="F244:L244" si="128">$D244*F$240^$E244</f>
        <v>1193.2034462423953</v>
      </c>
      <c r="G244" s="69">
        <f t="shared" si="128"/>
        <v>1193.2034462423953</v>
      </c>
      <c r="H244" s="69">
        <f t="shared" si="128"/>
        <v>1193.2034462423953</v>
      </c>
      <c r="I244" s="69">
        <f t="shared" si="128"/>
        <v>1193.2034462423953</v>
      </c>
      <c r="J244" s="69">
        <f t="shared" si="128"/>
        <v>1193.2034462423953</v>
      </c>
      <c r="K244" s="69">
        <f t="shared" si="128"/>
        <v>1193.2034462423953</v>
      </c>
      <c r="L244" s="69">
        <f t="shared" si="128"/>
        <v>1193.2034462423953</v>
      </c>
    </row>
    <row r="245" spans="1:12" x14ac:dyDescent="0.2">
      <c r="A245" s="4" t="s">
        <v>140</v>
      </c>
      <c r="B245" s="4"/>
      <c r="C245" s="4"/>
      <c r="D245" s="69"/>
      <c r="E245" s="77"/>
    </row>
    <row r="246" spans="1:12" x14ac:dyDescent="0.2">
      <c r="A246" s="6" t="s">
        <v>130</v>
      </c>
      <c r="B246" s="6"/>
      <c r="C246" s="6"/>
      <c r="D246" s="69"/>
      <c r="E246" s="77"/>
      <c r="F246" s="53">
        <f>(1-'Cost Input'!$E4/100)/'Cost Input'!$E4*100*F8/(100-'Cost Input'!$E4)*'Cost Input'!$E4/'Cost Input'!$J21</f>
        <v>1.6000000000000014</v>
      </c>
      <c r="G246" s="53">
        <f>(1-'Cost Input'!$E4/100)/'Cost Input'!$E4*100*G8/(100-'Cost Input'!$E4)*'Cost Input'!$E4/'Cost Input'!$J21</f>
        <v>1.6000000000000014</v>
      </c>
      <c r="H246" s="53">
        <f>(1-'Cost Input'!$E4/100)/'Cost Input'!$E4*100*H8/(100-'Cost Input'!$E4)*'Cost Input'!$E4/'Cost Input'!$J21</f>
        <v>1.6000000000000014</v>
      </c>
      <c r="I246" s="53">
        <f>(1-'Cost Input'!$E4/100)/'Cost Input'!$E4*100*I8/(100-'Cost Input'!$E4)*'Cost Input'!$E4/'Cost Input'!$J21</f>
        <v>1.6000000000000014</v>
      </c>
      <c r="J246" s="53">
        <f>(1-'Cost Input'!$E4/100)/'Cost Input'!$E4*100*J8/(100-'Cost Input'!$E4)*'Cost Input'!$E4/'Cost Input'!$J21</f>
        <v>1.6000000000000014</v>
      </c>
      <c r="K246" s="53">
        <f>(1-'Cost Input'!$E4/100)/'Cost Input'!$E4*100*K8/(100-'Cost Input'!$E4)*'Cost Input'!$E4/'Cost Input'!$J21</f>
        <v>1.6000000000000014</v>
      </c>
      <c r="L246" s="53">
        <f>(1-'Cost Input'!$E4/100)/'Cost Input'!$E4*100*L8/(100-'Cost Input'!$E4)*'Cost Input'!$E4/'Cost Input'!$J21</f>
        <v>1.6000000000000014</v>
      </c>
    </row>
    <row r="247" spans="1:12" x14ac:dyDescent="0.2">
      <c r="A247" s="6" t="s">
        <v>66</v>
      </c>
      <c r="B247" s="6"/>
      <c r="C247" s="6"/>
      <c r="D247" s="69">
        <f>'Cost Input'!I129</f>
        <v>36000</v>
      </c>
      <c r="E247" s="77">
        <f>'Cost Input'!J129</f>
        <v>0.7</v>
      </c>
      <c r="F247" s="69">
        <f t="shared" ref="F247:L249" si="129">$D247*F$246^$E247</f>
        <v>50024.929887927006</v>
      </c>
      <c r="G247" s="69">
        <f t="shared" si="129"/>
        <v>50024.929887927006</v>
      </c>
      <c r="H247" s="69">
        <f t="shared" si="129"/>
        <v>50024.929887927006</v>
      </c>
      <c r="I247" s="69">
        <f t="shared" si="129"/>
        <v>50024.929887927006</v>
      </c>
      <c r="J247" s="69">
        <f t="shared" si="129"/>
        <v>50024.929887927006</v>
      </c>
      <c r="K247" s="69">
        <f t="shared" si="129"/>
        <v>50024.929887927006</v>
      </c>
      <c r="L247" s="69">
        <f t="shared" si="129"/>
        <v>50024.929887927006</v>
      </c>
    </row>
    <row r="248" spans="1:12" x14ac:dyDescent="0.2">
      <c r="A248" s="6" t="s">
        <v>68</v>
      </c>
      <c r="B248" s="6"/>
      <c r="C248" s="6"/>
      <c r="D248" s="77">
        <f>'Cost Input'!I130</f>
        <v>2.5</v>
      </c>
      <c r="E248" s="77">
        <f>'Cost Input'!J130</f>
        <v>0.7</v>
      </c>
      <c r="F248" s="77">
        <f t="shared" si="129"/>
        <v>3.4739534644393757</v>
      </c>
      <c r="G248" s="77">
        <f t="shared" si="129"/>
        <v>3.4739534644393757</v>
      </c>
      <c r="H248" s="77">
        <f t="shared" si="129"/>
        <v>3.4739534644393757</v>
      </c>
      <c r="I248" s="77">
        <f t="shared" si="129"/>
        <v>3.4739534644393757</v>
      </c>
      <c r="J248" s="77">
        <f t="shared" si="129"/>
        <v>3.4739534644393757</v>
      </c>
      <c r="K248" s="77">
        <f t="shared" si="129"/>
        <v>3.4739534644393757</v>
      </c>
      <c r="L248" s="77">
        <f t="shared" si="129"/>
        <v>3.4739534644393757</v>
      </c>
    </row>
    <row r="249" spans="1:12" x14ac:dyDescent="0.2">
      <c r="A249" s="6" t="s">
        <v>69</v>
      </c>
      <c r="B249" s="6"/>
      <c r="C249" s="6"/>
      <c r="D249" s="69">
        <f>'Cost Input'!I131</f>
        <v>600</v>
      </c>
      <c r="E249" s="77">
        <f>'Cost Input'!J131</f>
        <v>0.6</v>
      </c>
      <c r="F249" s="69">
        <f t="shared" si="129"/>
        <v>795.46896416159734</v>
      </c>
      <c r="G249" s="69">
        <f t="shared" si="129"/>
        <v>795.46896416159734</v>
      </c>
      <c r="H249" s="69">
        <f t="shared" si="129"/>
        <v>795.46896416159734</v>
      </c>
      <c r="I249" s="69">
        <f t="shared" si="129"/>
        <v>795.46896416159734</v>
      </c>
      <c r="J249" s="69">
        <f t="shared" si="129"/>
        <v>795.46896416159734</v>
      </c>
      <c r="K249" s="69">
        <f t="shared" si="129"/>
        <v>795.46896416159734</v>
      </c>
      <c r="L249" s="69">
        <f t="shared" si="129"/>
        <v>795.46896416159734</v>
      </c>
    </row>
    <row r="250" spans="1:12" x14ac:dyDescent="0.2">
      <c r="A250" s="4" t="s">
        <v>141</v>
      </c>
      <c r="B250" s="4"/>
      <c r="C250" s="4"/>
      <c r="D250" s="69"/>
      <c r="E250" s="77"/>
      <c r="F250" s="53"/>
      <c r="G250" s="53"/>
      <c r="H250" s="53"/>
      <c r="I250" s="53"/>
      <c r="J250" s="53"/>
      <c r="K250" s="53"/>
      <c r="L250" s="53"/>
    </row>
    <row r="251" spans="1:12" x14ac:dyDescent="0.2">
      <c r="A251" s="6" t="s">
        <v>130</v>
      </c>
      <c r="B251" s="6"/>
      <c r="C251" s="6"/>
      <c r="D251" s="69"/>
      <c r="E251" s="77"/>
      <c r="F251" s="53">
        <f t="shared" ref="F251:K251" ca="1" si="130">F126</f>
        <v>0.46007873470311988</v>
      </c>
      <c r="G251" s="53">
        <f t="shared" ca="1" si="130"/>
        <v>0.69011810205467949</v>
      </c>
      <c r="H251" s="53">
        <f t="shared" ca="1" si="130"/>
        <v>0.92015746940623921</v>
      </c>
      <c r="I251" s="53">
        <f t="shared" ca="1" si="130"/>
        <v>1.1501968367578013</v>
      </c>
      <c r="J251" s="53">
        <f t="shared" ca="1" si="130"/>
        <v>1.3802362041093597</v>
      </c>
      <c r="K251" s="53">
        <f t="shared" ca="1" si="130"/>
        <v>1.6102755714609176</v>
      </c>
      <c r="L251" s="53">
        <f t="shared" ref="L251" ca="1" si="131">L126</f>
        <v>1.8403149388124795</v>
      </c>
    </row>
    <row r="252" spans="1:12" x14ac:dyDescent="0.2">
      <c r="A252" s="6" t="s">
        <v>66</v>
      </c>
      <c r="B252" s="6"/>
      <c r="C252" s="6"/>
      <c r="D252" s="69">
        <f>'Cost Input'!I134</f>
        <v>28800</v>
      </c>
      <c r="E252" s="77">
        <f>'Cost Input'!J134</f>
        <v>0.5</v>
      </c>
      <c r="F252" s="69">
        <f t="shared" ref="F252:L254" ca="1" si="132">$D252*F$251^$E252</f>
        <v>19534.781946880179</v>
      </c>
      <c r="G252" s="69">
        <f t="shared" ca="1" si="132"/>
        <v>23925.124003194494</v>
      </c>
      <c r="H252" s="69">
        <f t="shared" ca="1" si="132"/>
        <v>27626.353567279035</v>
      </c>
      <c r="I252" s="69">
        <f t="shared" ca="1" si="132"/>
        <v>30887.202273439896</v>
      </c>
      <c r="J252" s="69">
        <f t="shared" ca="1" si="132"/>
        <v>33835.23484677574</v>
      </c>
      <c r="K252" s="69">
        <f t="shared" ca="1" si="132"/>
        <v>36546.230585281206</v>
      </c>
      <c r="L252" s="69">
        <f t="shared" ca="1" si="132"/>
        <v>39069.563893760358</v>
      </c>
    </row>
    <row r="253" spans="1:12" x14ac:dyDescent="0.2">
      <c r="A253" s="6" t="s">
        <v>68</v>
      </c>
      <c r="B253" s="6"/>
      <c r="C253" s="6"/>
      <c r="D253" s="77">
        <f>'Cost Input'!I135</f>
        <v>5</v>
      </c>
      <c r="E253" s="77">
        <f>'Cost Input'!J135</f>
        <v>0.7</v>
      </c>
      <c r="F253" s="77">
        <f t="shared" ca="1" si="132"/>
        <v>2.903705160953332</v>
      </c>
      <c r="G253" s="77">
        <f t="shared" ca="1" si="132"/>
        <v>3.8567047952080729</v>
      </c>
      <c r="H253" s="77">
        <f t="shared" ca="1" si="132"/>
        <v>4.7170829505926228</v>
      </c>
      <c r="I253" s="77">
        <f t="shared" ca="1" si="132"/>
        <v>5.5145556347403843</v>
      </c>
      <c r="J253" s="77">
        <f t="shared" ca="1" si="132"/>
        <v>6.2652354238926851</v>
      </c>
      <c r="K253" s="77">
        <f t="shared" ca="1" si="132"/>
        <v>6.9791116727279103</v>
      </c>
      <c r="L253" s="77">
        <f t="shared" ca="1" si="132"/>
        <v>7.662923860860003</v>
      </c>
    </row>
    <row r="254" spans="1:12" x14ac:dyDescent="0.2">
      <c r="A254" s="6" t="s">
        <v>69</v>
      </c>
      <c r="B254" s="6"/>
      <c r="C254" s="6"/>
      <c r="D254" s="69">
        <f>'Cost Input'!I136</f>
        <v>900</v>
      </c>
      <c r="E254" s="77">
        <f>'Cost Input'!J136</f>
        <v>0.6</v>
      </c>
      <c r="F254" s="69">
        <f t="shared" ca="1" si="132"/>
        <v>564.86127966037247</v>
      </c>
      <c r="G254" s="69">
        <f t="shared" ca="1" si="132"/>
        <v>720.43791553367544</v>
      </c>
      <c r="H254" s="69">
        <f t="shared" ca="1" si="132"/>
        <v>856.16959936148919</v>
      </c>
      <c r="I254" s="69">
        <f t="shared" ca="1" si="132"/>
        <v>978.82670773651125</v>
      </c>
      <c r="J254" s="69">
        <f t="shared" ca="1" si="132"/>
        <v>1091.9796837166111</v>
      </c>
      <c r="K254" s="69">
        <f t="shared" ca="1" si="132"/>
        <v>1197.7953759531185</v>
      </c>
      <c r="L254" s="69">
        <f t="shared" ca="1" si="132"/>
        <v>1297.7104454947798</v>
      </c>
    </row>
    <row r="255" spans="1:12" x14ac:dyDescent="0.2">
      <c r="A255" s="4" t="s">
        <v>364</v>
      </c>
    </row>
    <row r="256" spans="1:12" x14ac:dyDescent="0.2">
      <c r="A256" s="6" t="s">
        <v>66</v>
      </c>
      <c r="F256" s="86">
        <f t="shared" ref="F256:J258" ca="1" si="133">F127+F134+F139+F146+F152+F157+F163+F168+F173+F178+F183+F188+F195+F200+F205+F210+F215+F221+F226+F231+F236+F242+F247+F252</f>
        <v>679643.51919353369</v>
      </c>
      <c r="G256" s="86">
        <f t="shared" ca="1" si="133"/>
        <v>712093.74656578433</v>
      </c>
      <c r="H256" s="86">
        <f t="shared" ca="1" si="133"/>
        <v>751613.80672865629</v>
      </c>
      <c r="I256" s="86">
        <f t="shared" ca="1" si="133"/>
        <v>786668.47145266284</v>
      </c>
      <c r="J256" s="86">
        <f t="shared" ca="1" si="133"/>
        <v>818542.18727288558</v>
      </c>
      <c r="K256" s="86">
        <f t="shared" ref="K256:L256" ca="1" si="134">K127+K134+K139+K146+K152+K157+K163+K168+K173+K178+K183+K188+K195+K200+K205+K210+K215+K221+K226+K231+K236+K242+K247+K252</f>
        <v>847999.55229850172</v>
      </c>
      <c r="L256" s="86">
        <f t="shared" ca="1" si="134"/>
        <v>875539.66334646975</v>
      </c>
    </row>
    <row r="257" spans="1:14" x14ac:dyDescent="0.2">
      <c r="A257" s="6" t="s">
        <v>68</v>
      </c>
      <c r="D257" s="38"/>
      <c r="F257" s="38">
        <f t="shared" ca="1" si="133"/>
        <v>117.76658383149076</v>
      </c>
      <c r="G257" s="38">
        <f t="shared" ca="1" si="133"/>
        <v>129.57333241722137</v>
      </c>
      <c r="H257" s="38">
        <f t="shared" ca="1" si="133"/>
        <v>141.83015145398576</v>
      </c>
      <c r="I257" s="38">
        <f t="shared" ca="1" si="133"/>
        <v>152.9439026037503</v>
      </c>
      <c r="J257" s="38">
        <f t="shared" ca="1" si="133"/>
        <v>163.24297498450841</v>
      </c>
      <c r="K257" s="38">
        <f t="shared" ref="K257:L257" ca="1" si="135">K128+K135+K140+K147+K153+K158+K164+K169+K174+K179+K184+K189+K196+K201+K206+K211+K216+K222+K227+K232+K237+K243+K248+K253</f>
        <v>172.92199207736701</v>
      </c>
      <c r="L257" s="38">
        <f t="shared" ca="1" si="135"/>
        <v>182.1077101816368</v>
      </c>
    </row>
    <row r="258" spans="1:14" x14ac:dyDescent="0.2">
      <c r="A258" s="6" t="s">
        <v>69</v>
      </c>
      <c r="F258" s="86">
        <f t="shared" ca="1" si="133"/>
        <v>15914.830426575772</v>
      </c>
      <c r="G258" s="86">
        <f t="shared" ca="1" si="133"/>
        <v>17253.146539358742</v>
      </c>
      <c r="H258" s="86">
        <f t="shared" ca="1" si="133"/>
        <v>18758.387147347989</v>
      </c>
      <c r="I258" s="86">
        <f t="shared" ca="1" si="133"/>
        <v>20119.892378726334</v>
      </c>
      <c r="J258" s="86">
        <f t="shared" ca="1" si="133"/>
        <v>21378.240900866862</v>
      </c>
      <c r="K258" s="86">
        <f t="shared" ref="K258:L258" ca="1" si="136">K129+K136+K141+K148+K154+K159+K165+K170+K175+K180+K185+K190+K197+K202+K207+K212+K217+K223+K228+K233+K238+K244+K249+K254</f>
        <v>22557.694089861769</v>
      </c>
      <c r="L258" s="86">
        <f t="shared" ca="1" si="136"/>
        <v>23674.156786636253</v>
      </c>
    </row>
    <row r="260" spans="1:14" x14ac:dyDescent="0.2">
      <c r="A260" s="4" t="s">
        <v>370</v>
      </c>
    </row>
    <row r="261" spans="1:14" x14ac:dyDescent="0.2">
      <c r="A261" s="6" t="s">
        <v>66</v>
      </c>
      <c r="F261" s="117">
        <f t="shared" ref="F261:K261" ca="1" si="137">F256-2/3*F242</f>
        <v>643214.08054839401</v>
      </c>
      <c r="G261" s="117">
        <f t="shared" ca="1" si="137"/>
        <v>675664.30792064464</v>
      </c>
      <c r="H261" s="117">
        <f t="shared" ca="1" si="137"/>
        <v>715184.3680835166</v>
      </c>
      <c r="I261" s="117">
        <f t="shared" ca="1" si="137"/>
        <v>750239.03280752315</v>
      </c>
      <c r="J261" s="117">
        <f t="shared" ca="1" si="137"/>
        <v>782112.7486277459</v>
      </c>
      <c r="K261" s="117">
        <f t="shared" ca="1" si="137"/>
        <v>811570.11365336203</v>
      </c>
      <c r="L261" s="117">
        <f t="shared" ref="L261" ca="1" si="138">L256-2/3*L242</f>
        <v>839110.22470133007</v>
      </c>
    </row>
    <row r="262" spans="1:14" x14ac:dyDescent="0.2">
      <c r="A262" s="6" t="s">
        <v>68</v>
      </c>
      <c r="D262" s="120"/>
      <c r="F262" s="120">
        <f t="shared" ref="F262:J263" ca="1" si="139">F257-0.5*F243</f>
        <v>113.59783967416351</v>
      </c>
      <c r="G262" s="120">
        <f t="shared" ca="1" si="139"/>
        <v>125.40458825989411</v>
      </c>
      <c r="H262" s="120">
        <f t="shared" ca="1" si="139"/>
        <v>137.66140729665852</v>
      </c>
      <c r="I262" s="120">
        <f t="shared" ca="1" si="139"/>
        <v>148.77515844642306</v>
      </c>
      <c r="J262" s="120">
        <f t="shared" ca="1" si="139"/>
        <v>159.07423082718117</v>
      </c>
      <c r="K262" s="120">
        <f t="shared" ref="K262:L262" ca="1" si="140">K257-0.5*K243</f>
        <v>168.75324792003977</v>
      </c>
      <c r="L262" s="120">
        <f t="shared" ca="1" si="140"/>
        <v>177.93896602430956</v>
      </c>
    </row>
    <row r="263" spans="1:14" x14ac:dyDescent="0.2">
      <c r="A263" s="6" t="s">
        <v>69</v>
      </c>
      <c r="F263" s="117">
        <f t="shared" ca="1" si="139"/>
        <v>15318.228703454575</v>
      </c>
      <c r="G263" s="117">
        <f t="shared" ca="1" si="139"/>
        <v>16656.544816237543</v>
      </c>
      <c r="H263" s="117">
        <f t="shared" ca="1" si="139"/>
        <v>18161.785424226789</v>
      </c>
      <c r="I263" s="117">
        <f t="shared" ca="1" si="139"/>
        <v>19523.290655605135</v>
      </c>
      <c r="J263" s="117">
        <f t="shared" ca="1" si="139"/>
        <v>20781.639177745663</v>
      </c>
      <c r="K263" s="117">
        <f t="shared" ref="K263:L263" ca="1" si="141">K258-0.5*K244</f>
        <v>21961.09236674057</v>
      </c>
      <c r="L263" s="117">
        <f t="shared" ca="1" si="141"/>
        <v>23077.555063515054</v>
      </c>
    </row>
    <row r="265" spans="1:14" s="400" customFormat="1" x14ac:dyDescent="0.2">
      <c r="A265" s="399" t="s">
        <v>824</v>
      </c>
      <c r="N265" s="399"/>
    </row>
    <row r="266" spans="1:14" s="400" customFormat="1" x14ac:dyDescent="0.2">
      <c r="A266" s="400" t="s">
        <v>66</v>
      </c>
      <c r="F266" s="402">
        <f ca="1">F261-F236</f>
        <v>588569.92258068442</v>
      </c>
      <c r="G266" s="402">
        <f t="shared" ref="G266:L266" ca="1" si="142">G261-G236</f>
        <v>621020.14995293505</v>
      </c>
      <c r="H266" s="402">
        <f t="shared" ca="1" si="142"/>
        <v>660540.21011580701</v>
      </c>
      <c r="I266" s="402">
        <f t="shared" ca="1" si="142"/>
        <v>695594.87483981356</v>
      </c>
      <c r="J266" s="402">
        <f t="shared" ca="1" si="142"/>
        <v>727468.59066003631</v>
      </c>
      <c r="K266" s="402">
        <f t="shared" ca="1" si="142"/>
        <v>756925.95568565244</v>
      </c>
      <c r="L266" s="402">
        <f t="shared" ca="1" si="142"/>
        <v>784466.06673362048</v>
      </c>
    </row>
    <row r="267" spans="1:14" s="400" customFormat="1" x14ac:dyDescent="0.2">
      <c r="A267" s="400" t="s">
        <v>68</v>
      </c>
      <c r="F267" s="607">
        <f ca="1">F262-F237</f>
        <v>105.26035135950902</v>
      </c>
      <c r="G267" s="607">
        <f t="shared" ref="G267:L267" ca="1" si="143">G262-G237</f>
        <v>117.06709994523962</v>
      </c>
      <c r="H267" s="607">
        <f t="shared" ca="1" si="143"/>
        <v>129.32391898200402</v>
      </c>
      <c r="I267" s="607">
        <f t="shared" ca="1" si="143"/>
        <v>140.43767013176856</v>
      </c>
      <c r="J267" s="607">
        <f t="shared" ca="1" si="143"/>
        <v>150.73674251252666</v>
      </c>
      <c r="K267" s="607">
        <f t="shared" ca="1" si="143"/>
        <v>160.41575960538526</v>
      </c>
      <c r="L267" s="607">
        <f t="shared" ca="1" si="143"/>
        <v>169.60147770965506</v>
      </c>
    </row>
    <row r="268" spans="1:14" s="400" customFormat="1" x14ac:dyDescent="0.2">
      <c r="A268" s="400" t="s">
        <v>69</v>
      </c>
      <c r="F268" s="402">
        <f ca="1">F263-F238</f>
        <v>14522.759739292978</v>
      </c>
      <c r="G268" s="402">
        <f t="shared" ref="G268:L268" ca="1" si="144">G263-G238</f>
        <v>15861.075852075946</v>
      </c>
      <c r="H268" s="402">
        <f t="shared" ca="1" si="144"/>
        <v>17366.316460065194</v>
      </c>
      <c r="I268" s="402">
        <f t="shared" ca="1" si="144"/>
        <v>18727.82169144354</v>
      </c>
      <c r="J268" s="402">
        <f t="shared" ca="1" si="144"/>
        <v>19986.170213584068</v>
      </c>
      <c r="K268" s="402">
        <f t="shared" ca="1" si="144"/>
        <v>21165.623402578974</v>
      </c>
      <c r="L268" s="402">
        <f t="shared" ca="1" si="144"/>
        <v>22282.086099353459</v>
      </c>
    </row>
  </sheetData>
  <mergeCells count="2">
    <mergeCell ref="A1:L1"/>
    <mergeCell ref="A2:L2"/>
  </mergeCells>
  <phoneticPr fontId="5" type="noConversion"/>
  <pageMargins left="0.5" right="0.5" top="0.5" bottom="0.5" header="0.5" footer="0.5"/>
  <pageSetup scale="95" orientation="landscape" verticalDpi="300" r:id="rId1"/>
  <headerFooter alignWithMargins="0">
    <oddFooter>&amp;C &amp;P&amp;R&amp;F, &amp;D</oddFooter>
  </headerFooter>
  <rowBreaks count="7" manualBreakCount="7">
    <brk id="31" max="11" man="1"/>
    <brk id="51" max="11" man="1"/>
    <brk id="88" max="11" man="1"/>
    <brk id="121" max="11" man="1"/>
    <brk id="159" max="11" man="1"/>
    <brk id="190" max="11" man="1"/>
    <brk id="223" max="11"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20</vt:i4>
      </vt:variant>
    </vt:vector>
  </HeadingPairs>
  <TitlesOfParts>
    <vt:vector size="36" baseType="lpstr">
      <vt:lpstr>About BatPaC</vt:lpstr>
      <vt:lpstr>Chem</vt:lpstr>
      <vt:lpstr>Battery Design</vt:lpstr>
      <vt:lpstr>EV Charging</vt:lpstr>
      <vt:lpstr>Summary of Results</vt:lpstr>
      <vt:lpstr>USABC Data</vt:lpstr>
      <vt:lpstr>Thermal</vt:lpstr>
      <vt:lpstr>Cost Input</vt:lpstr>
      <vt:lpstr>Manufacturing Cost Calculations</vt:lpstr>
      <vt:lpstr>Prices of Cells and Modules</vt:lpstr>
      <vt:lpstr>Cost Breakdown</vt:lpstr>
      <vt:lpstr>Plant Schematic</vt:lpstr>
      <vt:lpstr>Cell Design</vt:lpstr>
      <vt:lpstr>Module</vt:lpstr>
      <vt:lpstr>Battery</vt:lpstr>
      <vt:lpstr>Capacity Calculator</vt:lpstr>
      <vt:lpstr>'About BatPaC'!Print_Area</vt:lpstr>
      <vt:lpstr>Battery!Print_Area</vt:lpstr>
      <vt:lpstr>'Battery Design'!Print_Area</vt:lpstr>
      <vt:lpstr>'Capacity Calculator'!Print_Area</vt:lpstr>
      <vt:lpstr>Chem!Print_Area</vt:lpstr>
      <vt:lpstr>'Cost Breakdown'!Print_Area</vt:lpstr>
      <vt:lpstr>'Cost Input'!Print_Area</vt:lpstr>
      <vt:lpstr>'Manufacturing Cost Calculations'!Print_Area</vt:lpstr>
      <vt:lpstr>Module!Print_Area</vt:lpstr>
      <vt:lpstr>'Prices of Cells and Modules'!Print_Area</vt:lpstr>
      <vt:lpstr>'Summary of Results'!Print_Area</vt:lpstr>
      <vt:lpstr>Thermal!Print_Area</vt:lpstr>
      <vt:lpstr>'USABC Data'!Print_Area</vt:lpstr>
      <vt:lpstr>'Battery Design'!Print_Titles</vt:lpstr>
      <vt:lpstr>'Capacity Calculator'!Print_Titles</vt:lpstr>
      <vt:lpstr>Chem!Print_Titles</vt:lpstr>
      <vt:lpstr>'Manufacturing Cost Calculations'!Print_Titles</vt:lpstr>
      <vt:lpstr>'Summary of Results'!Print_Titles</vt:lpstr>
      <vt:lpstr>Thermal!Print_Titles</vt:lpstr>
      <vt:lpstr>'USABC Data'!Print_Titles</vt:lpstr>
    </vt:vector>
  </TitlesOfParts>
  <Company>Argonne National Laboratory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dc:creator>
  <cp:lastModifiedBy>Beth</cp:lastModifiedBy>
  <cp:lastPrinted>2015-11-25T17:39:37Z</cp:lastPrinted>
  <dcterms:created xsi:type="dcterms:W3CDTF">2007-05-30T17:44:54Z</dcterms:created>
  <dcterms:modified xsi:type="dcterms:W3CDTF">2016-09-26T23:31:44Z</dcterms:modified>
</cp:coreProperties>
</file>