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9.xml" ContentType="application/vnd.openxmlformats-officedocument.drawingml.chart+xml"/>
  <Override PartName="/xl/drawings/drawing8.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codeName="ThisWorkbook" defaultThemeVersion="124226"/>
  <mc:AlternateContent xmlns:mc="http://schemas.openxmlformats.org/markup-compatibility/2006">
    <mc:Choice Requires="x15">
      <x15ac:absPath xmlns:x15ac="http://schemas.microsoft.com/office/spreadsheetml/2010/11/ac" url="C:\Users\Kevin\Documents\ENERGY 204 - Energy Transformation Collaborative\Cost Modelling\"/>
    </mc:Choice>
  </mc:AlternateContent>
  <bookViews>
    <workbookView xWindow="0" yWindow="0" windowWidth="19575" windowHeight="4628" tabRatio="712" activeTab="2"/>
  </bookViews>
  <sheets>
    <sheet name="Cover" sheetId="17" r:id="rId1"/>
    <sheet name="Results Summary" sheetId="2" r:id="rId2"/>
    <sheet name="Standard mc-Si" sheetId="50" r:id="rId3"/>
    <sheet name="Line-of-Sight" sheetId="64" r:id="rId4"/>
    <sheet name="Advanced Concept" sheetId="52" r:id="rId5"/>
    <sheet name="Adv Concept Waterfall 1" sheetId="65" r:id="rId6"/>
    <sheet name="Adv Concept Waterfall 2" sheetId="66" r:id="rId7"/>
    <sheet name="Parameter Map" sheetId="79" r:id="rId8"/>
  </sheets>
  <definedNames>
    <definedName name="solver_adj" localSheetId="5" hidden="1">'Adv Concept Waterfall 1'!$C$217,'Adv Concept Waterfall 1'!$C$246,'Adv Concept Waterfall 1'!$C$275,'Adv Concept Waterfall 1'!$C$304</definedName>
    <definedName name="solver_adj" localSheetId="6" hidden="1">'Adv Concept Waterfall 2'!$C$217,'Adv Concept Waterfall 2'!$C$246,'Adv Concept Waterfall 2'!$C$275,'Adv Concept Waterfall 2'!$C$304</definedName>
    <definedName name="solver_adj" localSheetId="4" hidden="1">'Advanced Concept'!$C$217,'Advanced Concept'!$C$246,'Advanced Concept'!$C$275,'Advanced Concept'!$C$304</definedName>
    <definedName name="solver_adj" localSheetId="3" hidden="1">'Line-of-Sight'!$C$217,'Line-of-Sight'!$C$246,'Line-of-Sight'!$C$275,'Line-of-Sight'!$C$304</definedName>
    <definedName name="solver_adj" localSheetId="7" hidden="1">'Parameter Map'!$C$14</definedName>
    <definedName name="solver_adj" localSheetId="1" hidden="1">'Results Summary'!#REF!</definedName>
    <definedName name="solver_adj" localSheetId="2" hidden="1">'Standard mc-Si'!$C$217,'Standard mc-Si'!$C$246,'Standard mc-Si'!$C$275,'Standard mc-Si'!$C$304</definedName>
    <definedName name="solver_cvg" localSheetId="5" hidden="1">0.0001</definedName>
    <definedName name="solver_cvg" localSheetId="6" hidden="1">0.0001</definedName>
    <definedName name="solver_cvg" localSheetId="4" hidden="1">0.0001</definedName>
    <definedName name="solver_cvg" localSheetId="3" hidden="1">0.0001</definedName>
    <definedName name="solver_cvg" localSheetId="7" hidden="1">0.0001</definedName>
    <definedName name="solver_cvg" localSheetId="1" hidden="1">0.0001</definedName>
    <definedName name="solver_cvg" localSheetId="2" hidden="1">0.0001</definedName>
    <definedName name="solver_drv" localSheetId="5" hidden="1">1</definedName>
    <definedName name="solver_drv" localSheetId="6" hidden="1">1</definedName>
    <definedName name="solver_drv" localSheetId="4" hidden="1">1</definedName>
    <definedName name="solver_drv" localSheetId="3" hidden="1">1</definedName>
    <definedName name="solver_drv" localSheetId="7" hidden="1">1</definedName>
    <definedName name="solver_drv" localSheetId="1" hidden="1">1</definedName>
    <definedName name="solver_drv" localSheetId="2" hidden="1">1</definedName>
    <definedName name="solver_est" localSheetId="5" hidden="1">1</definedName>
    <definedName name="solver_est" localSheetId="6" hidden="1">1</definedName>
    <definedName name="solver_est" localSheetId="4" hidden="1">1</definedName>
    <definedName name="solver_est" localSheetId="3" hidden="1">1</definedName>
    <definedName name="solver_est" localSheetId="7" hidden="1">1</definedName>
    <definedName name="solver_est" localSheetId="1" hidden="1">1</definedName>
    <definedName name="solver_est" localSheetId="2" hidden="1">1</definedName>
    <definedName name="solver_itr" localSheetId="5" hidden="1">100</definedName>
    <definedName name="solver_itr" localSheetId="6" hidden="1">100</definedName>
    <definedName name="solver_itr" localSheetId="4" hidden="1">100</definedName>
    <definedName name="solver_itr" localSheetId="3" hidden="1">100</definedName>
    <definedName name="solver_itr" localSheetId="7" hidden="1">100</definedName>
    <definedName name="solver_itr" localSheetId="1" hidden="1">100</definedName>
    <definedName name="solver_itr" localSheetId="2" hidden="1">100</definedName>
    <definedName name="solver_lhs1" localSheetId="5" hidden="1">'Adv Concept Waterfall 1'!$X$238</definedName>
    <definedName name="solver_lhs1" localSheetId="6" hidden="1">'Adv Concept Waterfall 2'!$X$238</definedName>
    <definedName name="solver_lhs1" localSheetId="4" hidden="1">'Advanced Concept'!$X$238</definedName>
    <definedName name="solver_lhs1" localSheetId="3" hidden="1">'Line-of-Sight'!$X$238</definedName>
    <definedName name="solver_lhs1" localSheetId="7" hidden="1">'Parameter Map'!$X$95</definedName>
    <definedName name="solver_lhs1" localSheetId="2" hidden="1">'Standard mc-Si'!$X$238</definedName>
    <definedName name="solver_lhs2" localSheetId="5" hidden="1">'Adv Concept Waterfall 1'!$X$267</definedName>
    <definedName name="solver_lhs2" localSheetId="6" hidden="1">'Adv Concept Waterfall 2'!$X$267</definedName>
    <definedName name="solver_lhs2" localSheetId="4" hidden="1">'Advanced Concept'!$X$267</definedName>
    <definedName name="solver_lhs2" localSheetId="3" hidden="1">'Line-of-Sight'!$X$267</definedName>
    <definedName name="solver_lhs2" localSheetId="7" hidden="1">'Parameter Map'!$X$95</definedName>
    <definedName name="solver_lhs2" localSheetId="2" hidden="1">'Standard mc-Si'!$X$267</definedName>
    <definedName name="solver_lhs3" localSheetId="5" hidden="1">'Adv Concept Waterfall 1'!$X$296</definedName>
    <definedName name="solver_lhs3" localSheetId="6" hidden="1">'Adv Concept Waterfall 2'!$X$296</definedName>
    <definedName name="solver_lhs3" localSheetId="4" hidden="1">'Advanced Concept'!$X$296</definedName>
    <definedName name="solver_lhs3" localSheetId="3" hidden="1">'Line-of-Sight'!$X$296</definedName>
    <definedName name="solver_lhs3" localSheetId="7" hidden="1">'Parameter Map'!#REF!</definedName>
    <definedName name="solver_lhs3" localSheetId="2" hidden="1">'Standard mc-Si'!$X$296</definedName>
    <definedName name="solver_lhs4" localSheetId="7" hidden="1">'Parameter Map'!#REF!</definedName>
    <definedName name="solver_lhs5" localSheetId="7" hidden="1">'Parameter Map'!#REF!</definedName>
    <definedName name="solver_lin" localSheetId="5" hidden="1">2</definedName>
    <definedName name="solver_lin" localSheetId="6" hidden="1">2</definedName>
    <definedName name="solver_lin" localSheetId="4" hidden="1">2</definedName>
    <definedName name="solver_lin" localSheetId="3" hidden="1">2</definedName>
    <definedName name="solver_lin" localSheetId="7" hidden="1">2</definedName>
    <definedName name="solver_lin" localSheetId="1" hidden="1">2</definedName>
    <definedName name="solver_lin" localSheetId="2" hidden="1">2</definedName>
    <definedName name="solver_neg" localSheetId="5" hidden="1">2</definedName>
    <definedName name="solver_neg" localSheetId="6" hidden="1">2</definedName>
    <definedName name="solver_neg" localSheetId="4" hidden="1">2</definedName>
    <definedName name="solver_neg" localSheetId="3" hidden="1">2</definedName>
    <definedName name="solver_neg" localSheetId="7" hidden="1">2</definedName>
    <definedName name="solver_neg" localSheetId="1" hidden="1">2</definedName>
    <definedName name="solver_neg" localSheetId="2" hidden="1">2</definedName>
    <definedName name="solver_num" localSheetId="5" hidden="1">3</definedName>
    <definedName name="solver_num" localSheetId="6" hidden="1">3</definedName>
    <definedName name="solver_num" localSheetId="4" hidden="1">3</definedName>
    <definedName name="solver_num" localSheetId="3" hidden="1">3</definedName>
    <definedName name="solver_num" localSheetId="7" hidden="1">0</definedName>
    <definedName name="solver_num" localSheetId="1" hidden="1">0</definedName>
    <definedName name="solver_num" localSheetId="2" hidden="1">3</definedName>
    <definedName name="solver_nwt" localSheetId="5" hidden="1">1</definedName>
    <definedName name="solver_nwt" localSheetId="6" hidden="1">1</definedName>
    <definedName name="solver_nwt" localSheetId="4" hidden="1">1</definedName>
    <definedName name="solver_nwt" localSheetId="3" hidden="1">1</definedName>
    <definedName name="solver_nwt" localSheetId="7" hidden="1">1</definedName>
    <definedName name="solver_nwt" localSheetId="1" hidden="1">1</definedName>
    <definedName name="solver_nwt" localSheetId="2" hidden="1">1</definedName>
    <definedName name="solver_opt" localSheetId="5" hidden="1">'Adv Concept Waterfall 1'!$X$325</definedName>
    <definedName name="solver_opt" localSheetId="6" hidden="1">'Adv Concept Waterfall 2'!$X$325</definedName>
    <definedName name="solver_opt" localSheetId="4" hidden="1">'Advanced Concept'!$X$325</definedName>
    <definedName name="solver_opt" localSheetId="3" hidden="1">'Line-of-Sight'!$X$325</definedName>
    <definedName name="solver_opt" localSheetId="7" hidden="1">'Parameter Map'!$X$95</definedName>
    <definedName name="solver_opt" localSheetId="1" hidden="1">'Results Summary'!#REF!</definedName>
    <definedName name="solver_opt" localSheetId="2" hidden="1">'Standard mc-Si'!$X$325</definedName>
    <definedName name="solver_pre" localSheetId="5" hidden="1">0.000001</definedName>
    <definedName name="solver_pre" localSheetId="6" hidden="1">0.000001</definedName>
    <definedName name="solver_pre" localSheetId="4" hidden="1">0.000001</definedName>
    <definedName name="solver_pre" localSheetId="3" hidden="1">0.000001</definedName>
    <definedName name="solver_pre" localSheetId="7" hidden="1">0.000001</definedName>
    <definedName name="solver_pre" localSheetId="1" hidden="1">0.000001</definedName>
    <definedName name="solver_pre" localSheetId="2" hidden="1">0.000001</definedName>
    <definedName name="solver_rel1" localSheetId="5" hidden="1">2</definedName>
    <definedName name="solver_rel1" localSheetId="6" hidden="1">2</definedName>
    <definedName name="solver_rel1" localSheetId="4" hidden="1">2</definedName>
    <definedName name="solver_rel1" localSheetId="3" hidden="1">2</definedName>
    <definedName name="solver_rel1" localSheetId="7" hidden="1">2</definedName>
    <definedName name="solver_rel1" localSheetId="2" hidden="1">2</definedName>
    <definedName name="solver_rel2" localSheetId="5" hidden="1">2</definedName>
    <definedName name="solver_rel2" localSheetId="6" hidden="1">2</definedName>
    <definedName name="solver_rel2" localSheetId="4" hidden="1">2</definedName>
    <definedName name="solver_rel2" localSheetId="3" hidden="1">2</definedName>
    <definedName name="solver_rel2" localSheetId="7" hidden="1">2</definedName>
    <definedName name="solver_rel2" localSheetId="2" hidden="1">2</definedName>
    <definedName name="solver_rel3" localSheetId="5" hidden="1">2</definedName>
    <definedName name="solver_rel3" localSheetId="6" hidden="1">2</definedName>
    <definedName name="solver_rel3" localSheetId="4" hidden="1">2</definedName>
    <definedName name="solver_rel3" localSheetId="3" hidden="1">2</definedName>
    <definedName name="solver_rel3" localSheetId="7" hidden="1">2</definedName>
    <definedName name="solver_rel3" localSheetId="2" hidden="1">2</definedName>
    <definedName name="solver_rel4" localSheetId="7" hidden="1">2</definedName>
    <definedName name="solver_rel5" localSheetId="7" hidden="1">2</definedName>
    <definedName name="solver_rhs1" localSheetId="5" hidden="1">0</definedName>
    <definedName name="solver_rhs1" localSheetId="6" hidden="1">0</definedName>
    <definedName name="solver_rhs1" localSheetId="4" hidden="1">0</definedName>
    <definedName name="solver_rhs1" localSheetId="3" hidden="1">0</definedName>
    <definedName name="solver_rhs1" localSheetId="7" hidden="1">0</definedName>
    <definedName name="solver_rhs1" localSheetId="2" hidden="1">0</definedName>
    <definedName name="solver_rhs2" localSheetId="5" hidden="1">0</definedName>
    <definedName name="solver_rhs2" localSheetId="6" hidden="1">0</definedName>
    <definedName name="solver_rhs2" localSheetId="4" hidden="1">0</definedName>
    <definedName name="solver_rhs2" localSheetId="3" hidden="1">0</definedName>
    <definedName name="solver_rhs2" localSheetId="7" hidden="1">0</definedName>
    <definedName name="solver_rhs2" localSheetId="2" hidden="1">0</definedName>
    <definedName name="solver_rhs3" localSheetId="5" hidden="1">0</definedName>
    <definedName name="solver_rhs3" localSheetId="6" hidden="1">0</definedName>
    <definedName name="solver_rhs3" localSheetId="4" hidden="1">0</definedName>
    <definedName name="solver_rhs3" localSheetId="3" hidden="1">0</definedName>
    <definedName name="solver_rhs3" localSheetId="7" hidden="1">0</definedName>
    <definedName name="solver_rhs3" localSheetId="2" hidden="1">0</definedName>
    <definedName name="solver_rhs4" localSheetId="7" hidden="1">'Parameter Map'!$C$10</definedName>
    <definedName name="solver_rhs5" localSheetId="7" hidden="1">'Parameter Map'!$C$9</definedName>
    <definedName name="solver_scl" localSheetId="5" hidden="1">2</definedName>
    <definedName name="solver_scl" localSheetId="6" hidden="1">2</definedName>
    <definedName name="solver_scl" localSheetId="4" hidden="1">2</definedName>
    <definedName name="solver_scl" localSheetId="3" hidden="1">2</definedName>
    <definedName name="solver_scl" localSheetId="7" hidden="1">2</definedName>
    <definedName name="solver_scl" localSheetId="1" hidden="1">2</definedName>
    <definedName name="solver_scl" localSheetId="2" hidden="1">2</definedName>
    <definedName name="solver_sho" localSheetId="5" hidden="1">2</definedName>
    <definedName name="solver_sho" localSheetId="6" hidden="1">2</definedName>
    <definedName name="solver_sho" localSheetId="4" hidden="1">2</definedName>
    <definedName name="solver_sho" localSheetId="3" hidden="1">2</definedName>
    <definedName name="solver_sho" localSheetId="7" hidden="1">2</definedName>
    <definedName name="solver_sho" localSheetId="1" hidden="1">2</definedName>
    <definedName name="solver_sho" localSheetId="2" hidden="1">2</definedName>
    <definedName name="solver_tim" localSheetId="5" hidden="1">100</definedName>
    <definedName name="solver_tim" localSheetId="6" hidden="1">100</definedName>
    <definedName name="solver_tim" localSheetId="4" hidden="1">100</definedName>
    <definedName name="solver_tim" localSheetId="3" hidden="1">100</definedName>
    <definedName name="solver_tim" localSheetId="7" hidden="1">100</definedName>
    <definedName name="solver_tim" localSheetId="1" hidden="1">100</definedName>
    <definedName name="solver_tim" localSheetId="2" hidden="1">100</definedName>
    <definedName name="solver_tol" localSheetId="5" hidden="1">0.05</definedName>
    <definedName name="solver_tol" localSheetId="6" hidden="1">0.05</definedName>
    <definedName name="solver_tol" localSheetId="4" hidden="1">0.05</definedName>
    <definedName name="solver_tol" localSheetId="3" hidden="1">0.05</definedName>
    <definedName name="solver_tol" localSheetId="7" hidden="1">0.05</definedName>
    <definedName name="solver_tol" localSheetId="1" hidden="1">0.05</definedName>
    <definedName name="solver_tol" localSheetId="2" hidden="1">0.05</definedName>
    <definedName name="solver_typ" localSheetId="5" hidden="1">3</definedName>
    <definedName name="solver_typ" localSheetId="6" hidden="1">3</definedName>
    <definedName name="solver_typ" localSheetId="4" hidden="1">3</definedName>
    <definedName name="solver_typ" localSheetId="3" hidden="1">3</definedName>
    <definedName name="solver_typ" localSheetId="7" hidden="1">3</definedName>
    <definedName name="solver_typ" localSheetId="1" hidden="1">3</definedName>
    <definedName name="solver_typ" localSheetId="2" hidden="1">3</definedName>
    <definedName name="solver_val" localSheetId="5" hidden="1">0</definedName>
    <definedName name="solver_val" localSheetId="6" hidden="1">0</definedName>
    <definedName name="solver_val" localSheetId="4" hidden="1">0</definedName>
    <definedName name="solver_val" localSheetId="3" hidden="1">0</definedName>
    <definedName name="solver_val" localSheetId="7" hidden="1">0</definedName>
    <definedName name="solver_val" localSheetId="1" hidden="1">0.074</definedName>
    <definedName name="solver_val" localSheetId="2" hidden="1">0</definedName>
  </definedNames>
  <calcPr calcId="171027" concurrentCalc="0"/>
</workbook>
</file>

<file path=xl/calcChain.xml><?xml version="1.0" encoding="utf-8"?>
<calcChain xmlns="http://schemas.openxmlformats.org/spreadsheetml/2006/main">
  <c r="C330" i="50" l="1"/>
  <c r="C330" i="64"/>
  <c r="C330" i="52"/>
  <c r="C330" i="65"/>
  <c r="C191" i="64"/>
  <c r="C191" i="66"/>
  <c r="C191" i="65"/>
  <c r="C8" i="52"/>
  <c r="C191" i="52"/>
  <c r="C201" i="52"/>
  <c r="C201" i="64"/>
  <c r="C201" i="50"/>
  <c r="C62" i="79"/>
  <c r="C61" i="79"/>
  <c r="C202" i="66"/>
  <c r="C201" i="66"/>
  <c r="C202" i="65"/>
  <c r="C201" i="65"/>
  <c r="C202" i="50"/>
  <c r="C202" i="64"/>
  <c r="C202" i="52"/>
  <c r="C150" i="52"/>
  <c r="C149" i="52"/>
  <c r="C148" i="52"/>
  <c r="C18" i="50"/>
  <c r="C150" i="50"/>
  <c r="C149" i="50"/>
  <c r="C148" i="50"/>
  <c r="C71" i="79"/>
  <c r="C70" i="79"/>
  <c r="I367" i="66"/>
  <c r="H367" i="66"/>
  <c r="F367" i="66"/>
  <c r="E367" i="66"/>
  <c r="B352" i="66"/>
  <c r="C175" i="66"/>
  <c r="C176" i="66"/>
  <c r="C177" i="66"/>
  <c r="C47" i="66"/>
  <c r="C57" i="66"/>
  <c r="C58" i="66"/>
  <c r="G47" i="66"/>
  <c r="C351" i="66"/>
  <c r="B351" i="66"/>
  <c r="C154" i="66"/>
  <c r="C155" i="66"/>
  <c r="C156" i="66"/>
  <c r="C157" i="66"/>
  <c r="C158" i="66"/>
  <c r="G46" i="66"/>
  <c r="C350" i="66"/>
  <c r="B350" i="66"/>
  <c r="D186" i="66"/>
  <c r="E186" i="66"/>
  <c r="F186" i="66"/>
  <c r="G45" i="66"/>
  <c r="C349" i="66"/>
  <c r="B349" i="66"/>
  <c r="D183" i="66"/>
  <c r="E183" i="66"/>
  <c r="F183" i="66"/>
  <c r="G44" i="66"/>
  <c r="C348" i="66"/>
  <c r="B348" i="66"/>
  <c r="G43" i="66"/>
  <c r="C347" i="66"/>
  <c r="B347" i="66"/>
  <c r="D188" i="66"/>
  <c r="E188" i="66"/>
  <c r="F188" i="66"/>
  <c r="G42" i="66"/>
  <c r="C346" i="66"/>
  <c r="B346" i="66"/>
  <c r="D184" i="66"/>
  <c r="E184" i="66"/>
  <c r="F184" i="66"/>
  <c r="G41" i="66"/>
  <c r="C345" i="66"/>
  <c r="B345" i="66"/>
  <c r="D181" i="66"/>
  <c r="E181" i="66"/>
  <c r="F181" i="66"/>
  <c r="G40" i="66"/>
  <c r="C344" i="66"/>
  <c r="B344" i="66"/>
  <c r="D185" i="66"/>
  <c r="E185" i="66"/>
  <c r="F185" i="66"/>
  <c r="G39" i="66"/>
  <c r="C343" i="66"/>
  <c r="B343" i="66"/>
  <c r="C130" i="66"/>
  <c r="C131" i="66"/>
  <c r="C132" i="66"/>
  <c r="C38" i="66"/>
  <c r="G38" i="66"/>
  <c r="C342" i="66"/>
  <c r="B342" i="66"/>
  <c r="C117" i="66"/>
  <c r="C118" i="66"/>
  <c r="C121" i="66"/>
  <c r="C122" i="66"/>
  <c r="C123" i="66"/>
  <c r="C124" i="66"/>
  <c r="C37" i="66"/>
  <c r="G37" i="66"/>
  <c r="C341" i="66"/>
  <c r="B341" i="66"/>
  <c r="B340" i="66"/>
  <c r="C161" i="66"/>
  <c r="C163" i="66"/>
  <c r="C166" i="66"/>
  <c r="C167" i="66"/>
  <c r="C168" i="66"/>
  <c r="C169" i="66"/>
  <c r="C35" i="66"/>
  <c r="G35" i="66"/>
  <c r="C339" i="66"/>
  <c r="B339" i="66"/>
  <c r="B338" i="66"/>
  <c r="B337" i="66"/>
  <c r="B336" i="66"/>
  <c r="B335" i="66"/>
  <c r="B334" i="66"/>
  <c r="C330" i="66"/>
  <c r="I367" i="65"/>
  <c r="H367" i="65"/>
  <c r="F367" i="65"/>
  <c r="E367" i="65"/>
  <c r="B352" i="65"/>
  <c r="B351" i="65"/>
  <c r="B350" i="65"/>
  <c r="B349" i="65"/>
  <c r="B348" i="65"/>
  <c r="B347" i="65"/>
  <c r="B346" i="65"/>
  <c r="B345" i="65"/>
  <c r="B344" i="65"/>
  <c r="B343" i="65"/>
  <c r="B342" i="65"/>
  <c r="B341" i="65"/>
  <c r="B340" i="65"/>
  <c r="B339" i="65"/>
  <c r="B338" i="65"/>
  <c r="B337" i="65"/>
  <c r="B336" i="65"/>
  <c r="B335" i="65"/>
  <c r="B334" i="65"/>
  <c r="I367" i="52"/>
  <c r="H367" i="52"/>
  <c r="F367" i="52"/>
  <c r="E367" i="52"/>
  <c r="B352" i="52"/>
  <c r="B351" i="52"/>
  <c r="B350" i="52"/>
  <c r="B349" i="52"/>
  <c r="B348" i="52"/>
  <c r="B347" i="52"/>
  <c r="B346" i="52"/>
  <c r="B345" i="52"/>
  <c r="B344" i="52"/>
  <c r="B343" i="52"/>
  <c r="B342" i="52"/>
  <c r="B341" i="52"/>
  <c r="B340" i="52"/>
  <c r="B339" i="52"/>
  <c r="B338" i="52"/>
  <c r="B337" i="52"/>
  <c r="B336" i="52"/>
  <c r="B335" i="52"/>
  <c r="B334" i="52"/>
  <c r="I367" i="64"/>
  <c r="H367" i="64"/>
  <c r="F367" i="64"/>
  <c r="E367" i="64"/>
  <c r="B352" i="64"/>
  <c r="B351" i="64"/>
  <c r="B350" i="64"/>
  <c r="B349" i="64"/>
  <c r="B348" i="64"/>
  <c r="B347" i="64"/>
  <c r="B346" i="64"/>
  <c r="B345" i="64"/>
  <c r="B344" i="64"/>
  <c r="B343" i="64"/>
  <c r="B342" i="64"/>
  <c r="B341" i="64"/>
  <c r="B340" i="64"/>
  <c r="B339" i="64"/>
  <c r="B338" i="64"/>
  <c r="B337" i="64"/>
  <c r="B336" i="64"/>
  <c r="B335" i="64"/>
  <c r="B334" i="64"/>
  <c r="E82" i="79"/>
  <c r="E83" i="79"/>
  <c r="E84" i="79"/>
  <c r="E85" i="79"/>
  <c r="E86" i="79"/>
  <c r="E87" i="79"/>
  <c r="E88" i="79"/>
  <c r="E89" i="79"/>
  <c r="E90" i="79"/>
  <c r="E91" i="79"/>
  <c r="E92" i="79"/>
  <c r="E93" i="79"/>
  <c r="E94" i="79"/>
  <c r="E324" i="66"/>
  <c r="E323" i="66"/>
  <c r="E322" i="66"/>
  <c r="E321" i="66"/>
  <c r="E320" i="66"/>
  <c r="E319" i="66"/>
  <c r="E318" i="66"/>
  <c r="E317" i="66"/>
  <c r="E316" i="66"/>
  <c r="E315" i="66"/>
  <c r="E314" i="66"/>
  <c r="E313" i="66"/>
  <c r="E312" i="66"/>
  <c r="E324" i="65"/>
  <c r="E323" i="65"/>
  <c r="E322" i="65"/>
  <c r="E321" i="65"/>
  <c r="E320" i="65"/>
  <c r="E319" i="65"/>
  <c r="E318" i="65"/>
  <c r="E317" i="65"/>
  <c r="E316" i="65"/>
  <c r="E315" i="65"/>
  <c r="E314" i="65"/>
  <c r="E313" i="65"/>
  <c r="E312" i="65"/>
  <c r="E324" i="52"/>
  <c r="E323" i="52"/>
  <c r="E322" i="52"/>
  <c r="E321" i="52"/>
  <c r="E320" i="52"/>
  <c r="E319" i="52"/>
  <c r="E318" i="52"/>
  <c r="E317" i="52"/>
  <c r="E316" i="52"/>
  <c r="E315" i="52"/>
  <c r="E314" i="52"/>
  <c r="E313" i="52"/>
  <c r="E312" i="52"/>
  <c r="E324" i="64"/>
  <c r="E323" i="64"/>
  <c r="E322" i="64"/>
  <c r="E321" i="64"/>
  <c r="E320" i="64"/>
  <c r="E319" i="64"/>
  <c r="E318" i="64"/>
  <c r="E317" i="64"/>
  <c r="E316" i="64"/>
  <c r="E315" i="64"/>
  <c r="E314" i="64"/>
  <c r="E313" i="64"/>
  <c r="E312" i="64"/>
  <c r="E295" i="66"/>
  <c r="E294" i="66"/>
  <c r="E293" i="66"/>
  <c r="E292" i="66"/>
  <c r="E291" i="66"/>
  <c r="E290" i="66"/>
  <c r="E289" i="66"/>
  <c r="E288" i="66"/>
  <c r="E287" i="66"/>
  <c r="E286" i="66"/>
  <c r="E285" i="66"/>
  <c r="E284" i="66"/>
  <c r="E283" i="66"/>
  <c r="E295" i="65"/>
  <c r="E294" i="65"/>
  <c r="E293" i="65"/>
  <c r="E292" i="65"/>
  <c r="E291" i="65"/>
  <c r="E290" i="65"/>
  <c r="E289" i="65"/>
  <c r="E288" i="65"/>
  <c r="E287" i="65"/>
  <c r="E286" i="65"/>
  <c r="E285" i="65"/>
  <c r="E284" i="65"/>
  <c r="E283" i="65"/>
  <c r="E295" i="52"/>
  <c r="E294" i="52"/>
  <c r="E293" i="52"/>
  <c r="E292" i="52"/>
  <c r="E291" i="52"/>
  <c r="E290" i="52"/>
  <c r="E289" i="52"/>
  <c r="E288" i="52"/>
  <c r="E287" i="52"/>
  <c r="E286" i="52"/>
  <c r="E285" i="52"/>
  <c r="E284" i="52"/>
  <c r="E283" i="52"/>
  <c r="E295" i="64"/>
  <c r="E294" i="64"/>
  <c r="E293" i="64"/>
  <c r="E292" i="64"/>
  <c r="E291" i="64"/>
  <c r="E290" i="64"/>
  <c r="E289" i="64"/>
  <c r="E288" i="64"/>
  <c r="E287" i="64"/>
  <c r="E286" i="64"/>
  <c r="E285" i="64"/>
  <c r="E284" i="64"/>
  <c r="E283" i="64"/>
  <c r="E266" i="66"/>
  <c r="E265" i="66"/>
  <c r="E264" i="66"/>
  <c r="E263" i="66"/>
  <c r="E262" i="66"/>
  <c r="E261" i="66"/>
  <c r="E260" i="66"/>
  <c r="E259" i="66"/>
  <c r="E258" i="66"/>
  <c r="E257" i="66"/>
  <c r="E256" i="66"/>
  <c r="E255" i="66"/>
  <c r="E254" i="66"/>
  <c r="E266" i="65"/>
  <c r="E265" i="65"/>
  <c r="E264" i="65"/>
  <c r="E263" i="65"/>
  <c r="E262" i="65"/>
  <c r="E261" i="65"/>
  <c r="E260" i="65"/>
  <c r="E259" i="65"/>
  <c r="E258" i="65"/>
  <c r="E257" i="65"/>
  <c r="E256" i="65"/>
  <c r="E255" i="65"/>
  <c r="E254" i="65"/>
  <c r="E266" i="52"/>
  <c r="E265" i="52"/>
  <c r="E264" i="52"/>
  <c r="E263" i="52"/>
  <c r="E262" i="52"/>
  <c r="E261" i="52"/>
  <c r="E260" i="52"/>
  <c r="E259" i="52"/>
  <c r="E258" i="52"/>
  <c r="E257" i="52"/>
  <c r="E256" i="52"/>
  <c r="E255" i="52"/>
  <c r="E254" i="52"/>
  <c r="E266" i="64"/>
  <c r="E265" i="64"/>
  <c r="E264" i="64"/>
  <c r="E263" i="64"/>
  <c r="E262" i="64"/>
  <c r="E261" i="64"/>
  <c r="E260" i="64"/>
  <c r="E259" i="64"/>
  <c r="E258" i="64"/>
  <c r="E257" i="64"/>
  <c r="E256" i="64"/>
  <c r="E255" i="64"/>
  <c r="E254" i="64"/>
  <c r="E237" i="66"/>
  <c r="E236" i="66"/>
  <c r="E235" i="66"/>
  <c r="E234" i="66"/>
  <c r="E233" i="66"/>
  <c r="E232" i="66"/>
  <c r="E231" i="66"/>
  <c r="E230" i="66"/>
  <c r="E229" i="66"/>
  <c r="E228" i="66"/>
  <c r="E237" i="65"/>
  <c r="E236" i="65"/>
  <c r="E235" i="65"/>
  <c r="E234" i="65"/>
  <c r="E233" i="65"/>
  <c r="E232" i="65"/>
  <c r="E231" i="65"/>
  <c r="E230" i="65"/>
  <c r="E229" i="65"/>
  <c r="E228" i="65"/>
  <c r="E237" i="52"/>
  <c r="E236" i="52"/>
  <c r="E235" i="52"/>
  <c r="E234" i="52"/>
  <c r="E233" i="52"/>
  <c r="E232" i="52"/>
  <c r="E231" i="52"/>
  <c r="E230" i="52"/>
  <c r="E229" i="52"/>
  <c r="E228" i="52"/>
  <c r="E237" i="64"/>
  <c r="E236" i="64"/>
  <c r="E235" i="64"/>
  <c r="E234" i="64"/>
  <c r="E233" i="64"/>
  <c r="E232" i="64"/>
  <c r="E231" i="64"/>
  <c r="E230" i="64"/>
  <c r="E229" i="64"/>
  <c r="E228" i="64"/>
  <c r="E315" i="50"/>
  <c r="E316" i="50"/>
  <c r="E317" i="50"/>
  <c r="E318" i="50"/>
  <c r="E319" i="50"/>
  <c r="E320" i="50"/>
  <c r="E321" i="50"/>
  <c r="E322" i="50"/>
  <c r="E323" i="50"/>
  <c r="E324" i="50"/>
  <c r="E286" i="50"/>
  <c r="E287" i="50"/>
  <c r="E288" i="50"/>
  <c r="E289" i="50"/>
  <c r="E290" i="50"/>
  <c r="E291" i="50"/>
  <c r="E292" i="50"/>
  <c r="E293" i="50"/>
  <c r="E294" i="50"/>
  <c r="E295" i="50"/>
  <c r="E257" i="50"/>
  <c r="E258" i="50"/>
  <c r="E259" i="50"/>
  <c r="E260" i="50"/>
  <c r="E261" i="50"/>
  <c r="E262" i="50"/>
  <c r="E263" i="50"/>
  <c r="E264" i="50"/>
  <c r="E265" i="50"/>
  <c r="E266" i="50"/>
  <c r="E228" i="50"/>
  <c r="E229" i="50"/>
  <c r="E230" i="50"/>
  <c r="E231" i="50"/>
  <c r="E232" i="50"/>
  <c r="E233" i="50"/>
  <c r="E234" i="50"/>
  <c r="E235" i="50"/>
  <c r="E236" i="50"/>
  <c r="E237" i="50"/>
  <c r="S324" i="65"/>
  <c r="C82" i="79"/>
  <c r="C83" i="79"/>
  <c r="C84" i="79"/>
  <c r="C85" i="79"/>
  <c r="C86" i="79"/>
  <c r="C87" i="79"/>
  <c r="C88" i="79"/>
  <c r="C89" i="79"/>
  <c r="C90" i="79"/>
  <c r="C91" i="79"/>
  <c r="C92" i="79"/>
  <c r="C93" i="79"/>
  <c r="C94" i="79"/>
  <c r="C324" i="66"/>
  <c r="C323" i="66"/>
  <c r="C322" i="66"/>
  <c r="C321" i="66"/>
  <c r="C320" i="66"/>
  <c r="C319" i="66"/>
  <c r="C318" i="66"/>
  <c r="C317" i="66"/>
  <c r="C316" i="66"/>
  <c r="C315" i="66"/>
  <c r="C314" i="66"/>
  <c r="C313" i="66"/>
  <c r="C312" i="66"/>
  <c r="C311" i="66"/>
  <c r="C310" i="66"/>
  <c r="C309" i="66"/>
  <c r="C308" i="66"/>
  <c r="C307" i="66"/>
  <c r="C306" i="66"/>
  <c r="C305" i="66"/>
  <c r="C324" i="65"/>
  <c r="C323" i="65"/>
  <c r="C322" i="65"/>
  <c r="C321" i="65"/>
  <c r="C320" i="65"/>
  <c r="C319" i="65"/>
  <c r="C318" i="65"/>
  <c r="C317" i="65"/>
  <c r="C316" i="65"/>
  <c r="C315" i="65"/>
  <c r="C314" i="65"/>
  <c r="C313" i="65"/>
  <c r="C312" i="65"/>
  <c r="C311" i="65"/>
  <c r="C310" i="65"/>
  <c r="C309" i="65"/>
  <c r="C308" i="65"/>
  <c r="C307" i="65"/>
  <c r="C306" i="65"/>
  <c r="C305" i="65"/>
  <c r="C324" i="52"/>
  <c r="C323" i="52"/>
  <c r="C322" i="52"/>
  <c r="C321" i="52"/>
  <c r="C320" i="52"/>
  <c r="C319" i="52"/>
  <c r="C318" i="52"/>
  <c r="C317" i="52"/>
  <c r="C316" i="52"/>
  <c r="C315" i="52"/>
  <c r="C314" i="52"/>
  <c r="C313" i="52"/>
  <c r="C312" i="52"/>
  <c r="C311" i="52"/>
  <c r="C310" i="52"/>
  <c r="C309" i="52"/>
  <c r="C308" i="52"/>
  <c r="C307" i="52"/>
  <c r="C306" i="52"/>
  <c r="C305" i="52"/>
  <c r="C324" i="64"/>
  <c r="C323" i="64"/>
  <c r="C322" i="64"/>
  <c r="C321" i="64"/>
  <c r="C320" i="64"/>
  <c r="C319" i="64"/>
  <c r="C318" i="64"/>
  <c r="C317" i="64"/>
  <c r="C316" i="64"/>
  <c r="C315" i="64"/>
  <c r="C314" i="64"/>
  <c r="C313" i="64"/>
  <c r="C312" i="64"/>
  <c r="C311" i="64"/>
  <c r="C310" i="64"/>
  <c r="C309" i="64"/>
  <c r="C308" i="64"/>
  <c r="C307" i="64"/>
  <c r="C306" i="64"/>
  <c r="C305" i="64"/>
  <c r="C295" i="66"/>
  <c r="C294" i="66"/>
  <c r="C293" i="66"/>
  <c r="C292" i="66"/>
  <c r="C291" i="66"/>
  <c r="C290" i="66"/>
  <c r="C289" i="66"/>
  <c r="C288" i="66"/>
  <c r="C287" i="66"/>
  <c r="C286" i="66"/>
  <c r="C285" i="66"/>
  <c r="C284" i="66"/>
  <c r="C283" i="66"/>
  <c r="C282" i="66"/>
  <c r="C281" i="66"/>
  <c r="C280" i="66"/>
  <c r="C279" i="66"/>
  <c r="C278" i="66"/>
  <c r="C277" i="66"/>
  <c r="C276" i="66"/>
  <c r="C295" i="65"/>
  <c r="C294" i="65"/>
  <c r="C293" i="65"/>
  <c r="C292" i="65"/>
  <c r="C291" i="65"/>
  <c r="C290" i="65"/>
  <c r="C289" i="65"/>
  <c r="C288" i="65"/>
  <c r="C287" i="65"/>
  <c r="C286" i="65"/>
  <c r="C285" i="65"/>
  <c r="C284" i="65"/>
  <c r="C283" i="65"/>
  <c r="C282" i="65"/>
  <c r="C281" i="65"/>
  <c r="C280" i="65"/>
  <c r="C279" i="65"/>
  <c r="C278" i="65"/>
  <c r="C277" i="65"/>
  <c r="C276" i="65"/>
  <c r="C295" i="52"/>
  <c r="C294" i="52"/>
  <c r="C293" i="52"/>
  <c r="C292" i="52"/>
  <c r="C291" i="52"/>
  <c r="C290" i="52"/>
  <c r="C289" i="52"/>
  <c r="C288" i="52"/>
  <c r="C287" i="52"/>
  <c r="C286" i="52"/>
  <c r="C285" i="52"/>
  <c r="C284" i="52"/>
  <c r="C283" i="52"/>
  <c r="C282" i="52"/>
  <c r="C281" i="52"/>
  <c r="C280" i="52"/>
  <c r="C279" i="52"/>
  <c r="C278" i="52"/>
  <c r="C277" i="52"/>
  <c r="C276" i="52"/>
  <c r="C295" i="64"/>
  <c r="C294" i="64"/>
  <c r="C293" i="64"/>
  <c r="C292" i="64"/>
  <c r="C291" i="64"/>
  <c r="C290" i="64"/>
  <c r="C289" i="64"/>
  <c r="C288" i="64"/>
  <c r="C287" i="64"/>
  <c r="C286" i="64"/>
  <c r="C285" i="64"/>
  <c r="C284" i="64"/>
  <c r="C283" i="64"/>
  <c r="C282" i="64"/>
  <c r="C281" i="64"/>
  <c r="C280" i="64"/>
  <c r="C279" i="64"/>
  <c r="C278" i="64"/>
  <c r="C277" i="64"/>
  <c r="C276" i="64"/>
  <c r="C266" i="66"/>
  <c r="C265" i="66"/>
  <c r="C264" i="66"/>
  <c r="C263" i="66"/>
  <c r="C262" i="66"/>
  <c r="C261" i="66"/>
  <c r="C260" i="66"/>
  <c r="C259" i="66"/>
  <c r="C258" i="66"/>
  <c r="C257" i="66"/>
  <c r="C256" i="66"/>
  <c r="C255" i="66"/>
  <c r="C254" i="66"/>
  <c r="C253" i="66"/>
  <c r="C252" i="66"/>
  <c r="C251" i="66"/>
  <c r="C250" i="66"/>
  <c r="C249" i="66"/>
  <c r="C248" i="66"/>
  <c r="C247" i="66"/>
  <c r="C266" i="65"/>
  <c r="C265" i="65"/>
  <c r="C264" i="65"/>
  <c r="C263" i="65"/>
  <c r="C262" i="65"/>
  <c r="C261" i="65"/>
  <c r="C260" i="65"/>
  <c r="C259" i="65"/>
  <c r="C258" i="65"/>
  <c r="C257" i="65"/>
  <c r="C256" i="65"/>
  <c r="C255" i="65"/>
  <c r="C254" i="65"/>
  <c r="C253" i="65"/>
  <c r="C252" i="65"/>
  <c r="C251" i="65"/>
  <c r="C250" i="65"/>
  <c r="C249" i="65"/>
  <c r="C248" i="65"/>
  <c r="C247" i="65"/>
  <c r="C266" i="52"/>
  <c r="C265" i="52"/>
  <c r="C264" i="52"/>
  <c r="C263" i="52"/>
  <c r="C262" i="52"/>
  <c r="C261" i="52"/>
  <c r="C260" i="52"/>
  <c r="C259" i="52"/>
  <c r="C258" i="52"/>
  <c r="C257" i="52"/>
  <c r="C256" i="52"/>
  <c r="C255" i="52"/>
  <c r="C254" i="52"/>
  <c r="C253" i="52"/>
  <c r="C252" i="52"/>
  <c r="C251" i="52"/>
  <c r="C250" i="52"/>
  <c r="C249" i="52"/>
  <c r="C248" i="52"/>
  <c r="C247" i="52"/>
  <c r="C266" i="64"/>
  <c r="C265" i="64"/>
  <c r="C264" i="64"/>
  <c r="C263" i="64"/>
  <c r="C262" i="64"/>
  <c r="C261" i="64"/>
  <c r="C260" i="64"/>
  <c r="C259" i="64"/>
  <c r="C258" i="64"/>
  <c r="C257" i="64"/>
  <c r="C256" i="64"/>
  <c r="C255" i="64"/>
  <c r="C254" i="64"/>
  <c r="C253" i="64"/>
  <c r="C252" i="64"/>
  <c r="C251" i="64"/>
  <c r="C250" i="64"/>
  <c r="C249" i="64"/>
  <c r="C248" i="64"/>
  <c r="C247" i="64"/>
  <c r="C237" i="66"/>
  <c r="C236" i="66"/>
  <c r="C235" i="66"/>
  <c r="C234" i="66"/>
  <c r="C233" i="66"/>
  <c r="C232" i="66"/>
  <c r="C231" i="66"/>
  <c r="C230" i="66"/>
  <c r="C229" i="66"/>
  <c r="C228" i="66"/>
  <c r="C227" i="66"/>
  <c r="C226" i="66"/>
  <c r="C225" i="66"/>
  <c r="C224" i="66"/>
  <c r="C223" i="66"/>
  <c r="C222" i="66"/>
  <c r="C221" i="66"/>
  <c r="C220" i="66"/>
  <c r="C219" i="66"/>
  <c r="C218" i="66"/>
  <c r="D356" i="66"/>
  <c r="C237" i="65"/>
  <c r="C236" i="65"/>
  <c r="C235" i="65"/>
  <c r="C234" i="65"/>
  <c r="C233" i="65"/>
  <c r="C232" i="65"/>
  <c r="C231" i="65"/>
  <c r="C230" i="65"/>
  <c r="C229" i="65"/>
  <c r="C228" i="65"/>
  <c r="C227" i="65"/>
  <c r="C226" i="65"/>
  <c r="C225" i="65"/>
  <c r="C224" i="65"/>
  <c r="C223" i="65"/>
  <c r="C222" i="65"/>
  <c r="C221" i="65"/>
  <c r="C220" i="65"/>
  <c r="C219" i="65"/>
  <c r="C218" i="65"/>
  <c r="C237" i="52"/>
  <c r="C236" i="52"/>
  <c r="C235" i="52"/>
  <c r="C234" i="52"/>
  <c r="C233" i="52"/>
  <c r="C232" i="52"/>
  <c r="C231" i="52"/>
  <c r="C230" i="52"/>
  <c r="C229" i="52"/>
  <c r="C228" i="52"/>
  <c r="C227" i="52"/>
  <c r="C226" i="52"/>
  <c r="C225" i="52"/>
  <c r="C224" i="52"/>
  <c r="C223" i="52"/>
  <c r="C222" i="52"/>
  <c r="C221" i="52"/>
  <c r="C220" i="52"/>
  <c r="C219" i="52"/>
  <c r="C218" i="52"/>
  <c r="C237" i="64"/>
  <c r="C236" i="64"/>
  <c r="C235" i="64"/>
  <c r="C234" i="64"/>
  <c r="C233" i="64"/>
  <c r="C232" i="64"/>
  <c r="C231" i="64"/>
  <c r="C230" i="64"/>
  <c r="C229" i="64"/>
  <c r="C228" i="64"/>
  <c r="C227" i="64"/>
  <c r="C226" i="64"/>
  <c r="C225" i="64"/>
  <c r="C224" i="64"/>
  <c r="C223" i="64"/>
  <c r="C222" i="64"/>
  <c r="C221" i="64"/>
  <c r="C220" i="64"/>
  <c r="C219" i="64"/>
  <c r="C218" i="64"/>
  <c r="C306" i="50"/>
  <c r="C307" i="50"/>
  <c r="C308" i="50"/>
  <c r="C309" i="50"/>
  <c r="C310" i="50"/>
  <c r="C311" i="50"/>
  <c r="C312" i="50"/>
  <c r="C313" i="50"/>
  <c r="C314" i="50"/>
  <c r="C315" i="50"/>
  <c r="C316" i="50"/>
  <c r="C317" i="50"/>
  <c r="C318" i="50"/>
  <c r="C319" i="50"/>
  <c r="C320" i="50"/>
  <c r="C321" i="50"/>
  <c r="C322" i="50"/>
  <c r="C323" i="50"/>
  <c r="C324" i="50"/>
  <c r="C305" i="50"/>
  <c r="C277" i="50"/>
  <c r="C278" i="50"/>
  <c r="C279" i="50"/>
  <c r="C280" i="50"/>
  <c r="C281" i="50"/>
  <c r="C282" i="50"/>
  <c r="C283" i="50"/>
  <c r="C284" i="50"/>
  <c r="C285" i="50"/>
  <c r="C286" i="50"/>
  <c r="C287" i="50"/>
  <c r="C288" i="50"/>
  <c r="C289" i="50"/>
  <c r="C290" i="50"/>
  <c r="C291" i="50"/>
  <c r="C292" i="50"/>
  <c r="C293" i="50"/>
  <c r="C294" i="50"/>
  <c r="C295" i="50"/>
  <c r="C276" i="50"/>
  <c r="C248" i="50"/>
  <c r="C249" i="50"/>
  <c r="C250" i="50"/>
  <c r="C251" i="50"/>
  <c r="C252" i="50"/>
  <c r="C253" i="50"/>
  <c r="C254" i="50"/>
  <c r="C255" i="50"/>
  <c r="C256" i="50"/>
  <c r="C257" i="50"/>
  <c r="C258" i="50"/>
  <c r="C259" i="50"/>
  <c r="C260" i="50"/>
  <c r="C261" i="50"/>
  <c r="C262" i="50"/>
  <c r="C263" i="50"/>
  <c r="C264" i="50"/>
  <c r="C265" i="50"/>
  <c r="C266" i="50"/>
  <c r="C247" i="50"/>
  <c r="C219" i="50"/>
  <c r="C220" i="50"/>
  <c r="C221" i="50"/>
  <c r="C222" i="50"/>
  <c r="C223" i="50"/>
  <c r="C224" i="50"/>
  <c r="C225" i="50"/>
  <c r="C226" i="50"/>
  <c r="C227" i="50"/>
  <c r="C70" i="50"/>
  <c r="C71" i="50"/>
  <c r="C72" i="50"/>
  <c r="C151" i="50"/>
  <c r="C73" i="50"/>
  <c r="C74" i="50"/>
  <c r="C198" i="50"/>
  <c r="D227" i="50"/>
  <c r="C228" i="50"/>
  <c r="C229" i="50"/>
  <c r="C230" i="50"/>
  <c r="C231" i="50"/>
  <c r="C232" i="50"/>
  <c r="C233" i="50"/>
  <c r="C234" i="50"/>
  <c r="C235" i="50"/>
  <c r="C236" i="50"/>
  <c r="C237" i="50"/>
  <c r="C218" i="50"/>
  <c r="V76" i="79"/>
  <c r="N76" i="79"/>
  <c r="V77" i="79"/>
  <c r="N77" i="79"/>
  <c r="V78" i="79"/>
  <c r="N78" i="79"/>
  <c r="V79" i="79"/>
  <c r="N79" i="79"/>
  <c r="V80" i="79"/>
  <c r="N80" i="79"/>
  <c r="V82" i="79"/>
  <c r="N82" i="79"/>
  <c r="V83" i="79"/>
  <c r="N83" i="79"/>
  <c r="V84" i="79"/>
  <c r="N84" i="79"/>
  <c r="V85" i="79"/>
  <c r="N85" i="79"/>
  <c r="V86" i="79"/>
  <c r="N86" i="79"/>
  <c r="V87" i="79"/>
  <c r="N87" i="79"/>
  <c r="V88" i="79"/>
  <c r="N88" i="79"/>
  <c r="V89" i="79"/>
  <c r="N89" i="79"/>
  <c r="V90" i="79"/>
  <c r="N90" i="79"/>
  <c r="V91" i="79"/>
  <c r="N91" i="79"/>
  <c r="V92" i="79"/>
  <c r="N92" i="79"/>
  <c r="V93" i="79"/>
  <c r="N93" i="79"/>
  <c r="V94" i="79"/>
  <c r="N94" i="79"/>
  <c r="V75" i="79"/>
  <c r="N75" i="79"/>
  <c r="W82" i="79"/>
  <c r="W83" i="79"/>
  <c r="W84" i="79"/>
  <c r="W85" i="79"/>
  <c r="W86" i="79"/>
  <c r="W87" i="79"/>
  <c r="W88" i="79"/>
  <c r="W89" i="79"/>
  <c r="W90" i="79"/>
  <c r="W91" i="79"/>
  <c r="W92" i="79"/>
  <c r="W93" i="79"/>
  <c r="W94" i="79"/>
  <c r="N74" i="79"/>
  <c r="W324" i="66"/>
  <c r="V324" i="66"/>
  <c r="N324" i="66"/>
  <c r="S324" i="66"/>
  <c r="W323" i="66"/>
  <c r="V323" i="66"/>
  <c r="N323" i="66"/>
  <c r="W322" i="66"/>
  <c r="V322" i="66"/>
  <c r="N322" i="66"/>
  <c r="W321" i="66"/>
  <c r="V321" i="66"/>
  <c r="N321" i="66"/>
  <c r="W320" i="66"/>
  <c r="V320" i="66"/>
  <c r="N320" i="66"/>
  <c r="W319" i="66"/>
  <c r="V319" i="66"/>
  <c r="N319" i="66"/>
  <c r="W318" i="66"/>
  <c r="V318" i="66"/>
  <c r="N318" i="66"/>
  <c r="W317" i="66"/>
  <c r="V317" i="66"/>
  <c r="N317" i="66"/>
  <c r="W316" i="66"/>
  <c r="V316" i="66"/>
  <c r="N316" i="66"/>
  <c r="W315" i="66"/>
  <c r="V315" i="66"/>
  <c r="N315" i="66"/>
  <c r="W314" i="66"/>
  <c r="V314" i="66"/>
  <c r="N314" i="66"/>
  <c r="W313" i="66"/>
  <c r="V313" i="66"/>
  <c r="N313" i="66"/>
  <c r="W312" i="66"/>
  <c r="V312" i="66"/>
  <c r="N312" i="66"/>
  <c r="S311" i="66"/>
  <c r="V310" i="66"/>
  <c r="N310" i="66"/>
  <c r="V309" i="66"/>
  <c r="N309" i="66"/>
  <c r="V308" i="66"/>
  <c r="N308" i="66"/>
  <c r="V307" i="66"/>
  <c r="N307" i="66"/>
  <c r="V306" i="66"/>
  <c r="N306" i="66"/>
  <c r="V305" i="66"/>
  <c r="N305" i="66"/>
  <c r="N304" i="66"/>
  <c r="W295" i="66"/>
  <c r="V295" i="66"/>
  <c r="N295" i="66"/>
  <c r="S295" i="66"/>
  <c r="W294" i="66"/>
  <c r="V294" i="66"/>
  <c r="N294" i="66"/>
  <c r="W293" i="66"/>
  <c r="V293" i="66"/>
  <c r="N293" i="66"/>
  <c r="W292" i="66"/>
  <c r="V292" i="66"/>
  <c r="N292" i="66"/>
  <c r="W291" i="66"/>
  <c r="V291" i="66"/>
  <c r="N291" i="66"/>
  <c r="W290" i="66"/>
  <c r="V290" i="66"/>
  <c r="N290" i="66"/>
  <c r="W289" i="66"/>
  <c r="V289" i="66"/>
  <c r="N289" i="66"/>
  <c r="W288" i="66"/>
  <c r="V288" i="66"/>
  <c r="N288" i="66"/>
  <c r="W287" i="66"/>
  <c r="V287" i="66"/>
  <c r="N287" i="66"/>
  <c r="W286" i="66"/>
  <c r="V286" i="66"/>
  <c r="N286" i="66"/>
  <c r="W285" i="66"/>
  <c r="V285" i="66"/>
  <c r="N285" i="66"/>
  <c r="W284" i="66"/>
  <c r="V284" i="66"/>
  <c r="N284" i="66"/>
  <c r="W283" i="66"/>
  <c r="V283" i="66"/>
  <c r="N283" i="66"/>
  <c r="S282" i="66"/>
  <c r="V281" i="66"/>
  <c r="N281" i="66"/>
  <c r="V280" i="66"/>
  <c r="N280" i="66"/>
  <c r="V279" i="66"/>
  <c r="N279" i="66"/>
  <c r="V278" i="66"/>
  <c r="N278" i="66"/>
  <c r="V277" i="66"/>
  <c r="N277" i="66"/>
  <c r="V276" i="66"/>
  <c r="N276" i="66"/>
  <c r="V275" i="66"/>
  <c r="N275" i="66"/>
  <c r="W266" i="66"/>
  <c r="V266" i="66"/>
  <c r="N266" i="66"/>
  <c r="S266" i="66"/>
  <c r="W265" i="66"/>
  <c r="V265" i="66"/>
  <c r="N265" i="66"/>
  <c r="W264" i="66"/>
  <c r="V264" i="66"/>
  <c r="N264" i="66"/>
  <c r="W263" i="66"/>
  <c r="V263" i="66"/>
  <c r="N263" i="66"/>
  <c r="W262" i="66"/>
  <c r="V262" i="66"/>
  <c r="N262" i="66"/>
  <c r="W261" i="66"/>
  <c r="V261" i="66"/>
  <c r="N261" i="66"/>
  <c r="W260" i="66"/>
  <c r="V260" i="66"/>
  <c r="N260" i="66"/>
  <c r="W259" i="66"/>
  <c r="V259" i="66"/>
  <c r="N259" i="66"/>
  <c r="W258" i="66"/>
  <c r="V258" i="66"/>
  <c r="N258" i="66"/>
  <c r="W257" i="66"/>
  <c r="V257" i="66"/>
  <c r="N257" i="66"/>
  <c r="W256" i="66"/>
  <c r="V256" i="66"/>
  <c r="N256" i="66"/>
  <c r="W255" i="66"/>
  <c r="V255" i="66"/>
  <c r="N255" i="66"/>
  <c r="W254" i="66"/>
  <c r="V254" i="66"/>
  <c r="N254" i="66"/>
  <c r="S253" i="66"/>
  <c r="V252" i="66"/>
  <c r="N252" i="66"/>
  <c r="V251" i="66"/>
  <c r="N251" i="66"/>
  <c r="V250" i="66"/>
  <c r="N250" i="66"/>
  <c r="V249" i="66"/>
  <c r="N249" i="66"/>
  <c r="V248" i="66"/>
  <c r="N248" i="66"/>
  <c r="V247" i="66"/>
  <c r="N247" i="66"/>
  <c r="N246" i="66"/>
  <c r="W237" i="66"/>
  <c r="V237" i="66"/>
  <c r="N237" i="66"/>
  <c r="S237" i="66"/>
  <c r="W236" i="66"/>
  <c r="V236" i="66"/>
  <c r="N236" i="66"/>
  <c r="W235" i="66"/>
  <c r="V235" i="66"/>
  <c r="N235" i="66"/>
  <c r="W234" i="66"/>
  <c r="V234" i="66"/>
  <c r="N234" i="66"/>
  <c r="W233" i="66"/>
  <c r="V233" i="66"/>
  <c r="N233" i="66"/>
  <c r="W232" i="66"/>
  <c r="V232" i="66"/>
  <c r="N232" i="66"/>
  <c r="W231" i="66"/>
  <c r="V231" i="66"/>
  <c r="N231" i="66"/>
  <c r="W230" i="66"/>
  <c r="V230" i="66"/>
  <c r="N230" i="66"/>
  <c r="W229" i="66"/>
  <c r="V229" i="66"/>
  <c r="N229" i="66"/>
  <c r="W228" i="66"/>
  <c r="V228" i="66"/>
  <c r="N228" i="66"/>
  <c r="S227" i="66"/>
  <c r="V226" i="66"/>
  <c r="N226" i="66"/>
  <c r="V225" i="66"/>
  <c r="N225" i="66"/>
  <c r="V224" i="66"/>
  <c r="N224" i="66"/>
  <c r="V223" i="66"/>
  <c r="N223" i="66"/>
  <c r="V222" i="66"/>
  <c r="N222" i="66"/>
  <c r="V221" i="66"/>
  <c r="N221" i="66"/>
  <c r="V220" i="66"/>
  <c r="N220" i="66"/>
  <c r="V219" i="66"/>
  <c r="N219" i="66"/>
  <c r="V218" i="66"/>
  <c r="N218" i="66"/>
  <c r="N217" i="66"/>
  <c r="W324" i="65"/>
  <c r="V324" i="65"/>
  <c r="N324" i="65"/>
  <c r="W323" i="65"/>
  <c r="V323" i="65"/>
  <c r="N323" i="65"/>
  <c r="W322" i="65"/>
  <c r="V322" i="65"/>
  <c r="N322" i="65"/>
  <c r="W321" i="65"/>
  <c r="V321" i="65"/>
  <c r="N321" i="65"/>
  <c r="W320" i="65"/>
  <c r="V320" i="65"/>
  <c r="N320" i="65"/>
  <c r="W319" i="65"/>
  <c r="V319" i="65"/>
  <c r="N319" i="65"/>
  <c r="W318" i="65"/>
  <c r="V318" i="65"/>
  <c r="N318" i="65"/>
  <c r="W317" i="65"/>
  <c r="V317" i="65"/>
  <c r="N317" i="65"/>
  <c r="W316" i="65"/>
  <c r="V316" i="65"/>
  <c r="N316" i="65"/>
  <c r="W315" i="65"/>
  <c r="V315" i="65"/>
  <c r="N315" i="65"/>
  <c r="W314" i="65"/>
  <c r="V314" i="65"/>
  <c r="N314" i="65"/>
  <c r="W313" i="65"/>
  <c r="V313" i="65"/>
  <c r="N313" i="65"/>
  <c r="W312" i="65"/>
  <c r="V312" i="65"/>
  <c r="N312" i="65"/>
  <c r="S311" i="65"/>
  <c r="V310" i="65"/>
  <c r="N310" i="65"/>
  <c r="V309" i="65"/>
  <c r="N309" i="65"/>
  <c r="V308" i="65"/>
  <c r="N308" i="65"/>
  <c r="V307" i="65"/>
  <c r="N307" i="65"/>
  <c r="V306" i="65"/>
  <c r="N306" i="65"/>
  <c r="V305" i="65"/>
  <c r="N305" i="65"/>
  <c r="N304" i="65"/>
  <c r="W295" i="65"/>
  <c r="V295" i="65"/>
  <c r="N295" i="65"/>
  <c r="S295" i="65"/>
  <c r="W294" i="65"/>
  <c r="V294" i="65"/>
  <c r="N294" i="65"/>
  <c r="W293" i="65"/>
  <c r="V293" i="65"/>
  <c r="N293" i="65"/>
  <c r="W292" i="65"/>
  <c r="V292" i="65"/>
  <c r="N292" i="65"/>
  <c r="W291" i="65"/>
  <c r="V291" i="65"/>
  <c r="N291" i="65"/>
  <c r="W290" i="65"/>
  <c r="V290" i="65"/>
  <c r="N290" i="65"/>
  <c r="W289" i="65"/>
  <c r="V289" i="65"/>
  <c r="N289" i="65"/>
  <c r="W288" i="65"/>
  <c r="V288" i="65"/>
  <c r="N288" i="65"/>
  <c r="W287" i="65"/>
  <c r="V287" i="65"/>
  <c r="N287" i="65"/>
  <c r="W286" i="65"/>
  <c r="V286" i="65"/>
  <c r="N286" i="65"/>
  <c r="W285" i="65"/>
  <c r="V285" i="65"/>
  <c r="N285" i="65"/>
  <c r="W284" i="65"/>
  <c r="V284" i="65"/>
  <c r="N284" i="65"/>
  <c r="W283" i="65"/>
  <c r="V283" i="65"/>
  <c r="N283" i="65"/>
  <c r="S282" i="65"/>
  <c r="V281" i="65"/>
  <c r="N281" i="65"/>
  <c r="V280" i="65"/>
  <c r="N280" i="65"/>
  <c r="V279" i="65"/>
  <c r="N279" i="65"/>
  <c r="V278" i="65"/>
  <c r="N278" i="65"/>
  <c r="V277" i="65"/>
  <c r="N277" i="65"/>
  <c r="V276" i="65"/>
  <c r="N276" i="65"/>
  <c r="V275" i="65"/>
  <c r="N275" i="65"/>
  <c r="W266" i="65"/>
  <c r="V266" i="65"/>
  <c r="N266" i="65"/>
  <c r="S266" i="65"/>
  <c r="W265" i="65"/>
  <c r="V265" i="65"/>
  <c r="N265" i="65"/>
  <c r="W264" i="65"/>
  <c r="V264" i="65"/>
  <c r="N264" i="65"/>
  <c r="W263" i="65"/>
  <c r="V263" i="65"/>
  <c r="N263" i="65"/>
  <c r="W262" i="65"/>
  <c r="V262" i="65"/>
  <c r="N262" i="65"/>
  <c r="W261" i="65"/>
  <c r="V261" i="65"/>
  <c r="N261" i="65"/>
  <c r="W260" i="65"/>
  <c r="V260" i="65"/>
  <c r="N260" i="65"/>
  <c r="W259" i="65"/>
  <c r="V259" i="65"/>
  <c r="N259" i="65"/>
  <c r="W258" i="65"/>
  <c r="V258" i="65"/>
  <c r="N258" i="65"/>
  <c r="W257" i="65"/>
  <c r="V257" i="65"/>
  <c r="N257" i="65"/>
  <c r="W256" i="65"/>
  <c r="V256" i="65"/>
  <c r="N256" i="65"/>
  <c r="W255" i="65"/>
  <c r="V255" i="65"/>
  <c r="N255" i="65"/>
  <c r="W254" i="65"/>
  <c r="V254" i="65"/>
  <c r="N254" i="65"/>
  <c r="S253" i="65"/>
  <c r="V252" i="65"/>
  <c r="N252" i="65"/>
  <c r="V251" i="65"/>
  <c r="N251" i="65"/>
  <c r="V250" i="65"/>
  <c r="N250" i="65"/>
  <c r="V249" i="65"/>
  <c r="N249" i="65"/>
  <c r="V248" i="65"/>
  <c r="N248" i="65"/>
  <c r="V247" i="65"/>
  <c r="N247" i="65"/>
  <c r="N246" i="65"/>
  <c r="W237" i="65"/>
  <c r="V237" i="65"/>
  <c r="N237" i="65"/>
  <c r="S237" i="65"/>
  <c r="W236" i="65"/>
  <c r="V236" i="65"/>
  <c r="N236" i="65"/>
  <c r="W235" i="65"/>
  <c r="V235" i="65"/>
  <c r="N235" i="65"/>
  <c r="W234" i="65"/>
  <c r="V234" i="65"/>
  <c r="N234" i="65"/>
  <c r="W233" i="65"/>
  <c r="V233" i="65"/>
  <c r="N233" i="65"/>
  <c r="W232" i="65"/>
  <c r="V232" i="65"/>
  <c r="N232" i="65"/>
  <c r="W231" i="65"/>
  <c r="V231" i="65"/>
  <c r="N231" i="65"/>
  <c r="W230" i="65"/>
  <c r="V230" i="65"/>
  <c r="N230" i="65"/>
  <c r="W229" i="65"/>
  <c r="V229" i="65"/>
  <c r="N229" i="65"/>
  <c r="W228" i="65"/>
  <c r="V228" i="65"/>
  <c r="N228" i="65"/>
  <c r="S227" i="65"/>
  <c r="V226" i="65"/>
  <c r="N226" i="65"/>
  <c r="V225" i="65"/>
  <c r="N225" i="65"/>
  <c r="V224" i="65"/>
  <c r="N224" i="65"/>
  <c r="V223" i="65"/>
  <c r="N223" i="65"/>
  <c r="V222" i="65"/>
  <c r="N222" i="65"/>
  <c r="V221" i="65"/>
  <c r="N221" i="65"/>
  <c r="V220" i="65"/>
  <c r="N220" i="65"/>
  <c r="V219" i="65"/>
  <c r="N219" i="65"/>
  <c r="V218" i="65"/>
  <c r="N218" i="65"/>
  <c r="N217" i="65"/>
  <c r="W324" i="52"/>
  <c r="V324" i="52"/>
  <c r="N324" i="52"/>
  <c r="S324" i="52"/>
  <c r="W323" i="52"/>
  <c r="V323" i="52"/>
  <c r="N323" i="52"/>
  <c r="W322" i="52"/>
  <c r="V322" i="52"/>
  <c r="N322" i="52"/>
  <c r="W321" i="52"/>
  <c r="V321" i="52"/>
  <c r="N321" i="52"/>
  <c r="W320" i="52"/>
  <c r="V320" i="52"/>
  <c r="N320" i="52"/>
  <c r="W319" i="52"/>
  <c r="V319" i="52"/>
  <c r="N319" i="52"/>
  <c r="W318" i="52"/>
  <c r="V318" i="52"/>
  <c r="N318" i="52"/>
  <c r="W317" i="52"/>
  <c r="V317" i="52"/>
  <c r="N317" i="52"/>
  <c r="W316" i="52"/>
  <c r="V316" i="52"/>
  <c r="N316" i="52"/>
  <c r="W315" i="52"/>
  <c r="V315" i="52"/>
  <c r="N315" i="52"/>
  <c r="W314" i="52"/>
  <c r="V314" i="52"/>
  <c r="N314" i="52"/>
  <c r="W313" i="52"/>
  <c r="V313" i="52"/>
  <c r="N313" i="52"/>
  <c r="W312" i="52"/>
  <c r="V312" i="52"/>
  <c r="N312" i="52"/>
  <c r="S311" i="52"/>
  <c r="V310" i="52"/>
  <c r="N310" i="52"/>
  <c r="V309" i="52"/>
  <c r="N309" i="52"/>
  <c r="V308" i="52"/>
  <c r="N308" i="52"/>
  <c r="V307" i="52"/>
  <c r="N307" i="52"/>
  <c r="V306" i="52"/>
  <c r="N306" i="52"/>
  <c r="V305" i="52"/>
  <c r="N305" i="52"/>
  <c r="N304" i="52"/>
  <c r="W295" i="52"/>
  <c r="V295" i="52"/>
  <c r="N295" i="52"/>
  <c r="S295" i="52"/>
  <c r="W294" i="52"/>
  <c r="V294" i="52"/>
  <c r="N294" i="52"/>
  <c r="W293" i="52"/>
  <c r="V293" i="52"/>
  <c r="N293" i="52"/>
  <c r="W292" i="52"/>
  <c r="V292" i="52"/>
  <c r="N292" i="52"/>
  <c r="W291" i="52"/>
  <c r="V291" i="52"/>
  <c r="N291" i="52"/>
  <c r="W290" i="52"/>
  <c r="V290" i="52"/>
  <c r="N290" i="52"/>
  <c r="W289" i="52"/>
  <c r="V289" i="52"/>
  <c r="N289" i="52"/>
  <c r="W288" i="52"/>
  <c r="V288" i="52"/>
  <c r="N288" i="52"/>
  <c r="W287" i="52"/>
  <c r="V287" i="52"/>
  <c r="N287" i="52"/>
  <c r="W286" i="52"/>
  <c r="V286" i="52"/>
  <c r="N286" i="52"/>
  <c r="W285" i="52"/>
  <c r="V285" i="52"/>
  <c r="N285" i="52"/>
  <c r="W284" i="52"/>
  <c r="V284" i="52"/>
  <c r="N284" i="52"/>
  <c r="W283" i="52"/>
  <c r="V283" i="52"/>
  <c r="N283" i="52"/>
  <c r="S282" i="52"/>
  <c r="V281" i="52"/>
  <c r="N281" i="52"/>
  <c r="V280" i="52"/>
  <c r="N280" i="52"/>
  <c r="V279" i="52"/>
  <c r="N279" i="52"/>
  <c r="V278" i="52"/>
  <c r="N278" i="52"/>
  <c r="V277" i="52"/>
  <c r="N277" i="52"/>
  <c r="V276" i="52"/>
  <c r="N276" i="52"/>
  <c r="V275" i="52"/>
  <c r="N275" i="52"/>
  <c r="W266" i="52"/>
  <c r="V266" i="52"/>
  <c r="N266" i="52"/>
  <c r="S266" i="52"/>
  <c r="W265" i="52"/>
  <c r="V265" i="52"/>
  <c r="N265" i="52"/>
  <c r="W264" i="52"/>
  <c r="V264" i="52"/>
  <c r="N264" i="52"/>
  <c r="W263" i="52"/>
  <c r="V263" i="52"/>
  <c r="N263" i="52"/>
  <c r="W262" i="52"/>
  <c r="V262" i="52"/>
  <c r="N262" i="52"/>
  <c r="W261" i="52"/>
  <c r="V261" i="52"/>
  <c r="N261" i="52"/>
  <c r="W260" i="52"/>
  <c r="V260" i="52"/>
  <c r="N260" i="52"/>
  <c r="W259" i="52"/>
  <c r="V259" i="52"/>
  <c r="N259" i="52"/>
  <c r="W258" i="52"/>
  <c r="V258" i="52"/>
  <c r="N258" i="52"/>
  <c r="W257" i="52"/>
  <c r="V257" i="52"/>
  <c r="N257" i="52"/>
  <c r="W256" i="52"/>
  <c r="V256" i="52"/>
  <c r="N256" i="52"/>
  <c r="W255" i="52"/>
  <c r="V255" i="52"/>
  <c r="N255" i="52"/>
  <c r="W254" i="52"/>
  <c r="V254" i="52"/>
  <c r="N254" i="52"/>
  <c r="S253" i="52"/>
  <c r="V252" i="52"/>
  <c r="N252" i="52"/>
  <c r="V251" i="52"/>
  <c r="N251" i="52"/>
  <c r="V250" i="52"/>
  <c r="N250" i="52"/>
  <c r="V249" i="52"/>
  <c r="N249" i="52"/>
  <c r="V248" i="52"/>
  <c r="N248" i="52"/>
  <c r="V247" i="52"/>
  <c r="N247" i="52"/>
  <c r="N246" i="52"/>
  <c r="W237" i="52"/>
  <c r="V237" i="52"/>
  <c r="N237" i="52"/>
  <c r="S237" i="52"/>
  <c r="W236" i="52"/>
  <c r="V236" i="52"/>
  <c r="N236" i="52"/>
  <c r="W235" i="52"/>
  <c r="V235" i="52"/>
  <c r="N235" i="52"/>
  <c r="W234" i="52"/>
  <c r="V234" i="52"/>
  <c r="N234" i="52"/>
  <c r="W233" i="52"/>
  <c r="V233" i="52"/>
  <c r="N233" i="52"/>
  <c r="W232" i="52"/>
  <c r="V232" i="52"/>
  <c r="N232" i="52"/>
  <c r="W231" i="52"/>
  <c r="V231" i="52"/>
  <c r="N231" i="52"/>
  <c r="W230" i="52"/>
  <c r="V230" i="52"/>
  <c r="N230" i="52"/>
  <c r="W229" i="52"/>
  <c r="V229" i="52"/>
  <c r="N229" i="52"/>
  <c r="W228" i="52"/>
  <c r="V228" i="52"/>
  <c r="N228" i="52"/>
  <c r="S227" i="52"/>
  <c r="V226" i="52"/>
  <c r="N226" i="52"/>
  <c r="V225" i="52"/>
  <c r="N225" i="52"/>
  <c r="V224" i="52"/>
  <c r="N224" i="52"/>
  <c r="V223" i="52"/>
  <c r="N223" i="52"/>
  <c r="V222" i="52"/>
  <c r="N222" i="52"/>
  <c r="V221" i="52"/>
  <c r="N221" i="52"/>
  <c r="V220" i="52"/>
  <c r="N220" i="52"/>
  <c r="V219" i="52"/>
  <c r="N219" i="52"/>
  <c r="V218" i="52"/>
  <c r="N218" i="52"/>
  <c r="N217" i="52"/>
  <c r="W324" i="64"/>
  <c r="V324" i="64"/>
  <c r="N324" i="64"/>
  <c r="S324" i="64"/>
  <c r="W323" i="64"/>
  <c r="V323" i="64"/>
  <c r="N323" i="64"/>
  <c r="W322" i="64"/>
  <c r="V322" i="64"/>
  <c r="N322" i="64"/>
  <c r="W321" i="64"/>
  <c r="V321" i="64"/>
  <c r="N321" i="64"/>
  <c r="W320" i="64"/>
  <c r="V320" i="64"/>
  <c r="N320" i="64"/>
  <c r="W319" i="64"/>
  <c r="V319" i="64"/>
  <c r="N319" i="64"/>
  <c r="W318" i="64"/>
  <c r="V318" i="64"/>
  <c r="N318" i="64"/>
  <c r="W317" i="64"/>
  <c r="V317" i="64"/>
  <c r="N317" i="64"/>
  <c r="W316" i="64"/>
  <c r="V316" i="64"/>
  <c r="N316" i="64"/>
  <c r="W315" i="64"/>
  <c r="V315" i="64"/>
  <c r="N315" i="64"/>
  <c r="W314" i="64"/>
  <c r="V314" i="64"/>
  <c r="N314" i="64"/>
  <c r="W313" i="64"/>
  <c r="V313" i="64"/>
  <c r="N313" i="64"/>
  <c r="W312" i="64"/>
  <c r="V312" i="64"/>
  <c r="N312" i="64"/>
  <c r="S311" i="64"/>
  <c r="V310" i="64"/>
  <c r="N310" i="64"/>
  <c r="V309" i="64"/>
  <c r="N309" i="64"/>
  <c r="V308" i="64"/>
  <c r="N308" i="64"/>
  <c r="V307" i="64"/>
  <c r="N307" i="64"/>
  <c r="V306" i="64"/>
  <c r="N306" i="64"/>
  <c r="V305" i="64"/>
  <c r="N305" i="64"/>
  <c r="N304" i="64"/>
  <c r="W295" i="64"/>
  <c r="V295" i="64"/>
  <c r="N295" i="64"/>
  <c r="S295" i="64"/>
  <c r="W294" i="64"/>
  <c r="V294" i="64"/>
  <c r="N294" i="64"/>
  <c r="W293" i="64"/>
  <c r="V293" i="64"/>
  <c r="N293" i="64"/>
  <c r="W292" i="64"/>
  <c r="V292" i="64"/>
  <c r="N292" i="64"/>
  <c r="W291" i="64"/>
  <c r="V291" i="64"/>
  <c r="N291" i="64"/>
  <c r="W290" i="64"/>
  <c r="V290" i="64"/>
  <c r="N290" i="64"/>
  <c r="W289" i="64"/>
  <c r="V289" i="64"/>
  <c r="N289" i="64"/>
  <c r="W288" i="64"/>
  <c r="V288" i="64"/>
  <c r="N288" i="64"/>
  <c r="W287" i="64"/>
  <c r="V287" i="64"/>
  <c r="N287" i="64"/>
  <c r="W286" i="64"/>
  <c r="V286" i="64"/>
  <c r="N286" i="64"/>
  <c r="W285" i="64"/>
  <c r="V285" i="64"/>
  <c r="N285" i="64"/>
  <c r="W284" i="64"/>
  <c r="V284" i="64"/>
  <c r="N284" i="64"/>
  <c r="W283" i="64"/>
  <c r="V283" i="64"/>
  <c r="N283" i="64"/>
  <c r="S282" i="64"/>
  <c r="V281" i="64"/>
  <c r="N281" i="64"/>
  <c r="V280" i="64"/>
  <c r="N280" i="64"/>
  <c r="V279" i="64"/>
  <c r="N279" i="64"/>
  <c r="V278" i="64"/>
  <c r="N278" i="64"/>
  <c r="V277" i="64"/>
  <c r="N277" i="64"/>
  <c r="V276" i="64"/>
  <c r="N276" i="64"/>
  <c r="V275" i="64"/>
  <c r="N275" i="64"/>
  <c r="W266" i="64"/>
  <c r="V266" i="64"/>
  <c r="N266" i="64"/>
  <c r="S266" i="64"/>
  <c r="W265" i="64"/>
  <c r="V265" i="64"/>
  <c r="N265" i="64"/>
  <c r="W264" i="64"/>
  <c r="V264" i="64"/>
  <c r="N264" i="64"/>
  <c r="W263" i="64"/>
  <c r="V263" i="64"/>
  <c r="N263" i="64"/>
  <c r="W262" i="64"/>
  <c r="V262" i="64"/>
  <c r="N262" i="64"/>
  <c r="W261" i="64"/>
  <c r="V261" i="64"/>
  <c r="N261" i="64"/>
  <c r="W260" i="64"/>
  <c r="V260" i="64"/>
  <c r="N260" i="64"/>
  <c r="W259" i="64"/>
  <c r="V259" i="64"/>
  <c r="N259" i="64"/>
  <c r="W258" i="64"/>
  <c r="V258" i="64"/>
  <c r="N258" i="64"/>
  <c r="W257" i="64"/>
  <c r="V257" i="64"/>
  <c r="N257" i="64"/>
  <c r="W256" i="64"/>
  <c r="V256" i="64"/>
  <c r="N256" i="64"/>
  <c r="W255" i="64"/>
  <c r="V255" i="64"/>
  <c r="N255" i="64"/>
  <c r="W254" i="64"/>
  <c r="V254" i="64"/>
  <c r="N254" i="64"/>
  <c r="S253" i="64"/>
  <c r="V252" i="64"/>
  <c r="N252" i="64"/>
  <c r="V251" i="64"/>
  <c r="N251" i="64"/>
  <c r="V250" i="64"/>
  <c r="N250" i="64"/>
  <c r="V249" i="64"/>
  <c r="N249" i="64"/>
  <c r="V248" i="64"/>
  <c r="N248" i="64"/>
  <c r="V247" i="64"/>
  <c r="N247" i="64"/>
  <c r="N246" i="64"/>
  <c r="W237" i="64"/>
  <c r="V237" i="64"/>
  <c r="N237" i="64"/>
  <c r="S237" i="64"/>
  <c r="W236" i="64"/>
  <c r="V236" i="64"/>
  <c r="N236" i="64"/>
  <c r="W235" i="64"/>
  <c r="V235" i="64"/>
  <c r="N235" i="64"/>
  <c r="W234" i="64"/>
  <c r="V234" i="64"/>
  <c r="N234" i="64"/>
  <c r="W233" i="64"/>
  <c r="V233" i="64"/>
  <c r="N233" i="64"/>
  <c r="W232" i="64"/>
  <c r="V232" i="64"/>
  <c r="N232" i="64"/>
  <c r="W231" i="64"/>
  <c r="V231" i="64"/>
  <c r="N231" i="64"/>
  <c r="W230" i="64"/>
  <c r="V230" i="64"/>
  <c r="N230" i="64"/>
  <c r="W229" i="64"/>
  <c r="V229" i="64"/>
  <c r="N229" i="64"/>
  <c r="W228" i="64"/>
  <c r="V228" i="64"/>
  <c r="N228" i="64"/>
  <c r="S227" i="64"/>
  <c r="V226" i="64"/>
  <c r="N226" i="64"/>
  <c r="V225" i="64"/>
  <c r="N225" i="64"/>
  <c r="V224" i="64"/>
  <c r="N224" i="64"/>
  <c r="V223" i="64"/>
  <c r="N223" i="64"/>
  <c r="V222" i="64"/>
  <c r="N222" i="64"/>
  <c r="V221" i="64"/>
  <c r="N221" i="64"/>
  <c r="V220" i="64"/>
  <c r="N220" i="64"/>
  <c r="V219" i="64"/>
  <c r="N219" i="64"/>
  <c r="V218" i="64"/>
  <c r="N218" i="64"/>
  <c r="N217" i="64"/>
  <c r="N304" i="50"/>
  <c r="N246" i="50"/>
  <c r="W315" i="50"/>
  <c r="W316" i="50"/>
  <c r="W317" i="50"/>
  <c r="W318" i="50"/>
  <c r="W319" i="50"/>
  <c r="W320" i="50"/>
  <c r="W321" i="50"/>
  <c r="W322" i="50"/>
  <c r="W323" i="50"/>
  <c r="W324" i="50"/>
  <c r="W286" i="50"/>
  <c r="W287" i="50"/>
  <c r="W288" i="50"/>
  <c r="W289" i="50"/>
  <c r="W290" i="50"/>
  <c r="W291" i="50"/>
  <c r="W292" i="50"/>
  <c r="W293" i="50"/>
  <c r="W294" i="50"/>
  <c r="W295" i="50"/>
  <c r="W257" i="50"/>
  <c r="W258" i="50"/>
  <c r="W259" i="50"/>
  <c r="W260" i="50"/>
  <c r="W261" i="50"/>
  <c r="W262" i="50"/>
  <c r="W263" i="50"/>
  <c r="W264" i="50"/>
  <c r="W265" i="50"/>
  <c r="W266" i="50"/>
  <c r="N217" i="50"/>
  <c r="W228" i="50"/>
  <c r="W229" i="50"/>
  <c r="W230" i="50"/>
  <c r="W231" i="50"/>
  <c r="W232" i="50"/>
  <c r="W233" i="50"/>
  <c r="W234" i="50"/>
  <c r="W235" i="50"/>
  <c r="W236" i="50"/>
  <c r="W237" i="50"/>
  <c r="V306" i="50"/>
  <c r="N306" i="50"/>
  <c r="V307" i="50"/>
  <c r="N307" i="50"/>
  <c r="V308" i="50"/>
  <c r="N308" i="50"/>
  <c r="V309" i="50"/>
  <c r="N309" i="50"/>
  <c r="V310" i="50"/>
  <c r="N310" i="50"/>
  <c r="V312" i="50"/>
  <c r="N312" i="50"/>
  <c r="V313" i="50"/>
  <c r="N313" i="50"/>
  <c r="V314" i="50"/>
  <c r="V315" i="50"/>
  <c r="N315" i="50"/>
  <c r="V316" i="50"/>
  <c r="N316" i="50"/>
  <c r="V317" i="50"/>
  <c r="N317" i="50"/>
  <c r="V318" i="50"/>
  <c r="N318" i="50"/>
  <c r="V319" i="50"/>
  <c r="N319" i="50"/>
  <c r="V320" i="50"/>
  <c r="N320" i="50"/>
  <c r="V321" i="50"/>
  <c r="N321" i="50"/>
  <c r="V322" i="50"/>
  <c r="N322" i="50"/>
  <c r="V323" i="50"/>
  <c r="N323" i="50"/>
  <c r="V324" i="50"/>
  <c r="N324" i="50"/>
  <c r="V305" i="50"/>
  <c r="N305" i="50"/>
  <c r="V277" i="50"/>
  <c r="N277" i="50"/>
  <c r="V278" i="50"/>
  <c r="N278" i="50"/>
  <c r="V279" i="50"/>
  <c r="N279" i="50"/>
  <c r="V280" i="50"/>
  <c r="N280" i="50"/>
  <c r="V281" i="50"/>
  <c r="N281" i="50"/>
  <c r="V283" i="50"/>
  <c r="N283" i="50"/>
  <c r="V284" i="50"/>
  <c r="N284" i="50"/>
  <c r="V285" i="50"/>
  <c r="V286" i="50"/>
  <c r="N286" i="50"/>
  <c r="V287" i="50"/>
  <c r="N287" i="50"/>
  <c r="V288" i="50"/>
  <c r="N288" i="50"/>
  <c r="V289" i="50"/>
  <c r="N289" i="50"/>
  <c r="V290" i="50"/>
  <c r="N290" i="50"/>
  <c r="V291" i="50"/>
  <c r="N291" i="50"/>
  <c r="V292" i="50"/>
  <c r="N292" i="50"/>
  <c r="V293" i="50"/>
  <c r="N293" i="50"/>
  <c r="V294" i="50"/>
  <c r="N294" i="50"/>
  <c r="V295" i="50"/>
  <c r="N295" i="50"/>
  <c r="V276" i="50"/>
  <c r="N276" i="50"/>
  <c r="V248" i="50"/>
  <c r="N248" i="50"/>
  <c r="V249" i="50"/>
  <c r="N249" i="50"/>
  <c r="V250" i="50"/>
  <c r="N250" i="50"/>
  <c r="V251" i="50"/>
  <c r="N251" i="50"/>
  <c r="V252" i="50"/>
  <c r="N252" i="50"/>
  <c r="V254" i="50"/>
  <c r="N254" i="50"/>
  <c r="V255" i="50"/>
  <c r="N255" i="50"/>
  <c r="V256" i="50"/>
  <c r="V257" i="50"/>
  <c r="N257" i="50"/>
  <c r="V258" i="50"/>
  <c r="N258" i="50"/>
  <c r="V259" i="50"/>
  <c r="N259" i="50"/>
  <c r="V260" i="50"/>
  <c r="N260" i="50"/>
  <c r="V261" i="50"/>
  <c r="N261" i="50"/>
  <c r="V262" i="50"/>
  <c r="N262" i="50"/>
  <c r="V263" i="50"/>
  <c r="N263" i="50"/>
  <c r="V264" i="50"/>
  <c r="N264" i="50"/>
  <c r="V265" i="50"/>
  <c r="N265" i="50"/>
  <c r="V266" i="50"/>
  <c r="N266" i="50"/>
  <c r="V247" i="50"/>
  <c r="N247" i="50"/>
  <c r="V219" i="50"/>
  <c r="N219" i="50"/>
  <c r="V220" i="50"/>
  <c r="N220" i="50"/>
  <c r="V221" i="50"/>
  <c r="N221" i="50"/>
  <c r="V222" i="50"/>
  <c r="N222" i="50"/>
  <c r="V223" i="50"/>
  <c r="N223" i="50"/>
  <c r="V224" i="50"/>
  <c r="N224" i="50"/>
  <c r="V225" i="50"/>
  <c r="N225" i="50"/>
  <c r="V226" i="50"/>
  <c r="N226" i="50"/>
  <c r="V228" i="50"/>
  <c r="N228" i="50"/>
  <c r="V229" i="50"/>
  <c r="N229" i="50"/>
  <c r="V230" i="50"/>
  <c r="N230" i="50"/>
  <c r="V231" i="50"/>
  <c r="N231" i="50"/>
  <c r="V232" i="50"/>
  <c r="N232" i="50"/>
  <c r="V233" i="50"/>
  <c r="N233" i="50"/>
  <c r="V234" i="50"/>
  <c r="N234" i="50"/>
  <c r="V235" i="50"/>
  <c r="N235" i="50"/>
  <c r="V236" i="50"/>
  <c r="N236" i="50"/>
  <c r="V237" i="50"/>
  <c r="N237" i="50"/>
  <c r="V218" i="50"/>
  <c r="N218" i="50"/>
  <c r="S81" i="79"/>
  <c r="S94" i="79"/>
  <c r="S324" i="50"/>
  <c r="S295" i="50"/>
  <c r="S266" i="50"/>
  <c r="S227" i="50"/>
  <c r="S237" i="50"/>
  <c r="C142" i="66"/>
  <c r="C142" i="65"/>
  <c r="C142" i="64"/>
  <c r="V275" i="50"/>
  <c r="N275" i="50"/>
  <c r="D356" i="65"/>
  <c r="D356" i="52"/>
  <c r="E356" i="52"/>
  <c r="G356" i="66"/>
  <c r="H356" i="66"/>
  <c r="G356" i="65"/>
  <c r="H356" i="65"/>
  <c r="D362" i="66"/>
  <c r="D373" i="66"/>
  <c r="E356" i="66"/>
  <c r="F356" i="66"/>
  <c r="D356" i="64"/>
  <c r="D362" i="64"/>
  <c r="D373" i="64"/>
  <c r="G356" i="64"/>
  <c r="G362" i="64"/>
  <c r="G373" i="64"/>
  <c r="G356" i="52"/>
  <c r="H356" i="52"/>
  <c r="D356" i="50"/>
  <c r="D362" i="50"/>
  <c r="G356" i="50"/>
  <c r="J74" i="79"/>
  <c r="H74" i="79"/>
  <c r="H304" i="66"/>
  <c r="H275" i="66"/>
  <c r="H246" i="66"/>
  <c r="H217" i="66"/>
  <c r="H304" i="65"/>
  <c r="H275" i="65"/>
  <c r="H246" i="65"/>
  <c r="H217" i="65"/>
  <c r="H304" i="52"/>
  <c r="H275" i="52"/>
  <c r="H246" i="52"/>
  <c r="H217" i="52"/>
  <c r="H304" i="64"/>
  <c r="H275" i="64"/>
  <c r="H246" i="64"/>
  <c r="H217" i="64"/>
  <c r="H304" i="50"/>
  <c r="H275" i="50"/>
  <c r="H246" i="50"/>
  <c r="H217" i="50"/>
  <c r="C92" i="52"/>
  <c r="F356" i="65"/>
  <c r="D362" i="65"/>
  <c r="D373" i="65"/>
  <c r="E356" i="65"/>
  <c r="F356" i="52"/>
  <c r="D362" i="52"/>
  <c r="D373" i="52"/>
  <c r="G362" i="66"/>
  <c r="G373" i="66"/>
  <c r="I356" i="66"/>
  <c r="G362" i="65"/>
  <c r="G373" i="65"/>
  <c r="I356" i="65"/>
  <c r="F356" i="64"/>
  <c r="E356" i="64"/>
  <c r="H356" i="64"/>
  <c r="I356" i="64"/>
  <c r="I356" i="52"/>
  <c r="G362" i="52"/>
  <c r="G373" i="52"/>
  <c r="I367" i="50"/>
  <c r="H367" i="50"/>
  <c r="D42" i="79"/>
  <c r="D41" i="79"/>
  <c r="A2" i="79"/>
  <c r="F74" i="79"/>
  <c r="C74" i="79"/>
  <c r="C54" i="79"/>
  <c r="C49" i="79"/>
  <c r="E74" i="79"/>
  <c r="F36" i="79"/>
  <c r="F35" i="79"/>
  <c r="F34" i="79"/>
  <c r="F30" i="79"/>
  <c r="F29" i="79"/>
  <c r="F28" i="79"/>
  <c r="F24" i="79"/>
  <c r="F23" i="79"/>
  <c r="F22" i="79"/>
  <c r="F18" i="79"/>
  <c r="F17" i="79"/>
  <c r="F16" i="79"/>
  <c r="F12" i="79"/>
  <c r="F11" i="79"/>
  <c r="F10" i="79"/>
  <c r="E79" i="79"/>
  <c r="E75" i="79"/>
  <c r="E77" i="79"/>
  <c r="E80" i="79"/>
  <c r="E78" i="79"/>
  <c r="E76" i="79"/>
  <c r="E81" i="79"/>
  <c r="C76" i="79"/>
  <c r="C78" i="79"/>
  <c r="C77" i="79"/>
  <c r="C79" i="79"/>
  <c r="C81" i="79"/>
  <c r="C80" i="79"/>
  <c r="C75" i="79"/>
  <c r="D75" i="79"/>
  <c r="C55" i="79"/>
  <c r="L74" i="79"/>
  <c r="F81" i="79"/>
  <c r="D76" i="79"/>
  <c r="F75" i="79"/>
  <c r="D79" i="79"/>
  <c r="D81" i="79"/>
  <c r="D78" i="79"/>
  <c r="D77" i="79"/>
  <c r="D80" i="79"/>
  <c r="F78" i="79"/>
  <c r="F79" i="79"/>
  <c r="F76" i="79"/>
  <c r="F85" i="79"/>
  <c r="L85" i="79"/>
  <c r="F94" i="79"/>
  <c r="L94" i="79"/>
  <c r="F93" i="79"/>
  <c r="L93" i="79"/>
  <c r="D87" i="79"/>
  <c r="F92" i="79"/>
  <c r="L92" i="79"/>
  <c r="D82" i="79"/>
  <c r="D89" i="79"/>
  <c r="D88" i="79"/>
  <c r="D93" i="79"/>
  <c r="F83" i="79"/>
  <c r="L83" i="79"/>
  <c r="F90" i="79"/>
  <c r="L90" i="79"/>
  <c r="F82" i="79"/>
  <c r="L82" i="79"/>
  <c r="D86" i="79"/>
  <c r="D83" i="79"/>
  <c r="D85" i="79"/>
  <c r="D91" i="79"/>
  <c r="F87" i="79"/>
  <c r="L87" i="79"/>
  <c r="D94" i="79"/>
  <c r="F86" i="79"/>
  <c r="L86" i="79"/>
  <c r="F91" i="79"/>
  <c r="L91" i="79"/>
  <c r="D90" i="79"/>
  <c r="F89" i="79"/>
  <c r="L89" i="79"/>
  <c r="D84" i="79"/>
  <c r="F84" i="79"/>
  <c r="L84" i="79"/>
  <c r="F88" i="79"/>
  <c r="L88" i="79"/>
  <c r="D92" i="79"/>
  <c r="F77" i="79"/>
  <c r="F80" i="79"/>
  <c r="J93" i="79"/>
  <c r="H93" i="79"/>
  <c r="S92" i="79"/>
  <c r="J94" i="79"/>
  <c r="H94" i="79"/>
  <c r="S93" i="79"/>
  <c r="H87" i="79"/>
  <c r="J87" i="79"/>
  <c r="S86" i="79"/>
  <c r="H90" i="79"/>
  <c r="J90" i="79"/>
  <c r="S89" i="79"/>
  <c r="J86" i="79"/>
  <c r="H86" i="79"/>
  <c r="S85" i="79"/>
  <c r="J83" i="79"/>
  <c r="H83" i="79"/>
  <c r="S82" i="79"/>
  <c r="H82" i="79"/>
  <c r="J82" i="79"/>
  <c r="J84" i="79"/>
  <c r="H84" i="79"/>
  <c r="S83" i="79"/>
  <c r="J85" i="79"/>
  <c r="H85" i="79"/>
  <c r="S84" i="79"/>
  <c r="H89" i="79"/>
  <c r="J89" i="79"/>
  <c r="S88" i="79"/>
  <c r="H92" i="79"/>
  <c r="S91" i="79"/>
  <c r="J92" i="79"/>
  <c r="H91" i="79"/>
  <c r="S90" i="79"/>
  <c r="J91" i="79"/>
  <c r="H88" i="79"/>
  <c r="J88" i="79"/>
  <c r="S87" i="79"/>
  <c r="W74" i="79"/>
  <c r="V81" i="79"/>
  <c r="J79" i="79"/>
  <c r="H79" i="79"/>
  <c r="H76" i="79"/>
  <c r="J76" i="79"/>
  <c r="J81" i="79"/>
  <c r="H81" i="79"/>
  <c r="J80" i="79"/>
  <c r="H80" i="79"/>
  <c r="H78" i="79"/>
  <c r="J78" i="79"/>
  <c r="H77" i="79"/>
  <c r="J77" i="79"/>
  <c r="J75" i="79"/>
  <c r="H75" i="79"/>
  <c r="L76" i="79"/>
  <c r="L81" i="79"/>
  <c r="K74" i="79"/>
  <c r="M74" i="79"/>
  <c r="R74" i="79"/>
  <c r="U74" i="79"/>
  <c r="K83" i="79"/>
  <c r="M83" i="79"/>
  <c r="R83" i="79"/>
  <c r="K89" i="79"/>
  <c r="M89" i="79"/>
  <c r="R89" i="79"/>
  <c r="K82" i="79"/>
  <c r="M82" i="79"/>
  <c r="R82" i="79"/>
  <c r="T88" i="79"/>
  <c r="T84" i="79"/>
  <c r="T92" i="79"/>
  <c r="T90" i="79"/>
  <c r="K90" i="79"/>
  <c r="M90" i="79"/>
  <c r="R90" i="79"/>
  <c r="K88" i="79"/>
  <c r="M88" i="79"/>
  <c r="R88" i="79"/>
  <c r="T89" i="79"/>
  <c r="K85" i="79"/>
  <c r="M85" i="79"/>
  <c r="R85" i="79"/>
  <c r="K84" i="79"/>
  <c r="M84" i="79"/>
  <c r="R84" i="79"/>
  <c r="K86" i="79"/>
  <c r="M86" i="79"/>
  <c r="R86" i="79"/>
  <c r="K94" i="79"/>
  <c r="M94" i="79"/>
  <c r="R94" i="79"/>
  <c r="K92" i="79"/>
  <c r="M92" i="79"/>
  <c r="R92" i="79"/>
  <c r="K87" i="79"/>
  <c r="M87" i="79"/>
  <c r="R87" i="79"/>
  <c r="K91" i="79"/>
  <c r="M91" i="79"/>
  <c r="R91" i="79"/>
  <c r="T86" i="79"/>
  <c r="K93" i="79"/>
  <c r="M93" i="79"/>
  <c r="R93" i="79"/>
  <c r="T94" i="79"/>
  <c r="T93" i="79"/>
  <c r="T87" i="79"/>
  <c r="T91" i="79"/>
  <c r="T83" i="79"/>
  <c r="T85" i="79"/>
  <c r="K77" i="79"/>
  <c r="W81" i="79"/>
  <c r="N81" i="79"/>
  <c r="W78" i="79"/>
  <c r="W76" i="79"/>
  <c r="W80" i="79"/>
  <c r="S75" i="79"/>
  <c r="W79" i="79"/>
  <c r="W75" i="79"/>
  <c r="W77" i="79"/>
  <c r="K81" i="79"/>
  <c r="M81" i="79"/>
  <c r="S80" i="79"/>
  <c r="T81" i="79"/>
  <c r="L75" i="79"/>
  <c r="K75" i="79"/>
  <c r="K76" i="79"/>
  <c r="M76" i="79"/>
  <c r="L78" i="79"/>
  <c r="S77" i="79"/>
  <c r="K78" i="79"/>
  <c r="L79" i="79"/>
  <c r="S78" i="79"/>
  <c r="L77" i="79"/>
  <c r="K79" i="79"/>
  <c r="L80" i="79"/>
  <c r="S79" i="79"/>
  <c r="K80" i="79"/>
  <c r="T82" i="79"/>
  <c r="O89" i="79"/>
  <c r="O82" i="79"/>
  <c r="Q82" i="79"/>
  <c r="X89" i="79"/>
  <c r="X82" i="79"/>
  <c r="O83" i="79"/>
  <c r="X83" i="79"/>
  <c r="X90" i="79"/>
  <c r="O90" i="79"/>
  <c r="X85" i="79"/>
  <c r="O85" i="79"/>
  <c r="X88" i="79"/>
  <c r="O88" i="79"/>
  <c r="O93" i="79"/>
  <c r="X93" i="79"/>
  <c r="X84" i="79"/>
  <c r="O84" i="79"/>
  <c r="X86" i="79"/>
  <c r="O86" i="79"/>
  <c r="O91" i="79"/>
  <c r="X87" i="79"/>
  <c r="X91" i="79"/>
  <c r="O87" i="79"/>
  <c r="O92" i="79"/>
  <c r="X94" i="79"/>
  <c r="X92" i="79"/>
  <c r="O94" i="79"/>
  <c r="M77" i="79"/>
  <c r="O77" i="79"/>
  <c r="M78" i="79"/>
  <c r="O78" i="79"/>
  <c r="S74" i="79"/>
  <c r="T74" i="79"/>
  <c r="X74" i="79"/>
  <c r="S76" i="79"/>
  <c r="T77" i="79"/>
  <c r="O81" i="79"/>
  <c r="M79" i="79"/>
  <c r="T78" i="79"/>
  <c r="T79" i="79"/>
  <c r="T80" i="79"/>
  <c r="O76" i="79"/>
  <c r="M75" i="79"/>
  <c r="M80" i="79"/>
  <c r="T76" i="79"/>
  <c r="O80" i="79"/>
  <c r="O79" i="79"/>
  <c r="T75" i="79"/>
  <c r="Q75" i="79"/>
  <c r="R75" i="79"/>
  <c r="O75" i="79"/>
  <c r="X75" i="79"/>
  <c r="P75" i="79"/>
  <c r="Q76" i="79"/>
  <c r="R76" i="79"/>
  <c r="P76" i="79"/>
  <c r="Q77" i="79"/>
  <c r="R77" i="79"/>
  <c r="X76" i="79"/>
  <c r="X77" i="79"/>
  <c r="P77" i="79"/>
  <c r="Q78" i="79"/>
  <c r="R78" i="79"/>
  <c r="X78" i="79"/>
  <c r="P78" i="79"/>
  <c r="Q79" i="79"/>
  <c r="R79" i="79"/>
  <c r="X79" i="79"/>
  <c r="P79" i="79"/>
  <c r="Q80" i="79"/>
  <c r="R80" i="79"/>
  <c r="X80" i="79"/>
  <c r="P80" i="79"/>
  <c r="Q81" i="79"/>
  <c r="R81" i="79"/>
  <c r="X81" i="79"/>
  <c r="X96" i="79"/>
  <c r="P81" i="79"/>
  <c r="P82" i="79"/>
  <c r="Q83" i="79"/>
  <c r="P83" i="79"/>
  <c r="Q84" i="79"/>
  <c r="P84" i="79"/>
  <c r="Q85" i="79"/>
  <c r="P85" i="79"/>
  <c r="Q86" i="79"/>
  <c r="P86" i="79"/>
  <c r="X95" i="79"/>
  <c r="Q87" i="79"/>
  <c r="P87" i="79"/>
  <c r="Q88" i="79"/>
  <c r="P88" i="79"/>
  <c r="Q89" i="79"/>
  <c r="P89" i="79"/>
  <c r="Q90" i="79"/>
  <c r="P90" i="79"/>
  <c r="Q91" i="79"/>
  <c r="P91" i="79"/>
  <c r="Q92" i="79"/>
  <c r="P92" i="79"/>
  <c r="Q93" i="79"/>
  <c r="P93" i="79"/>
  <c r="Q94" i="79"/>
  <c r="P94" i="79"/>
  <c r="E83" i="52"/>
  <c r="D83" i="52"/>
  <c r="C83" i="52"/>
  <c r="E84" i="52"/>
  <c r="D84" i="52"/>
  <c r="C84" i="52"/>
  <c r="E85" i="52"/>
  <c r="D85" i="52"/>
  <c r="C85" i="52"/>
  <c r="D40" i="79"/>
  <c r="C142" i="50"/>
  <c r="C95" i="52"/>
  <c r="C94" i="52"/>
  <c r="C93" i="52"/>
  <c r="E188" i="65"/>
  <c r="E186" i="65"/>
  <c r="E185" i="65"/>
  <c r="E184" i="65"/>
  <c r="E183" i="65"/>
  <c r="E181" i="65"/>
  <c r="E188" i="64"/>
  <c r="E186" i="64"/>
  <c r="E185" i="64"/>
  <c r="E184" i="64"/>
  <c r="E183" i="64"/>
  <c r="E181" i="64"/>
  <c r="C176" i="65"/>
  <c r="C175" i="65"/>
  <c r="C175" i="52"/>
  <c r="C176" i="64"/>
  <c r="C175" i="64"/>
  <c r="C168" i="65"/>
  <c r="C166" i="65"/>
  <c r="C166" i="52"/>
  <c r="C168" i="64"/>
  <c r="C157" i="65"/>
  <c r="C157" i="64"/>
  <c r="D144" i="66"/>
  <c r="C144" i="66"/>
  <c r="D143" i="66"/>
  <c r="C143" i="66"/>
  <c r="D142" i="66"/>
  <c r="D141" i="66"/>
  <c r="D144" i="65"/>
  <c r="C144" i="65"/>
  <c r="D143" i="65"/>
  <c r="C143" i="65"/>
  <c r="D142" i="65"/>
  <c r="D141" i="65"/>
  <c r="C144" i="52"/>
  <c r="C143" i="52"/>
  <c r="D144" i="64"/>
  <c r="C144" i="64"/>
  <c r="D143" i="64"/>
  <c r="C143" i="64"/>
  <c r="D142" i="64"/>
  <c r="D141" i="64"/>
  <c r="C131" i="65"/>
  <c r="C130" i="65"/>
  <c r="C130" i="52"/>
  <c r="C131" i="64"/>
  <c r="C130" i="64"/>
  <c r="C123" i="65"/>
  <c r="C123" i="64"/>
  <c r="C110" i="66"/>
  <c r="C110" i="65"/>
  <c r="C110" i="64"/>
  <c r="C64" i="66"/>
  <c r="C62" i="66"/>
  <c r="C63" i="66"/>
  <c r="C64" i="65"/>
  <c r="C62" i="65"/>
  <c r="C63" i="65"/>
  <c r="C62" i="52"/>
  <c r="C63" i="52"/>
  <c r="C64" i="64"/>
  <c r="C62" i="64"/>
  <c r="C63" i="64"/>
  <c r="C71" i="52"/>
  <c r="E143" i="66"/>
  <c r="J34" i="66"/>
  <c r="C177" i="65"/>
  <c r="C47" i="65"/>
  <c r="C65" i="66"/>
  <c r="C30" i="66"/>
  <c r="C65" i="64"/>
  <c r="C30" i="64"/>
  <c r="E144" i="64"/>
  <c r="K34" i="64"/>
  <c r="E143" i="64"/>
  <c r="J34" i="64"/>
  <c r="E142" i="66"/>
  <c r="E144" i="66"/>
  <c r="K34" i="66"/>
  <c r="E142" i="65"/>
  <c r="E144" i="65"/>
  <c r="K34" i="65"/>
  <c r="C65" i="65"/>
  <c r="C30" i="65"/>
  <c r="C132" i="65"/>
  <c r="C38" i="65"/>
  <c r="E143" i="65"/>
  <c r="J34" i="65"/>
  <c r="C177" i="64"/>
  <c r="C47" i="64"/>
  <c r="C132" i="64"/>
  <c r="C38" i="64"/>
  <c r="E142" i="64"/>
  <c r="C101" i="52"/>
  <c r="E101" i="52"/>
  <c r="E185" i="52"/>
  <c r="E184" i="52"/>
  <c r="C157" i="52"/>
  <c r="E186" i="52"/>
  <c r="E181" i="52"/>
  <c r="D144" i="52"/>
  <c r="E144" i="52"/>
  <c r="K34" i="52"/>
  <c r="E188" i="52"/>
  <c r="E183" i="52"/>
  <c r="D143" i="52"/>
  <c r="E143" i="52"/>
  <c r="J34" i="52"/>
  <c r="C176" i="52"/>
  <c r="C177" i="52"/>
  <c r="C47" i="52"/>
  <c r="C168" i="52"/>
  <c r="D142" i="52"/>
  <c r="C64" i="52"/>
  <c r="C65" i="52"/>
  <c r="C30" i="52"/>
  <c r="C131" i="52"/>
  <c r="C132" i="52"/>
  <c r="C38" i="52"/>
  <c r="C123" i="52"/>
  <c r="C110" i="52"/>
  <c r="D141" i="52"/>
  <c r="D142" i="50"/>
  <c r="C110" i="50"/>
  <c r="C123" i="50"/>
  <c r="C131" i="50"/>
  <c r="D141" i="50"/>
  <c r="C64" i="50"/>
  <c r="C176" i="50"/>
  <c r="D143" i="50"/>
  <c r="C168" i="50"/>
  <c r="E183" i="50"/>
  <c r="E184" i="50"/>
  <c r="D144" i="50"/>
  <c r="E186" i="50"/>
  <c r="E188" i="50"/>
  <c r="C157" i="50"/>
  <c r="E181" i="50"/>
  <c r="E185" i="50"/>
  <c r="C143" i="50"/>
  <c r="C144" i="50"/>
  <c r="E82" i="66"/>
  <c r="D82" i="66"/>
  <c r="C82" i="66"/>
  <c r="E82" i="65"/>
  <c r="D82" i="65"/>
  <c r="C82" i="65"/>
  <c r="C82" i="64"/>
  <c r="D82" i="64"/>
  <c r="E82" i="64"/>
  <c r="C92" i="64"/>
  <c r="E82" i="50"/>
  <c r="C214" i="50"/>
  <c r="D82" i="50"/>
  <c r="C82" i="50"/>
  <c r="C108" i="65"/>
  <c r="C108" i="64"/>
  <c r="C92" i="50"/>
  <c r="C92" i="66"/>
  <c r="C92" i="65"/>
  <c r="V227" i="50"/>
  <c r="W217" i="50"/>
  <c r="E142" i="50"/>
  <c r="E143" i="50"/>
  <c r="E144" i="50"/>
  <c r="C161" i="65"/>
  <c r="C163" i="65"/>
  <c r="C167" i="65"/>
  <c r="C169" i="65"/>
  <c r="C35" i="65"/>
  <c r="C161" i="52"/>
  <c r="C163" i="52"/>
  <c r="C167" i="52"/>
  <c r="C169" i="52"/>
  <c r="C35" i="52"/>
  <c r="C161" i="64"/>
  <c r="C161" i="50"/>
  <c r="E85" i="66"/>
  <c r="D85" i="66"/>
  <c r="C95" i="66"/>
  <c r="C85" i="66"/>
  <c r="E85" i="65"/>
  <c r="D85" i="65"/>
  <c r="C95" i="65"/>
  <c r="C85" i="65"/>
  <c r="E85" i="64"/>
  <c r="D85" i="64"/>
  <c r="C85" i="64"/>
  <c r="E85" i="50"/>
  <c r="D85" i="50"/>
  <c r="C85" i="50"/>
  <c r="D103" i="52"/>
  <c r="C103" i="52"/>
  <c r="D102" i="52"/>
  <c r="C102" i="52"/>
  <c r="E100" i="52"/>
  <c r="D103" i="66"/>
  <c r="C103" i="66"/>
  <c r="D102" i="66"/>
  <c r="C102" i="66"/>
  <c r="D101" i="66"/>
  <c r="C101" i="66"/>
  <c r="D100" i="66"/>
  <c r="C100" i="66"/>
  <c r="D103" i="65"/>
  <c r="C103" i="65"/>
  <c r="D102" i="65"/>
  <c r="C102" i="65"/>
  <c r="D101" i="65"/>
  <c r="C101" i="65"/>
  <c r="D100" i="65"/>
  <c r="C100" i="65"/>
  <c r="D102" i="64"/>
  <c r="C102" i="64"/>
  <c r="D101" i="64"/>
  <c r="C101" i="64"/>
  <c r="D100" i="64"/>
  <c r="C100" i="64"/>
  <c r="C163" i="64"/>
  <c r="E84" i="66"/>
  <c r="D84" i="66"/>
  <c r="C84" i="66"/>
  <c r="E83" i="66"/>
  <c r="D83" i="66"/>
  <c r="C93" i="66"/>
  <c r="C83" i="66"/>
  <c r="E84" i="65"/>
  <c r="D84" i="65"/>
  <c r="C84" i="65"/>
  <c r="E83" i="65"/>
  <c r="D83" i="65"/>
  <c r="C93" i="65"/>
  <c r="C83" i="65"/>
  <c r="E84" i="64"/>
  <c r="E83" i="64"/>
  <c r="D84" i="64"/>
  <c r="D83" i="64"/>
  <c r="C84" i="64"/>
  <c r="C83" i="64"/>
  <c r="C94" i="65"/>
  <c r="C94" i="66"/>
  <c r="C95" i="64"/>
  <c r="C94" i="64"/>
  <c r="C93" i="64"/>
  <c r="E100" i="65"/>
  <c r="C95" i="50"/>
  <c r="E102" i="65"/>
  <c r="E103" i="66"/>
  <c r="E102" i="66"/>
  <c r="E102" i="52"/>
  <c r="E103" i="52"/>
  <c r="E100" i="66"/>
  <c r="E101" i="66"/>
  <c r="E103" i="65"/>
  <c r="E101" i="65"/>
  <c r="E100" i="64"/>
  <c r="F100" i="64"/>
  <c r="E102" i="64"/>
  <c r="E101" i="64"/>
  <c r="E84" i="50"/>
  <c r="E83" i="50"/>
  <c r="D84" i="50"/>
  <c r="D83" i="50"/>
  <c r="C84" i="50"/>
  <c r="C83" i="50"/>
  <c r="C94" i="50"/>
  <c r="C93" i="50"/>
  <c r="B91" i="2"/>
  <c r="L304" i="66"/>
  <c r="L275" i="66"/>
  <c r="L246" i="66"/>
  <c r="L217" i="66"/>
  <c r="C206" i="66"/>
  <c r="L304" i="65"/>
  <c r="L275" i="65"/>
  <c r="L246" i="65"/>
  <c r="C206" i="65"/>
  <c r="L246" i="52"/>
  <c r="C206" i="52"/>
  <c r="C206" i="64"/>
  <c r="C206" i="50"/>
  <c r="B334" i="50"/>
  <c r="B335" i="50"/>
  <c r="B336" i="50"/>
  <c r="B337" i="50"/>
  <c r="B338" i="50"/>
  <c r="B339" i="50"/>
  <c r="B340" i="50"/>
  <c r="B341" i="50"/>
  <c r="B342" i="50"/>
  <c r="L246" i="64"/>
  <c r="K275" i="50"/>
  <c r="L275" i="50"/>
  <c r="L275" i="64"/>
  <c r="L304" i="64"/>
  <c r="L217" i="64"/>
  <c r="K246" i="50"/>
  <c r="L246" i="50"/>
  <c r="K217" i="50"/>
  <c r="L217" i="50"/>
  <c r="K304" i="50"/>
  <c r="L304" i="50"/>
  <c r="L217" i="65"/>
  <c r="L304" i="52"/>
  <c r="L275" i="52"/>
  <c r="L217" i="52"/>
  <c r="M275" i="50"/>
  <c r="R275" i="50"/>
  <c r="M246" i="50"/>
  <c r="R246" i="50"/>
  <c r="M304" i="50"/>
  <c r="R304" i="50"/>
  <c r="M217" i="50"/>
  <c r="R217" i="50"/>
  <c r="I356" i="50"/>
  <c r="H356" i="50"/>
  <c r="G362" i="50"/>
  <c r="G373" i="50"/>
  <c r="C130" i="50"/>
  <c r="C132" i="50"/>
  <c r="C38" i="50"/>
  <c r="C108" i="50"/>
  <c r="C192" i="66"/>
  <c r="C151" i="66"/>
  <c r="C108" i="66"/>
  <c r="C301" i="66"/>
  <c r="C300" i="66"/>
  <c r="C271" i="66"/>
  <c r="C243" i="66"/>
  <c r="C242" i="66"/>
  <c r="C214" i="66"/>
  <c r="C213" i="66"/>
  <c r="C71" i="66"/>
  <c r="C70" i="66"/>
  <c r="A2" i="66"/>
  <c r="C192" i="65"/>
  <c r="C154" i="65"/>
  <c r="C151" i="65"/>
  <c r="C121" i="65"/>
  <c r="C117" i="65"/>
  <c r="F102" i="65"/>
  <c r="C301" i="65"/>
  <c r="C300" i="65"/>
  <c r="C272" i="65"/>
  <c r="C271" i="65"/>
  <c r="C243" i="65"/>
  <c r="C214" i="65"/>
  <c r="C213" i="65"/>
  <c r="C71" i="65"/>
  <c r="C70" i="65"/>
  <c r="C57" i="65"/>
  <c r="A2" i="65"/>
  <c r="U275" i="65"/>
  <c r="V311" i="66"/>
  <c r="W304" i="66"/>
  <c r="V253" i="66"/>
  <c r="W246" i="66"/>
  <c r="U304" i="66"/>
  <c r="U246" i="66"/>
  <c r="V227" i="66"/>
  <c r="W217" i="66"/>
  <c r="U217" i="66"/>
  <c r="V227" i="65"/>
  <c r="W217" i="65"/>
  <c r="U217" i="65"/>
  <c r="U304" i="65"/>
  <c r="W304" i="65"/>
  <c r="V311" i="65"/>
  <c r="V282" i="65"/>
  <c r="W275" i="65"/>
  <c r="V253" i="65"/>
  <c r="W246" i="65"/>
  <c r="C125" i="66"/>
  <c r="C118" i="65"/>
  <c r="C122" i="65"/>
  <c r="C124" i="65"/>
  <c r="C37" i="65"/>
  <c r="C125" i="65"/>
  <c r="C58" i="65"/>
  <c r="C25" i="65"/>
  <c r="F101" i="66"/>
  <c r="C72" i="65"/>
  <c r="C73" i="65"/>
  <c r="C74" i="65"/>
  <c r="F100" i="65"/>
  <c r="F101" i="65"/>
  <c r="D104" i="65"/>
  <c r="C155" i="65"/>
  <c r="K246" i="66"/>
  <c r="M246" i="66"/>
  <c r="R246" i="66"/>
  <c r="C272" i="66"/>
  <c r="U275" i="66"/>
  <c r="K275" i="66"/>
  <c r="M275" i="66"/>
  <c r="R275" i="66"/>
  <c r="K304" i="66"/>
  <c r="M304" i="66"/>
  <c r="R304" i="66"/>
  <c r="K217" i="66"/>
  <c r="M217" i="66"/>
  <c r="R217" i="66"/>
  <c r="C72" i="66"/>
  <c r="C73" i="66"/>
  <c r="C74" i="66"/>
  <c r="C193" i="66"/>
  <c r="G48" i="66"/>
  <c r="C352" i="66"/>
  <c r="C242" i="65"/>
  <c r="U246" i="65"/>
  <c r="K275" i="65"/>
  <c r="M275" i="65"/>
  <c r="R275" i="65"/>
  <c r="K217" i="65"/>
  <c r="M217" i="65"/>
  <c r="R217" i="65"/>
  <c r="K304" i="65"/>
  <c r="M304" i="65"/>
  <c r="R304" i="65"/>
  <c r="F102" i="66"/>
  <c r="D104" i="66"/>
  <c r="C104" i="66"/>
  <c r="F100" i="66"/>
  <c r="C193" i="65"/>
  <c r="G48" i="65"/>
  <c r="C352" i="65"/>
  <c r="C104" i="65"/>
  <c r="D92" i="66"/>
  <c r="D93" i="66"/>
  <c r="D95" i="66"/>
  <c r="K32" i="66"/>
  <c r="D94" i="66"/>
  <c r="J32" i="66"/>
  <c r="W275" i="66"/>
  <c r="V282" i="66"/>
  <c r="D92" i="65"/>
  <c r="D93" i="65"/>
  <c r="D95" i="65"/>
  <c r="K32" i="65"/>
  <c r="D94" i="65"/>
  <c r="J32" i="65"/>
  <c r="K39" i="66"/>
  <c r="G37" i="65"/>
  <c r="C341" i="65"/>
  <c r="C25" i="66"/>
  <c r="G30" i="66"/>
  <c r="C334" i="66"/>
  <c r="C198" i="66"/>
  <c r="F82" i="66"/>
  <c r="H82" i="66"/>
  <c r="H83" i="66"/>
  <c r="H84" i="66"/>
  <c r="G83" i="66"/>
  <c r="F85" i="66"/>
  <c r="K31" i="66"/>
  <c r="H85" i="66"/>
  <c r="G84" i="66"/>
  <c r="F83" i="66"/>
  <c r="F84" i="66"/>
  <c r="J31" i="66"/>
  <c r="G82" i="66"/>
  <c r="G85" i="66"/>
  <c r="K48" i="66"/>
  <c r="F48" i="66"/>
  <c r="G43" i="65"/>
  <c r="C347" i="65"/>
  <c r="D188" i="65"/>
  <c r="F188" i="65"/>
  <c r="G42" i="65"/>
  <c r="C346" i="65"/>
  <c r="G47" i="65"/>
  <c r="C351" i="65"/>
  <c r="G30" i="65"/>
  <c r="C334" i="65"/>
  <c r="G38" i="65"/>
  <c r="C342" i="65"/>
  <c r="G35" i="65"/>
  <c r="C339" i="65"/>
  <c r="K48" i="65"/>
  <c r="F48" i="65"/>
  <c r="C156" i="65"/>
  <c r="C158" i="65"/>
  <c r="G46" i="65"/>
  <c r="C350" i="65"/>
  <c r="D181" i="65"/>
  <c r="F181" i="65"/>
  <c r="G40" i="65"/>
  <c r="C344" i="65"/>
  <c r="D186" i="65"/>
  <c r="F186" i="65"/>
  <c r="G45" i="65"/>
  <c r="C349" i="65"/>
  <c r="D185" i="65"/>
  <c r="F185" i="65"/>
  <c r="G39" i="65"/>
  <c r="C343" i="65"/>
  <c r="D183" i="65"/>
  <c r="F183" i="65"/>
  <c r="G44" i="65"/>
  <c r="C348" i="65"/>
  <c r="C141" i="65"/>
  <c r="E141" i="65"/>
  <c r="C109" i="65"/>
  <c r="C111" i="65"/>
  <c r="G36" i="65"/>
  <c r="C340" i="65"/>
  <c r="C86" i="65"/>
  <c r="F84" i="65"/>
  <c r="J31" i="65"/>
  <c r="G82" i="65"/>
  <c r="F82" i="65"/>
  <c r="H82" i="65"/>
  <c r="F83" i="65"/>
  <c r="H85" i="65"/>
  <c r="G85" i="65"/>
  <c r="H84" i="65"/>
  <c r="F85" i="65"/>
  <c r="K31" i="65"/>
  <c r="G83" i="65"/>
  <c r="G84" i="65"/>
  <c r="H83" i="65"/>
  <c r="D184" i="65"/>
  <c r="F184" i="65"/>
  <c r="G41" i="65"/>
  <c r="C345" i="65"/>
  <c r="C86" i="66"/>
  <c r="G101" i="66"/>
  <c r="G102" i="66"/>
  <c r="J33" i="66"/>
  <c r="H101" i="66"/>
  <c r="I103" i="66"/>
  <c r="I101" i="66"/>
  <c r="I102" i="66"/>
  <c r="H103" i="65"/>
  <c r="E104" i="65"/>
  <c r="H101" i="65"/>
  <c r="H102" i="66"/>
  <c r="I103" i="65"/>
  <c r="H102" i="65"/>
  <c r="C210" i="66"/>
  <c r="C198" i="65"/>
  <c r="F103" i="65"/>
  <c r="G103" i="65"/>
  <c r="K33" i="65"/>
  <c r="I102" i="65"/>
  <c r="G101" i="65"/>
  <c r="G102" i="65"/>
  <c r="J33" i="65"/>
  <c r="G100" i="65"/>
  <c r="K246" i="65"/>
  <c r="M246" i="65"/>
  <c r="R246" i="65"/>
  <c r="I100" i="65"/>
  <c r="H100" i="65"/>
  <c r="I101" i="65"/>
  <c r="H103" i="66"/>
  <c r="E104" i="66"/>
  <c r="G100" i="66"/>
  <c r="I100" i="66"/>
  <c r="F103" i="66"/>
  <c r="G103" i="66"/>
  <c r="K33" i="66"/>
  <c r="H100" i="66"/>
  <c r="C109" i="66"/>
  <c r="C111" i="66"/>
  <c r="G36" i="66"/>
  <c r="C340" i="66"/>
  <c r="D357" i="66"/>
  <c r="G363" i="66"/>
  <c r="G374" i="66"/>
  <c r="D363" i="66"/>
  <c r="D374" i="66"/>
  <c r="D357" i="65"/>
  <c r="D230" i="66"/>
  <c r="D284" i="66"/>
  <c r="F312" i="66"/>
  <c r="L312" i="66"/>
  <c r="D317" i="66"/>
  <c r="D231" i="66"/>
  <c r="D280" i="66"/>
  <c r="D283" i="66"/>
  <c r="D218" i="66"/>
  <c r="F254" i="66"/>
  <c r="L254" i="66"/>
  <c r="D232" i="66"/>
  <c r="D281" i="66"/>
  <c r="D282" i="66"/>
  <c r="D251" i="66"/>
  <c r="D259" i="66"/>
  <c r="D309" i="66"/>
  <c r="D222" i="66"/>
  <c r="D266" i="66"/>
  <c r="F320" i="66"/>
  <c r="L320" i="66"/>
  <c r="F318" i="66"/>
  <c r="L318" i="66"/>
  <c r="F317" i="66"/>
  <c r="L317" i="66"/>
  <c r="F263" i="66"/>
  <c r="L263" i="66"/>
  <c r="D305" i="66"/>
  <c r="D254" i="66"/>
  <c r="D278" i="66"/>
  <c r="F288" i="66"/>
  <c r="L288" i="66"/>
  <c r="F293" i="66"/>
  <c r="L293" i="66"/>
  <c r="D314" i="66"/>
  <c r="F284" i="66"/>
  <c r="L284" i="66"/>
  <c r="D227" i="66"/>
  <c r="J227" i="66"/>
  <c r="F283" i="66"/>
  <c r="L283" i="66"/>
  <c r="D258" i="66"/>
  <c r="F262" i="66"/>
  <c r="L262" i="66"/>
  <c r="F260" i="66"/>
  <c r="L260" i="66"/>
  <c r="F259" i="66"/>
  <c r="L259" i="66"/>
  <c r="F229" i="66"/>
  <c r="L229" i="66"/>
  <c r="D263" i="66"/>
  <c r="F321" i="66"/>
  <c r="L321" i="66"/>
  <c r="D236" i="66"/>
  <c r="F228" i="66"/>
  <c r="L228" i="66"/>
  <c r="F285" i="66"/>
  <c r="L285" i="66"/>
  <c r="D219" i="66"/>
  <c r="F266" i="66"/>
  <c r="L266" i="66"/>
  <c r="F315" i="66"/>
  <c r="L315" i="66"/>
  <c r="F265" i="66"/>
  <c r="L265" i="66"/>
  <c r="D250" i="66"/>
  <c r="D324" i="66"/>
  <c r="D292" i="66"/>
  <c r="D291" i="66"/>
  <c r="D323" i="66"/>
  <c r="D255" i="66"/>
  <c r="F313" i="66"/>
  <c r="L313" i="66"/>
  <c r="F294" i="66"/>
  <c r="L294" i="66"/>
  <c r="D285" i="66"/>
  <c r="F233" i="66"/>
  <c r="L233" i="66"/>
  <c r="F323" i="66"/>
  <c r="L323" i="66"/>
  <c r="F258" i="66"/>
  <c r="L258" i="66"/>
  <c r="F237" i="66"/>
  <c r="L237" i="66"/>
  <c r="F257" i="66"/>
  <c r="L257" i="66"/>
  <c r="D237" i="66"/>
  <c r="D316" i="66"/>
  <c r="D276" i="66"/>
  <c r="D233" i="66"/>
  <c r="D286" i="66"/>
  <c r="D247" i="66"/>
  <c r="F295" i="66"/>
  <c r="L295" i="66"/>
  <c r="F286" i="66"/>
  <c r="L286" i="66"/>
  <c r="D264" i="66"/>
  <c r="D294" i="66"/>
  <c r="F232" i="66"/>
  <c r="L232" i="66"/>
  <c r="D307" i="66"/>
  <c r="F231" i="66"/>
  <c r="L231" i="66"/>
  <c r="D229" i="66"/>
  <c r="D234" i="66"/>
  <c r="D225" i="66"/>
  <c r="J225" i="66"/>
  <c r="D249" i="66"/>
  <c r="F287" i="66"/>
  <c r="L287" i="66"/>
  <c r="D235" i="66"/>
  <c r="D311" i="66"/>
  <c r="D318" i="66"/>
  <c r="F236" i="66"/>
  <c r="L236" i="66"/>
  <c r="D288" i="66"/>
  <c r="D226" i="66"/>
  <c r="D220" i="66"/>
  <c r="J220" i="66"/>
  <c r="F235" i="66"/>
  <c r="L235" i="66"/>
  <c r="F289" i="66"/>
  <c r="L289" i="66"/>
  <c r="D228" i="66"/>
  <c r="F290" i="66"/>
  <c r="L290" i="66"/>
  <c r="D287" i="66"/>
  <c r="D223" i="66"/>
  <c r="D277" i="66"/>
  <c r="D321" i="66"/>
  <c r="F255" i="66"/>
  <c r="L255" i="66"/>
  <c r="F316" i="66"/>
  <c r="L316" i="66"/>
  <c r="D293" i="66"/>
  <c r="D290" i="66"/>
  <c r="F261" i="66"/>
  <c r="L261" i="66"/>
  <c r="F256" i="66"/>
  <c r="L256" i="66"/>
  <c r="D313" i="66"/>
  <c r="D315" i="66"/>
  <c r="F264" i="66"/>
  <c r="L264" i="66"/>
  <c r="F292" i="66"/>
  <c r="L292" i="66"/>
  <c r="F291" i="66"/>
  <c r="L291" i="66"/>
  <c r="D319" i="66"/>
  <c r="D308" i="66"/>
  <c r="F322" i="66"/>
  <c r="L322" i="66"/>
  <c r="F234" i="66"/>
  <c r="L234" i="66"/>
  <c r="D265" i="66"/>
  <c r="D257" i="66"/>
  <c r="D295" i="66"/>
  <c r="F319" i="66"/>
  <c r="L319" i="66"/>
  <c r="D306" i="66"/>
  <c r="D320" i="66"/>
  <c r="D261" i="66"/>
  <c r="D310" i="66"/>
  <c r="D322" i="66"/>
  <c r="D289" i="66"/>
  <c r="D221" i="66"/>
  <c r="F324" i="66"/>
  <c r="L324" i="66"/>
  <c r="S323" i="66"/>
  <c r="D312" i="66"/>
  <c r="D253" i="66"/>
  <c r="D260" i="66"/>
  <c r="F230" i="66"/>
  <c r="L230" i="66"/>
  <c r="D279" i="66"/>
  <c r="D224" i="66"/>
  <c r="D248" i="66"/>
  <c r="D262" i="66"/>
  <c r="F314" i="66"/>
  <c r="L314" i="66"/>
  <c r="D252" i="66"/>
  <c r="D256" i="66"/>
  <c r="D96" i="66"/>
  <c r="F234" i="65"/>
  <c r="L234" i="65"/>
  <c r="D292" i="65"/>
  <c r="D315" i="65"/>
  <c r="D324" i="65"/>
  <c r="F286" i="65"/>
  <c r="L286" i="65"/>
  <c r="D314" i="65"/>
  <c r="D234" i="65"/>
  <c r="F235" i="65"/>
  <c r="L235" i="65"/>
  <c r="D219" i="65"/>
  <c r="D276" i="65"/>
  <c r="F287" i="65"/>
  <c r="L287" i="65"/>
  <c r="D277" i="65"/>
  <c r="D323" i="65"/>
  <c r="D218" i="65"/>
  <c r="D235" i="65"/>
  <c r="F236" i="65"/>
  <c r="L236" i="65"/>
  <c r="F237" i="65"/>
  <c r="L237" i="65"/>
  <c r="D293" i="65"/>
  <c r="F284" i="65"/>
  <c r="L284" i="65"/>
  <c r="D306" i="65"/>
  <c r="F293" i="65"/>
  <c r="L293" i="65"/>
  <c r="F265" i="65"/>
  <c r="L265" i="65"/>
  <c r="D221" i="65"/>
  <c r="D295" i="65"/>
  <c r="D253" i="65"/>
  <c r="D220" i="65"/>
  <c r="D294" i="65"/>
  <c r="D311" i="65"/>
  <c r="D256" i="65"/>
  <c r="F257" i="65"/>
  <c r="L257" i="65"/>
  <c r="D263" i="65"/>
  <c r="F285" i="65"/>
  <c r="L285" i="65"/>
  <c r="D285" i="65"/>
  <c r="D282" i="65"/>
  <c r="D261" i="65"/>
  <c r="F317" i="65"/>
  <c r="L317" i="65"/>
  <c r="D287" i="65"/>
  <c r="F258" i="65"/>
  <c r="L258" i="65"/>
  <c r="F263" i="65"/>
  <c r="L263" i="65"/>
  <c r="D286" i="65"/>
  <c r="F320" i="65"/>
  <c r="L320" i="65"/>
  <c r="D248" i="65"/>
  <c r="D319" i="65"/>
  <c r="D255" i="65"/>
  <c r="F321" i="65"/>
  <c r="L321" i="65"/>
  <c r="D290" i="65"/>
  <c r="D227" i="65"/>
  <c r="D224" i="65"/>
  <c r="F266" i="65"/>
  <c r="L266" i="65"/>
  <c r="F255" i="65"/>
  <c r="L255" i="65"/>
  <c r="D279" i="65"/>
  <c r="D254" i="65"/>
  <c r="D222" i="65"/>
  <c r="D278" i="65"/>
  <c r="F231" i="65"/>
  <c r="L231" i="65"/>
  <c r="F290" i="65"/>
  <c r="L290" i="65"/>
  <c r="F312" i="65"/>
  <c r="L312" i="65"/>
  <c r="D247" i="65"/>
  <c r="F313" i="65"/>
  <c r="L313" i="65"/>
  <c r="F229" i="65"/>
  <c r="L229" i="65"/>
  <c r="D320" i="65"/>
  <c r="F295" i="65"/>
  <c r="L295" i="65"/>
  <c r="D266" i="65"/>
  <c r="F324" i="65"/>
  <c r="L324" i="65"/>
  <c r="D265" i="65"/>
  <c r="D259" i="65"/>
  <c r="D288" i="65"/>
  <c r="F259" i="65"/>
  <c r="L259" i="65"/>
  <c r="D307" i="65"/>
  <c r="D291" i="65"/>
  <c r="D251" i="65"/>
  <c r="F316" i="65"/>
  <c r="L316" i="65"/>
  <c r="D257" i="65"/>
  <c r="F291" i="65"/>
  <c r="L291" i="65"/>
  <c r="D230" i="65"/>
  <c r="D312" i="65"/>
  <c r="D225" i="65"/>
  <c r="F283" i="65"/>
  <c r="L283" i="65"/>
  <c r="F289" i="65"/>
  <c r="L289" i="65"/>
  <c r="D249" i="65"/>
  <c r="D310" i="65"/>
  <c r="F256" i="65"/>
  <c r="L256" i="65"/>
  <c r="D283" i="65"/>
  <c r="F228" i="65"/>
  <c r="L228" i="65"/>
  <c r="D237" i="65"/>
  <c r="D223" i="65"/>
  <c r="F288" i="65"/>
  <c r="L288" i="65"/>
  <c r="F233" i="65"/>
  <c r="L233" i="65"/>
  <c r="D313" i="65"/>
  <c r="D317" i="65"/>
  <c r="F292" i="65"/>
  <c r="L292" i="65"/>
  <c r="D229" i="65"/>
  <c r="F230" i="65"/>
  <c r="L230" i="65"/>
  <c r="F261" i="65"/>
  <c r="L261" i="65"/>
  <c r="D264" i="65"/>
  <c r="D305" i="65"/>
  <c r="D232" i="65"/>
  <c r="D280" i="65"/>
  <c r="F318" i="65"/>
  <c r="L318" i="65"/>
  <c r="D262" i="65"/>
  <c r="F322" i="65"/>
  <c r="L322" i="65"/>
  <c r="F294" i="65"/>
  <c r="L294" i="65"/>
  <c r="D284" i="65"/>
  <c r="D258" i="65"/>
  <c r="F264" i="65"/>
  <c r="L264" i="65"/>
  <c r="F323" i="65"/>
  <c r="L323" i="65"/>
  <c r="F314" i="65"/>
  <c r="L314" i="65"/>
  <c r="F232" i="65"/>
  <c r="L232" i="65"/>
  <c r="D316" i="65"/>
  <c r="D226" i="65"/>
  <c r="D250" i="65"/>
  <c r="D318" i="65"/>
  <c r="F315" i="65"/>
  <c r="L315" i="65"/>
  <c r="F260" i="65"/>
  <c r="L260" i="65"/>
  <c r="D321" i="65"/>
  <c r="D308" i="65"/>
  <c r="D309" i="65"/>
  <c r="D289" i="65"/>
  <c r="F262" i="65"/>
  <c r="L262" i="65"/>
  <c r="D236" i="65"/>
  <c r="D252" i="65"/>
  <c r="D281" i="65"/>
  <c r="D233" i="65"/>
  <c r="D322" i="65"/>
  <c r="D231" i="65"/>
  <c r="F254" i="65"/>
  <c r="L254" i="65"/>
  <c r="D228" i="65"/>
  <c r="F319" i="65"/>
  <c r="L319" i="65"/>
  <c r="D260" i="65"/>
  <c r="D96" i="65"/>
  <c r="F47" i="65"/>
  <c r="K40" i="65"/>
  <c r="K42" i="65"/>
  <c r="K46" i="65"/>
  <c r="J43" i="65"/>
  <c r="K45" i="65"/>
  <c r="J47" i="65"/>
  <c r="J35" i="65"/>
  <c r="K39" i="65"/>
  <c r="K41" i="65"/>
  <c r="K44" i="65"/>
  <c r="I38" i="65"/>
  <c r="I36" i="65"/>
  <c r="I37" i="65"/>
  <c r="K44" i="66"/>
  <c r="J43" i="66"/>
  <c r="K42" i="66"/>
  <c r="K46" i="66"/>
  <c r="I38" i="66"/>
  <c r="I30" i="66"/>
  <c r="K41" i="66"/>
  <c r="J47" i="66"/>
  <c r="K40" i="66"/>
  <c r="K45" i="66"/>
  <c r="I37" i="66"/>
  <c r="J35" i="66"/>
  <c r="I31" i="65"/>
  <c r="G31" i="65"/>
  <c r="F31" i="65"/>
  <c r="I32" i="66"/>
  <c r="G32" i="66"/>
  <c r="C336" i="66"/>
  <c r="D360" i="66"/>
  <c r="F37" i="65"/>
  <c r="I31" i="66"/>
  <c r="G31" i="66"/>
  <c r="F31" i="66"/>
  <c r="I33" i="66"/>
  <c r="G33" i="66"/>
  <c r="C337" i="66"/>
  <c r="D358" i="66"/>
  <c r="F43" i="66"/>
  <c r="C141" i="66"/>
  <c r="E141" i="66"/>
  <c r="I34" i="65"/>
  <c r="G34" i="65"/>
  <c r="C338" i="65"/>
  <c r="D359" i="65"/>
  <c r="E145" i="65"/>
  <c r="F41" i="65"/>
  <c r="I30" i="65"/>
  <c r="F30" i="65"/>
  <c r="F43" i="65"/>
  <c r="I33" i="65"/>
  <c r="G33" i="65"/>
  <c r="C337" i="65"/>
  <c r="D358" i="65"/>
  <c r="F40" i="65"/>
  <c r="I32" i="65"/>
  <c r="G32" i="65"/>
  <c r="C336" i="65"/>
  <c r="D360" i="65"/>
  <c r="F42" i="65"/>
  <c r="F45" i="65"/>
  <c r="F39" i="65"/>
  <c r="F44" i="65"/>
  <c r="F46" i="65"/>
  <c r="F35" i="66"/>
  <c r="F47" i="66"/>
  <c r="F35" i="65"/>
  <c r="F38" i="66"/>
  <c r="F38" i="65"/>
  <c r="F37" i="66"/>
  <c r="F30" i="66"/>
  <c r="F86" i="66"/>
  <c r="H86" i="66"/>
  <c r="G86" i="66"/>
  <c r="I104" i="66"/>
  <c r="H104" i="65"/>
  <c r="F104" i="66"/>
  <c r="G104" i="65"/>
  <c r="I104" i="65"/>
  <c r="F104" i="65"/>
  <c r="G86" i="65"/>
  <c r="H86" i="65"/>
  <c r="F86" i="65"/>
  <c r="C210" i="65"/>
  <c r="H104" i="66"/>
  <c r="G104" i="66"/>
  <c r="G357" i="66"/>
  <c r="F357" i="66"/>
  <c r="D368" i="66"/>
  <c r="E357" i="66"/>
  <c r="G360" i="66"/>
  <c r="F360" i="66"/>
  <c r="E360" i="66"/>
  <c r="D371" i="66"/>
  <c r="G358" i="66"/>
  <c r="F358" i="66"/>
  <c r="E358" i="66"/>
  <c r="D369" i="66"/>
  <c r="G363" i="65"/>
  <c r="G374" i="65"/>
  <c r="D363" i="65"/>
  <c r="D374" i="65"/>
  <c r="G357" i="65"/>
  <c r="F357" i="65"/>
  <c r="E357" i="65"/>
  <c r="D368" i="65"/>
  <c r="E358" i="65"/>
  <c r="F358" i="65"/>
  <c r="G358" i="65"/>
  <c r="D369" i="65"/>
  <c r="F360" i="65"/>
  <c r="E360" i="65"/>
  <c r="G360" i="65"/>
  <c r="D371" i="65"/>
  <c r="F359" i="65"/>
  <c r="G359" i="65"/>
  <c r="E359" i="65"/>
  <c r="D370" i="65"/>
  <c r="S234" i="66"/>
  <c r="S316" i="66"/>
  <c r="H220" i="66"/>
  <c r="H225" i="66"/>
  <c r="S319" i="65"/>
  <c r="S256" i="66"/>
  <c r="S258" i="66"/>
  <c r="S292" i="66"/>
  <c r="S230" i="66"/>
  <c r="H227" i="66"/>
  <c r="S284" i="66"/>
  <c r="S316" i="65"/>
  <c r="S285" i="65"/>
  <c r="S317" i="65"/>
  <c r="S320" i="65"/>
  <c r="S293" i="65"/>
  <c r="J260" i="66"/>
  <c r="H260" i="66"/>
  <c r="J288" i="66"/>
  <c r="H288" i="66"/>
  <c r="S287" i="66"/>
  <c r="J323" i="66"/>
  <c r="H323" i="66"/>
  <c r="S322" i="66"/>
  <c r="J266" i="66"/>
  <c r="H266" i="66"/>
  <c r="S265" i="66"/>
  <c r="H230" i="66"/>
  <c r="J230" i="66"/>
  <c r="S229" i="66"/>
  <c r="H313" i="66"/>
  <c r="J313" i="66"/>
  <c r="J255" i="66"/>
  <c r="H255" i="66"/>
  <c r="S254" i="66"/>
  <c r="T254" i="66"/>
  <c r="J232" i="66"/>
  <c r="H232" i="66"/>
  <c r="S231" i="66"/>
  <c r="H284" i="66"/>
  <c r="J284" i="66"/>
  <c r="J322" i="66"/>
  <c r="H322" i="66"/>
  <c r="S321" i="66"/>
  <c r="H265" i="66"/>
  <c r="J265" i="66"/>
  <c r="J315" i="66"/>
  <c r="H315" i="66"/>
  <c r="S314" i="66"/>
  <c r="H321" i="66"/>
  <c r="J321" i="66"/>
  <c r="H264" i="66"/>
  <c r="J264" i="66"/>
  <c r="J237" i="66"/>
  <c r="H237" i="66"/>
  <c r="S236" i="66"/>
  <c r="J314" i="66"/>
  <c r="H314" i="66"/>
  <c r="H281" i="66"/>
  <c r="J281" i="66"/>
  <c r="J289" i="66"/>
  <c r="H289" i="66"/>
  <c r="S288" i="66"/>
  <c r="J257" i="66"/>
  <c r="H257" i="66"/>
  <c r="J294" i="66"/>
  <c r="H294" i="66"/>
  <c r="S293" i="66"/>
  <c r="H316" i="66"/>
  <c r="J316" i="66"/>
  <c r="J263" i="66"/>
  <c r="H263" i="66"/>
  <c r="S262" i="66"/>
  <c r="H282" i="66"/>
  <c r="J282" i="66"/>
  <c r="H317" i="66"/>
  <c r="J317" i="66"/>
  <c r="H295" i="66"/>
  <c r="J295" i="66"/>
  <c r="S294" i="66"/>
  <c r="J235" i="66"/>
  <c r="H235" i="66"/>
  <c r="J285" i="66"/>
  <c r="H285" i="66"/>
  <c r="J231" i="66"/>
  <c r="H231" i="66"/>
  <c r="S255" i="66"/>
  <c r="S259" i="66"/>
  <c r="S312" i="66"/>
  <c r="T312" i="66"/>
  <c r="S263" i="66"/>
  <c r="S264" i="66"/>
  <c r="S283" i="66"/>
  <c r="T283" i="66"/>
  <c r="S291" i="66"/>
  <c r="S315" i="66"/>
  <c r="S320" i="66"/>
  <c r="H256" i="66"/>
  <c r="J256" i="66"/>
  <c r="H261" i="66"/>
  <c r="J261" i="66"/>
  <c r="S260" i="66"/>
  <c r="H234" i="66"/>
  <c r="J234" i="66"/>
  <c r="H262" i="66"/>
  <c r="J262" i="66"/>
  <c r="S261" i="66"/>
  <c r="T324" i="66"/>
  <c r="J293" i="66"/>
  <c r="H293" i="66"/>
  <c r="J228" i="66"/>
  <c r="H228" i="66"/>
  <c r="H233" i="66"/>
  <c r="J233" i="66"/>
  <c r="S232" i="66"/>
  <c r="J324" i="66"/>
  <c r="H324" i="66"/>
  <c r="H236" i="66"/>
  <c r="J236" i="66"/>
  <c r="J259" i="66"/>
  <c r="H259" i="66"/>
  <c r="J312" i="66"/>
  <c r="H312" i="66"/>
  <c r="J319" i="66"/>
  <c r="H319" i="66"/>
  <c r="S318" i="66"/>
  <c r="J290" i="66"/>
  <c r="H290" i="66"/>
  <c r="H318" i="66"/>
  <c r="J318" i="66"/>
  <c r="S317" i="66"/>
  <c r="H286" i="66"/>
  <c r="J286" i="66"/>
  <c r="S285" i="66"/>
  <c r="J292" i="66"/>
  <c r="H292" i="66"/>
  <c r="J258" i="66"/>
  <c r="H258" i="66"/>
  <c r="S257" i="66"/>
  <c r="J254" i="66"/>
  <c r="H254" i="66"/>
  <c r="H283" i="66"/>
  <c r="J283" i="66"/>
  <c r="J320" i="66"/>
  <c r="H320" i="66"/>
  <c r="S319" i="66"/>
  <c r="H287" i="66"/>
  <c r="J287" i="66"/>
  <c r="S286" i="66"/>
  <c r="J229" i="66"/>
  <c r="H229" i="66"/>
  <c r="S228" i="66"/>
  <c r="T228" i="66"/>
  <c r="H291" i="66"/>
  <c r="J291" i="66"/>
  <c r="S290" i="66"/>
  <c r="S233" i="66"/>
  <c r="T234" i="66"/>
  <c r="S313" i="66"/>
  <c r="S289" i="66"/>
  <c r="S235" i="66"/>
  <c r="H285" i="65"/>
  <c r="J285" i="65"/>
  <c r="S284" i="65"/>
  <c r="H281" i="65"/>
  <c r="J281" i="65"/>
  <c r="J317" i="65"/>
  <c r="H317" i="65"/>
  <c r="J259" i="65"/>
  <c r="H259" i="65"/>
  <c r="S258" i="65"/>
  <c r="H282" i="65"/>
  <c r="J282" i="65"/>
  <c r="H293" i="65"/>
  <c r="J293" i="65"/>
  <c r="S292" i="65"/>
  <c r="J292" i="65"/>
  <c r="H292" i="65"/>
  <c r="S291" i="65"/>
  <c r="J233" i="65"/>
  <c r="H233" i="65"/>
  <c r="S232" i="65"/>
  <c r="J321" i="65"/>
  <c r="H321" i="65"/>
  <c r="J283" i="65"/>
  <c r="H283" i="65"/>
  <c r="J230" i="65"/>
  <c r="H230" i="65"/>
  <c r="S229" i="65"/>
  <c r="J288" i="65"/>
  <c r="H288" i="65"/>
  <c r="H319" i="65"/>
  <c r="J319" i="65"/>
  <c r="S318" i="65"/>
  <c r="H261" i="65"/>
  <c r="J261" i="65"/>
  <c r="S260" i="65"/>
  <c r="J294" i="65"/>
  <c r="H294" i="65"/>
  <c r="J315" i="65"/>
  <c r="H315" i="65"/>
  <c r="S314" i="65"/>
  <c r="S312" i="65"/>
  <c r="T312" i="65"/>
  <c r="J260" i="65"/>
  <c r="H260" i="65"/>
  <c r="S259" i="65"/>
  <c r="J232" i="65"/>
  <c r="H232" i="65"/>
  <c r="S231" i="65"/>
  <c r="J265" i="65"/>
  <c r="H265" i="65"/>
  <c r="S264" i="65"/>
  <c r="J262" i="65"/>
  <c r="H262" i="65"/>
  <c r="S261" i="65"/>
  <c r="J312" i="65"/>
  <c r="H312" i="65"/>
  <c r="J231" i="65"/>
  <c r="H231" i="65"/>
  <c r="S230" i="65"/>
  <c r="H237" i="65"/>
  <c r="J237" i="65"/>
  <c r="S236" i="65"/>
  <c r="J320" i="65"/>
  <c r="H320" i="65"/>
  <c r="J289" i="65"/>
  <c r="H289" i="65"/>
  <c r="H291" i="65"/>
  <c r="J291" i="65"/>
  <c r="S290" i="65"/>
  <c r="H290" i="65"/>
  <c r="J290" i="65"/>
  <c r="S289" i="65"/>
  <c r="J314" i="65"/>
  <c r="H314" i="65"/>
  <c r="S313" i="65"/>
  <c r="J313" i="65"/>
  <c r="H313" i="65"/>
  <c r="H255" i="65"/>
  <c r="J255" i="65"/>
  <c r="S254" i="65"/>
  <c r="T254" i="65"/>
  <c r="J324" i="65"/>
  <c r="H324" i="65"/>
  <c r="S323" i="65"/>
  <c r="H287" i="65"/>
  <c r="J287" i="65"/>
  <c r="S286" i="65"/>
  <c r="J256" i="65"/>
  <c r="H256" i="65"/>
  <c r="S255" i="65"/>
  <c r="J323" i="65"/>
  <c r="H323" i="65"/>
  <c r="S322" i="65"/>
  <c r="J228" i="65"/>
  <c r="H228" i="65"/>
  <c r="H284" i="65"/>
  <c r="J284" i="65"/>
  <c r="S283" i="65"/>
  <c r="T283" i="65"/>
  <c r="J264" i="65"/>
  <c r="H264" i="65"/>
  <c r="S263" i="65"/>
  <c r="J266" i="65"/>
  <c r="H266" i="65"/>
  <c r="S265" i="65"/>
  <c r="J263" i="65"/>
  <c r="H263" i="65"/>
  <c r="S262" i="65"/>
  <c r="J235" i="65"/>
  <c r="H235" i="65"/>
  <c r="S234" i="65"/>
  <c r="H234" i="65"/>
  <c r="J234" i="65"/>
  <c r="S233" i="65"/>
  <c r="S287" i="65"/>
  <c r="S288" i="65"/>
  <c r="H257" i="65"/>
  <c r="J257" i="65"/>
  <c r="S256" i="65"/>
  <c r="H322" i="65"/>
  <c r="J322" i="65"/>
  <c r="S321" i="65"/>
  <c r="H229" i="65"/>
  <c r="J229" i="65"/>
  <c r="S228" i="65"/>
  <c r="T228" i="65"/>
  <c r="J254" i="65"/>
  <c r="H254" i="65"/>
  <c r="H316" i="65"/>
  <c r="J316" i="65"/>
  <c r="S315" i="65"/>
  <c r="H236" i="65"/>
  <c r="J236" i="65"/>
  <c r="S235" i="65"/>
  <c r="J318" i="65"/>
  <c r="H318" i="65"/>
  <c r="J258" i="65"/>
  <c r="H258" i="65"/>
  <c r="S257" i="65"/>
  <c r="J286" i="65"/>
  <c r="H286" i="65"/>
  <c r="H295" i="65"/>
  <c r="J295" i="65"/>
  <c r="S294" i="65"/>
  <c r="J310" i="66"/>
  <c r="H310" i="66"/>
  <c r="H224" i="66"/>
  <c r="J224" i="66"/>
  <c r="H251" i="66"/>
  <c r="J251" i="66"/>
  <c r="H307" i="66"/>
  <c r="J307" i="66"/>
  <c r="J221" i="66"/>
  <c r="H221" i="66"/>
  <c r="J305" i="66"/>
  <c r="H305" i="66"/>
  <c r="H311" i="66"/>
  <c r="J311" i="66"/>
  <c r="H249" i="66"/>
  <c r="J249" i="66"/>
  <c r="H276" i="66"/>
  <c r="J276" i="66"/>
  <c r="J279" i="66"/>
  <c r="H279" i="66"/>
  <c r="H278" i="66"/>
  <c r="J278" i="66"/>
  <c r="J248" i="66"/>
  <c r="H248" i="66"/>
  <c r="H223" i="66"/>
  <c r="J223" i="66"/>
  <c r="J226" i="66"/>
  <c r="H226" i="66"/>
  <c r="J222" i="66"/>
  <c r="H222" i="66"/>
  <c r="H253" i="66"/>
  <c r="J253" i="66"/>
  <c r="J250" i="66"/>
  <c r="H250" i="66"/>
  <c r="H309" i="66"/>
  <c r="J309" i="66"/>
  <c r="H306" i="66"/>
  <c r="J306" i="66"/>
  <c r="H247" i="66"/>
  <c r="J247" i="66"/>
  <c r="H252" i="66"/>
  <c r="J252" i="66"/>
  <c r="H277" i="66"/>
  <c r="J277" i="66"/>
  <c r="H308" i="66"/>
  <c r="J308" i="66"/>
  <c r="J218" i="66"/>
  <c r="H218" i="66"/>
  <c r="H280" i="66"/>
  <c r="J280" i="66"/>
  <c r="H219" i="66"/>
  <c r="J219" i="66"/>
  <c r="H225" i="65"/>
  <c r="J225" i="65"/>
  <c r="H253" i="65"/>
  <c r="J253" i="65"/>
  <c r="J218" i="65"/>
  <c r="H218" i="65"/>
  <c r="H310" i="65"/>
  <c r="J310" i="65"/>
  <c r="H223" i="65"/>
  <c r="J223" i="65"/>
  <c r="H306" i="65"/>
  <c r="J306" i="65"/>
  <c r="H307" i="65"/>
  <c r="J307" i="65"/>
  <c r="H308" i="65"/>
  <c r="J308" i="65"/>
  <c r="H305" i="65"/>
  <c r="J305" i="65"/>
  <c r="H248" i="65"/>
  <c r="J248" i="65"/>
  <c r="H251" i="65"/>
  <c r="J251" i="65"/>
  <c r="H221" i="65"/>
  <c r="J221" i="65"/>
  <c r="H280" i="65"/>
  <c r="J280" i="65"/>
  <c r="H219" i="65"/>
  <c r="J219" i="65"/>
  <c r="H276" i="65"/>
  <c r="J276" i="65"/>
  <c r="J277" i="65"/>
  <c r="H277" i="65"/>
  <c r="H278" i="65"/>
  <c r="J278" i="65"/>
  <c r="H227" i="65"/>
  <c r="J227" i="65"/>
  <c r="J249" i="65"/>
  <c r="H249" i="65"/>
  <c r="J311" i="65"/>
  <c r="H311" i="65"/>
  <c r="H250" i="65"/>
  <c r="J250" i="65"/>
  <c r="J279" i="65"/>
  <c r="H279" i="65"/>
  <c r="J222" i="65"/>
  <c r="H222" i="65"/>
  <c r="H247" i="65"/>
  <c r="J247" i="65"/>
  <c r="J226" i="65"/>
  <c r="H226" i="65"/>
  <c r="J220" i="65"/>
  <c r="H220" i="65"/>
  <c r="H309" i="65"/>
  <c r="J309" i="65"/>
  <c r="J224" i="65"/>
  <c r="H224" i="65"/>
  <c r="H252" i="65"/>
  <c r="J252" i="65"/>
  <c r="E246" i="65"/>
  <c r="F34" i="65"/>
  <c r="I36" i="66"/>
  <c r="F32" i="66"/>
  <c r="F33" i="66"/>
  <c r="I34" i="66"/>
  <c r="G34" i="66"/>
  <c r="C338" i="66"/>
  <c r="D359" i="66"/>
  <c r="E145" i="66"/>
  <c r="F33" i="65"/>
  <c r="F32" i="65"/>
  <c r="E246" i="66"/>
  <c r="F45" i="66"/>
  <c r="F44" i="66"/>
  <c r="F39" i="66"/>
  <c r="F41" i="66"/>
  <c r="F40" i="66"/>
  <c r="F42" i="66"/>
  <c r="F46" i="66"/>
  <c r="E217" i="65"/>
  <c r="F36" i="65"/>
  <c r="H357" i="66"/>
  <c r="I357" i="66"/>
  <c r="G368" i="66"/>
  <c r="F359" i="66"/>
  <c r="E359" i="66"/>
  <c r="G359" i="66"/>
  <c r="D370" i="66"/>
  <c r="E368" i="66"/>
  <c r="F368" i="66"/>
  <c r="H360" i="66"/>
  <c r="I360" i="66"/>
  <c r="G371" i="66"/>
  <c r="H358" i="66"/>
  <c r="I358" i="66"/>
  <c r="G369" i="66"/>
  <c r="F371" i="66"/>
  <c r="E371" i="66"/>
  <c r="F369" i="66"/>
  <c r="E369" i="66"/>
  <c r="I358" i="65"/>
  <c r="H358" i="65"/>
  <c r="G369" i="65"/>
  <c r="E370" i="65"/>
  <c r="F370" i="65"/>
  <c r="F369" i="65"/>
  <c r="E369" i="65"/>
  <c r="I357" i="65"/>
  <c r="H357" i="65"/>
  <c r="G368" i="65"/>
  <c r="H360" i="65"/>
  <c r="I360" i="65"/>
  <c r="G371" i="65"/>
  <c r="F371" i="65"/>
  <c r="E371" i="65"/>
  <c r="F368" i="65"/>
  <c r="E368" i="65"/>
  <c r="I359" i="65"/>
  <c r="H359" i="65"/>
  <c r="G370" i="65"/>
  <c r="T235" i="66"/>
  <c r="T315" i="65"/>
  <c r="G361" i="66"/>
  <c r="G378" i="66"/>
  <c r="K284" i="65"/>
  <c r="M284" i="65"/>
  <c r="O284" i="65"/>
  <c r="K319" i="65"/>
  <c r="M319" i="65"/>
  <c r="O319" i="65"/>
  <c r="D361" i="66"/>
  <c r="C335" i="66"/>
  <c r="K317" i="65"/>
  <c r="M317" i="65"/>
  <c r="R317" i="65"/>
  <c r="T319" i="65"/>
  <c r="D361" i="65"/>
  <c r="C335" i="65"/>
  <c r="T317" i="65"/>
  <c r="G361" i="65"/>
  <c r="K256" i="66"/>
  <c r="M256" i="66"/>
  <c r="R256" i="66"/>
  <c r="K284" i="66"/>
  <c r="M284" i="66"/>
  <c r="R284" i="66"/>
  <c r="K316" i="66"/>
  <c r="M316" i="66"/>
  <c r="O316" i="66"/>
  <c r="K313" i="66"/>
  <c r="M313" i="66"/>
  <c r="O313" i="66"/>
  <c r="T316" i="66"/>
  <c r="T317" i="66"/>
  <c r="K266" i="66"/>
  <c r="M266" i="66"/>
  <c r="O266" i="66"/>
  <c r="K295" i="66"/>
  <c r="M295" i="66"/>
  <c r="O295" i="66"/>
  <c r="K323" i="66"/>
  <c r="M323" i="66"/>
  <c r="O323" i="66"/>
  <c r="T258" i="66"/>
  <c r="T257" i="66"/>
  <c r="T322" i="66"/>
  <c r="K264" i="66"/>
  <c r="M264" i="66"/>
  <c r="R264" i="66"/>
  <c r="K292" i="66"/>
  <c r="M292" i="66"/>
  <c r="R292" i="66"/>
  <c r="K290" i="66"/>
  <c r="M290" i="66"/>
  <c r="O290" i="66"/>
  <c r="K228" i="66"/>
  <c r="M228" i="66"/>
  <c r="O228" i="66"/>
  <c r="Q228" i="66"/>
  <c r="K291" i="66"/>
  <c r="M291" i="66"/>
  <c r="O291" i="66"/>
  <c r="K318" i="66"/>
  <c r="M318" i="66"/>
  <c r="O318" i="66"/>
  <c r="K233" i="66"/>
  <c r="M233" i="66"/>
  <c r="R233" i="66"/>
  <c r="K235" i="66"/>
  <c r="M235" i="66"/>
  <c r="O235" i="66"/>
  <c r="K236" i="66"/>
  <c r="M236" i="66"/>
  <c r="R236" i="66"/>
  <c r="K232" i="66"/>
  <c r="M232" i="66"/>
  <c r="O232" i="66"/>
  <c r="K229" i="66"/>
  <c r="M229" i="66"/>
  <c r="O229" i="66"/>
  <c r="T288" i="66"/>
  <c r="T231" i="66"/>
  <c r="T256" i="66"/>
  <c r="T319" i="66"/>
  <c r="K258" i="66"/>
  <c r="M258" i="66"/>
  <c r="O258" i="66"/>
  <c r="K314" i="66"/>
  <c r="M314" i="66"/>
  <c r="O314" i="66"/>
  <c r="K287" i="66"/>
  <c r="M287" i="66"/>
  <c r="O287" i="66"/>
  <c r="T261" i="66"/>
  <c r="K255" i="66"/>
  <c r="M255" i="66"/>
  <c r="R255" i="66"/>
  <c r="K259" i="66"/>
  <c r="M259" i="66"/>
  <c r="O259" i="66"/>
  <c r="K286" i="66"/>
  <c r="M286" i="66"/>
  <c r="O286" i="66"/>
  <c r="K261" i="66"/>
  <c r="M261" i="66"/>
  <c r="O261" i="66"/>
  <c r="K288" i="66"/>
  <c r="M288" i="66"/>
  <c r="R288" i="66"/>
  <c r="T292" i="65"/>
  <c r="K285" i="65"/>
  <c r="M285" i="65"/>
  <c r="R285" i="65"/>
  <c r="K228" i="65"/>
  <c r="M228" i="65"/>
  <c r="R228" i="65"/>
  <c r="K257" i="65"/>
  <c r="M257" i="65"/>
  <c r="O257" i="65"/>
  <c r="K287" i="65"/>
  <c r="M287" i="65"/>
  <c r="R287" i="65"/>
  <c r="K322" i="65"/>
  <c r="M322" i="65"/>
  <c r="O322" i="65"/>
  <c r="T286" i="65"/>
  <c r="K290" i="65"/>
  <c r="M290" i="65"/>
  <c r="R290" i="65"/>
  <c r="K236" i="65"/>
  <c r="M236" i="65"/>
  <c r="R236" i="65"/>
  <c r="K229" i="65"/>
  <c r="M229" i="65"/>
  <c r="O229" i="65"/>
  <c r="T287" i="65"/>
  <c r="T262" i="65"/>
  <c r="K237" i="65"/>
  <c r="M237" i="65"/>
  <c r="R237" i="65"/>
  <c r="K232" i="65"/>
  <c r="M232" i="65"/>
  <c r="O232" i="65"/>
  <c r="T320" i="65"/>
  <c r="K235" i="65"/>
  <c r="M235" i="65"/>
  <c r="R235" i="65"/>
  <c r="K233" i="65"/>
  <c r="M233" i="65"/>
  <c r="R233" i="65"/>
  <c r="K316" i="65"/>
  <c r="M316" i="65"/>
  <c r="R316" i="65"/>
  <c r="T321" i="65"/>
  <c r="K263" i="65"/>
  <c r="M263" i="65"/>
  <c r="O263" i="65"/>
  <c r="K283" i="65"/>
  <c r="M283" i="65"/>
  <c r="O283" i="65"/>
  <c r="Q283" i="65"/>
  <c r="K289" i="65"/>
  <c r="M289" i="65"/>
  <c r="R289" i="65"/>
  <c r="K264" i="65"/>
  <c r="M264" i="65"/>
  <c r="O264" i="65"/>
  <c r="K291" i="65"/>
  <c r="M291" i="65"/>
  <c r="O291" i="65"/>
  <c r="K230" i="65"/>
  <c r="M230" i="65"/>
  <c r="O230" i="65"/>
  <c r="K320" i="65"/>
  <c r="M320" i="65"/>
  <c r="R320" i="65"/>
  <c r="T255" i="65"/>
  <c r="K262" i="65"/>
  <c r="M262" i="65"/>
  <c r="R262" i="65"/>
  <c r="T259" i="65"/>
  <c r="T232" i="65"/>
  <c r="K312" i="65"/>
  <c r="M312" i="65"/>
  <c r="R312" i="65"/>
  <c r="K234" i="65"/>
  <c r="M234" i="65"/>
  <c r="O234" i="65"/>
  <c r="K255" i="65"/>
  <c r="M255" i="65"/>
  <c r="R255" i="65"/>
  <c r="K294" i="65"/>
  <c r="M294" i="65"/>
  <c r="R294" i="65"/>
  <c r="K288" i="65"/>
  <c r="M288" i="65"/>
  <c r="R288" i="65"/>
  <c r="K317" i="66"/>
  <c r="M317" i="66"/>
  <c r="O317" i="66"/>
  <c r="K237" i="66"/>
  <c r="M237" i="66"/>
  <c r="R237" i="66"/>
  <c r="K312" i="66"/>
  <c r="M312" i="66"/>
  <c r="O312" i="66"/>
  <c r="Q312" i="66"/>
  <c r="T289" i="66"/>
  <c r="K283" i="66"/>
  <c r="M283" i="66"/>
  <c r="O283" i="66"/>
  <c r="Q283" i="66"/>
  <c r="T293" i="66"/>
  <c r="K265" i="66"/>
  <c r="M265" i="66"/>
  <c r="R265" i="66"/>
  <c r="T230" i="66"/>
  <c r="K324" i="66"/>
  <c r="M324" i="66"/>
  <c r="O324" i="66"/>
  <c r="K263" i="66"/>
  <c r="M263" i="66"/>
  <c r="O263" i="66"/>
  <c r="K262" i="66"/>
  <c r="M262" i="66"/>
  <c r="O262" i="66"/>
  <c r="T285" i="66"/>
  <c r="T259" i="66"/>
  <c r="K321" i="66"/>
  <c r="M321" i="66"/>
  <c r="O321" i="66"/>
  <c r="K322" i="66"/>
  <c r="M322" i="66"/>
  <c r="O322" i="66"/>
  <c r="K285" i="66"/>
  <c r="M285" i="66"/>
  <c r="R285" i="66"/>
  <c r="K289" i="66"/>
  <c r="M289" i="66"/>
  <c r="R289" i="66"/>
  <c r="K320" i="66"/>
  <c r="M320" i="66"/>
  <c r="R320" i="66"/>
  <c r="T232" i="66"/>
  <c r="K315" i="66"/>
  <c r="M315" i="66"/>
  <c r="O315" i="66"/>
  <c r="K231" i="66"/>
  <c r="M231" i="66"/>
  <c r="O231" i="66"/>
  <c r="K260" i="66"/>
  <c r="M260" i="66"/>
  <c r="R260" i="66"/>
  <c r="K319" i="66"/>
  <c r="M319" i="66"/>
  <c r="O319" i="66"/>
  <c r="K257" i="66"/>
  <c r="M257" i="66"/>
  <c r="O257" i="66"/>
  <c r="K293" i="66"/>
  <c r="M293" i="66"/>
  <c r="O293" i="66"/>
  <c r="T313" i="66"/>
  <c r="K254" i="66"/>
  <c r="M254" i="66"/>
  <c r="O254" i="66"/>
  <c r="Q254" i="66"/>
  <c r="K234" i="66"/>
  <c r="M234" i="66"/>
  <c r="O234" i="66"/>
  <c r="T291" i="66"/>
  <c r="K294" i="66"/>
  <c r="M294" i="66"/>
  <c r="R294" i="66"/>
  <c r="T321" i="66"/>
  <c r="K230" i="66"/>
  <c r="M230" i="66"/>
  <c r="O230" i="66"/>
  <c r="K258" i="65"/>
  <c r="M258" i="65"/>
  <c r="R258" i="65"/>
  <c r="K266" i="65"/>
  <c r="M266" i="65"/>
  <c r="O266" i="65"/>
  <c r="T289" i="65"/>
  <c r="K265" i="65"/>
  <c r="M265" i="65"/>
  <c r="O265" i="65"/>
  <c r="K256" i="65"/>
  <c r="M256" i="65"/>
  <c r="O256" i="65"/>
  <c r="K231" i="65"/>
  <c r="M231" i="65"/>
  <c r="O231" i="65"/>
  <c r="K260" i="65"/>
  <c r="M260" i="65"/>
  <c r="O260" i="65"/>
  <c r="K321" i="65"/>
  <c r="M321" i="65"/>
  <c r="O321" i="65"/>
  <c r="K293" i="65"/>
  <c r="M293" i="65"/>
  <c r="O293" i="65"/>
  <c r="K314" i="65"/>
  <c r="M314" i="65"/>
  <c r="O314" i="65"/>
  <c r="T233" i="65"/>
  <c r="T261" i="65"/>
  <c r="K259" i="65"/>
  <c r="M259" i="65"/>
  <c r="R259" i="65"/>
  <c r="K254" i="65"/>
  <c r="M254" i="65"/>
  <c r="O254" i="65"/>
  <c r="Q254" i="65"/>
  <c r="T263" i="65"/>
  <c r="T318" i="65"/>
  <c r="T284" i="65"/>
  <c r="K286" i="65"/>
  <c r="M286" i="65"/>
  <c r="O286" i="65"/>
  <c r="T256" i="65"/>
  <c r="K324" i="65"/>
  <c r="M324" i="65"/>
  <c r="O324" i="65"/>
  <c r="T235" i="65"/>
  <c r="K323" i="65"/>
  <c r="M323" i="65"/>
  <c r="R323" i="65"/>
  <c r="K315" i="65"/>
  <c r="M315" i="65"/>
  <c r="O315" i="65"/>
  <c r="K292" i="65"/>
  <c r="M292" i="65"/>
  <c r="O292" i="65"/>
  <c r="K295" i="65"/>
  <c r="M295" i="65"/>
  <c r="O295" i="65"/>
  <c r="K318" i="65"/>
  <c r="M318" i="65"/>
  <c r="R318" i="65"/>
  <c r="K313" i="65"/>
  <c r="M313" i="65"/>
  <c r="R313" i="65"/>
  <c r="K261" i="65"/>
  <c r="M261" i="65"/>
  <c r="O261" i="65"/>
  <c r="O288" i="66"/>
  <c r="T294" i="66"/>
  <c r="T295" i="66"/>
  <c r="T237" i="66"/>
  <c r="T236" i="66"/>
  <c r="T260" i="66"/>
  <c r="T314" i="66"/>
  <c r="T315" i="66"/>
  <c r="T262" i="66"/>
  <c r="T284" i="66"/>
  <c r="T323" i="66"/>
  <c r="T320" i="66"/>
  <c r="T265" i="66"/>
  <c r="T266" i="66"/>
  <c r="T229" i="66"/>
  <c r="T292" i="66"/>
  <c r="T290" i="66"/>
  <c r="T286" i="66"/>
  <c r="T318" i="66"/>
  <c r="T263" i="66"/>
  <c r="T287" i="66"/>
  <c r="E249" i="66"/>
  <c r="F249" i="66"/>
  <c r="E250" i="66"/>
  <c r="F250" i="66"/>
  <c r="E247" i="66"/>
  <c r="F247" i="66"/>
  <c r="E251" i="66"/>
  <c r="F251" i="66"/>
  <c r="E248" i="66"/>
  <c r="F248" i="66"/>
  <c r="E252" i="66"/>
  <c r="F252" i="66"/>
  <c r="E253" i="66"/>
  <c r="F253" i="66"/>
  <c r="T233" i="66"/>
  <c r="T264" i="66"/>
  <c r="T255" i="66"/>
  <c r="E251" i="65"/>
  <c r="F251" i="65"/>
  <c r="E247" i="65"/>
  <c r="F247" i="65"/>
  <c r="E250" i="65"/>
  <c r="F250" i="65"/>
  <c r="E252" i="65"/>
  <c r="F252" i="65"/>
  <c r="E249" i="65"/>
  <c r="F249" i="65"/>
  <c r="E253" i="65"/>
  <c r="F253" i="65"/>
  <c r="E248" i="65"/>
  <c r="F248" i="65"/>
  <c r="T265" i="65"/>
  <c r="T266" i="65"/>
  <c r="T257" i="65"/>
  <c r="T229" i="65"/>
  <c r="T258" i="65"/>
  <c r="T234" i="65"/>
  <c r="T313" i="65"/>
  <c r="T290" i="65"/>
  <c r="T295" i="65"/>
  <c r="T294" i="65"/>
  <c r="T285" i="65"/>
  <c r="T264" i="65"/>
  <c r="T288" i="65"/>
  <c r="T322" i="65"/>
  <c r="T314" i="65"/>
  <c r="T291" i="65"/>
  <c r="E224" i="65"/>
  <c r="F224" i="65"/>
  <c r="E225" i="65"/>
  <c r="F225" i="65"/>
  <c r="E220" i="65"/>
  <c r="F220" i="65"/>
  <c r="E226" i="65"/>
  <c r="F226" i="65"/>
  <c r="E218" i="65"/>
  <c r="F218" i="65"/>
  <c r="E223" i="65"/>
  <c r="F223" i="65"/>
  <c r="E227" i="65"/>
  <c r="F227" i="65"/>
  <c r="E219" i="65"/>
  <c r="F219" i="65"/>
  <c r="E221" i="65"/>
  <c r="F221" i="65"/>
  <c r="E222" i="65"/>
  <c r="F222" i="65"/>
  <c r="T323" i="65"/>
  <c r="T324" i="65"/>
  <c r="T236" i="65"/>
  <c r="T237" i="65"/>
  <c r="T316" i="65"/>
  <c r="T230" i="65"/>
  <c r="T260" i="65"/>
  <c r="T293" i="65"/>
  <c r="T231" i="65"/>
  <c r="W225" i="66"/>
  <c r="W222" i="66"/>
  <c r="W219" i="66"/>
  <c r="W227" i="66"/>
  <c r="N227" i="66"/>
  <c r="W221" i="66"/>
  <c r="W218" i="66"/>
  <c r="W223" i="66"/>
  <c r="W220" i="66"/>
  <c r="W224" i="66"/>
  <c r="W226" i="66"/>
  <c r="W247" i="66"/>
  <c r="W253" i="66"/>
  <c r="N253" i="66"/>
  <c r="W252" i="66"/>
  <c r="W249" i="66"/>
  <c r="W250" i="66"/>
  <c r="W251" i="66"/>
  <c r="W248" i="66"/>
  <c r="W280" i="66"/>
  <c r="W276" i="66"/>
  <c r="W278" i="66"/>
  <c r="W279" i="66"/>
  <c r="W281" i="66"/>
  <c r="W277" i="66"/>
  <c r="W282" i="66"/>
  <c r="N282" i="66"/>
  <c r="W311" i="66"/>
  <c r="N311" i="66"/>
  <c r="W306" i="66"/>
  <c r="W308" i="66"/>
  <c r="W305" i="66"/>
  <c r="W307" i="66"/>
  <c r="W310" i="66"/>
  <c r="W309" i="66"/>
  <c r="W225" i="65"/>
  <c r="W220" i="65"/>
  <c r="W223" i="65"/>
  <c r="W222" i="65"/>
  <c r="W227" i="65"/>
  <c r="N227" i="65"/>
  <c r="W224" i="65"/>
  <c r="W219" i="65"/>
  <c r="W218" i="65"/>
  <c r="W221" i="65"/>
  <c r="W226" i="65"/>
  <c r="W282" i="65"/>
  <c r="N282" i="65"/>
  <c r="W279" i="65"/>
  <c r="W276" i="65"/>
  <c r="W278" i="65"/>
  <c r="W277" i="65"/>
  <c r="W281" i="65"/>
  <c r="W280" i="65"/>
  <c r="W252" i="65"/>
  <c r="W250" i="65"/>
  <c r="W249" i="65"/>
  <c r="W253" i="65"/>
  <c r="N253" i="65"/>
  <c r="W251" i="65"/>
  <c r="W248" i="65"/>
  <c r="W247" i="65"/>
  <c r="W310" i="65"/>
  <c r="W307" i="65"/>
  <c r="W305" i="65"/>
  <c r="W309" i="65"/>
  <c r="W306" i="65"/>
  <c r="W311" i="65"/>
  <c r="N311" i="65"/>
  <c r="W308" i="65"/>
  <c r="F34" i="66"/>
  <c r="E217" i="66"/>
  <c r="F36" i="66"/>
  <c r="K49" i="65"/>
  <c r="I368" i="66"/>
  <c r="H368" i="66"/>
  <c r="I359" i="66"/>
  <c r="H359" i="66"/>
  <c r="G370" i="66"/>
  <c r="F370" i="66"/>
  <c r="E370" i="66"/>
  <c r="H371" i="66"/>
  <c r="I371" i="66"/>
  <c r="I369" i="66"/>
  <c r="H369" i="66"/>
  <c r="H368" i="65"/>
  <c r="I368" i="65"/>
  <c r="I369" i="65"/>
  <c r="H369" i="65"/>
  <c r="I370" i="65"/>
  <c r="H370" i="65"/>
  <c r="I371" i="65"/>
  <c r="H371" i="65"/>
  <c r="R284" i="65"/>
  <c r="G372" i="66"/>
  <c r="H372" i="66"/>
  <c r="H361" i="66"/>
  <c r="G364" i="66"/>
  <c r="G375" i="66"/>
  <c r="X317" i="65"/>
  <c r="O313" i="65"/>
  <c r="R319" i="65"/>
  <c r="X319" i="65"/>
  <c r="D372" i="66"/>
  <c r="E372" i="66"/>
  <c r="E361" i="66"/>
  <c r="D378" i="66"/>
  <c r="C207" i="66"/>
  <c r="D364" i="66"/>
  <c r="D375" i="66"/>
  <c r="D372" i="65"/>
  <c r="E372" i="65"/>
  <c r="E361" i="65"/>
  <c r="D378" i="65"/>
  <c r="C207" i="65"/>
  <c r="D364" i="65"/>
  <c r="D375" i="65"/>
  <c r="O317" i="65"/>
  <c r="G372" i="65"/>
  <c r="H372" i="65"/>
  <c r="H361" i="65"/>
  <c r="G364" i="65"/>
  <c r="G375" i="65"/>
  <c r="G378" i="65"/>
  <c r="O284" i="66"/>
  <c r="O264" i="66"/>
  <c r="O256" i="66"/>
  <c r="R314" i="66"/>
  <c r="X314" i="66"/>
  <c r="R313" i="66"/>
  <c r="X313" i="66"/>
  <c r="R266" i="66"/>
  <c r="X266" i="66"/>
  <c r="R316" i="66"/>
  <c r="X316" i="66"/>
  <c r="R229" i="66"/>
  <c r="X229" i="66"/>
  <c r="O260" i="66"/>
  <c r="O236" i="66"/>
  <c r="R321" i="66"/>
  <c r="X321" i="66"/>
  <c r="O285" i="66"/>
  <c r="R257" i="66"/>
  <c r="X257" i="66"/>
  <c r="O289" i="66"/>
  <c r="R228" i="66"/>
  <c r="R293" i="66"/>
  <c r="X293" i="66"/>
  <c r="R295" i="66"/>
  <c r="X295" i="66"/>
  <c r="X288" i="66"/>
  <c r="O255" i="66"/>
  <c r="R317" i="66"/>
  <c r="X317" i="66"/>
  <c r="R258" i="66"/>
  <c r="X258" i="66"/>
  <c r="R323" i="66"/>
  <c r="X323" i="66"/>
  <c r="R235" i="66"/>
  <c r="X235" i="66"/>
  <c r="R318" i="66"/>
  <c r="X318" i="66"/>
  <c r="R283" i="66"/>
  <c r="R315" i="66"/>
  <c r="X315" i="66"/>
  <c r="X265" i="66"/>
  <c r="O233" i="66"/>
  <c r="R261" i="66"/>
  <c r="X261" i="66"/>
  <c r="X285" i="66"/>
  <c r="R291" i="66"/>
  <c r="X291" i="66"/>
  <c r="O294" i="66"/>
  <c r="O292" i="66"/>
  <c r="R290" i="66"/>
  <c r="X290" i="66"/>
  <c r="R322" i="66"/>
  <c r="X322" i="66"/>
  <c r="R287" i="66"/>
  <c r="X287" i="66"/>
  <c r="R230" i="66"/>
  <c r="X230" i="66"/>
  <c r="O265" i="66"/>
  <c r="R319" i="66"/>
  <c r="X319" i="66"/>
  <c r="R286" i="66"/>
  <c r="X286" i="66"/>
  <c r="R232" i="66"/>
  <c r="X232" i="66"/>
  <c r="R324" i="66"/>
  <c r="X324" i="66"/>
  <c r="X320" i="66"/>
  <c r="R259" i="66"/>
  <c r="X259" i="66"/>
  <c r="X256" i="66"/>
  <c r="X260" i="66"/>
  <c r="X262" i="65"/>
  <c r="O228" i="65"/>
  <c r="Q228" i="65"/>
  <c r="O285" i="65"/>
  <c r="R260" i="65"/>
  <c r="X260" i="65"/>
  <c r="R229" i="65"/>
  <c r="X229" i="65"/>
  <c r="R322" i="65"/>
  <c r="X322" i="65"/>
  <c r="O237" i="65"/>
  <c r="X289" i="65"/>
  <c r="O287" i="65"/>
  <c r="O318" i="65"/>
  <c r="R232" i="65"/>
  <c r="X232" i="65"/>
  <c r="R264" i="65"/>
  <c r="X264" i="65"/>
  <c r="O289" i="65"/>
  <c r="R257" i="65"/>
  <c r="X257" i="65"/>
  <c r="X233" i="65"/>
  <c r="O312" i="65"/>
  <c r="Q312" i="65"/>
  <c r="X320" i="65"/>
  <c r="O262" i="65"/>
  <c r="O294" i="65"/>
  <c r="O316" i="65"/>
  <c r="R265" i="65"/>
  <c r="X265" i="65"/>
  <c r="O236" i="65"/>
  <c r="O320" i="65"/>
  <c r="X287" i="65"/>
  <c r="R234" i="65"/>
  <c r="X234" i="65"/>
  <c r="O235" i="65"/>
  <c r="O255" i="65"/>
  <c r="X318" i="65"/>
  <c r="R263" i="65"/>
  <c r="X263" i="65"/>
  <c r="O290" i="65"/>
  <c r="R254" i="65"/>
  <c r="R231" i="65"/>
  <c r="X231" i="65"/>
  <c r="X288" i="65"/>
  <c r="O323" i="65"/>
  <c r="R291" i="65"/>
  <c r="X291" i="65"/>
  <c r="X294" i="65"/>
  <c r="O233" i="65"/>
  <c r="R230" i="65"/>
  <c r="X230" i="65"/>
  <c r="X237" i="65"/>
  <c r="R295" i="65"/>
  <c r="X295" i="65"/>
  <c r="X255" i="65"/>
  <c r="O288" i="65"/>
  <c r="R321" i="65"/>
  <c r="X321" i="65"/>
  <c r="R315" i="65"/>
  <c r="X315" i="65"/>
  <c r="R266" i="65"/>
  <c r="X266" i="65"/>
  <c r="X313" i="65"/>
  <c r="R286" i="65"/>
  <c r="X286" i="65"/>
  <c r="R292" i="65"/>
  <c r="X292" i="65"/>
  <c r="R283" i="65"/>
  <c r="R314" i="65"/>
  <c r="X314" i="65"/>
  <c r="X259" i="65"/>
  <c r="X323" i="65"/>
  <c r="R262" i="66"/>
  <c r="X262" i="66"/>
  <c r="R263" i="66"/>
  <c r="X263" i="66"/>
  <c r="O320" i="66"/>
  <c r="X255" i="66"/>
  <c r="X236" i="66"/>
  <c r="R254" i="66"/>
  <c r="O237" i="66"/>
  <c r="R234" i="66"/>
  <c r="X234" i="66"/>
  <c r="R231" i="66"/>
  <c r="X231" i="66"/>
  <c r="R312" i="66"/>
  <c r="X289" i="66"/>
  <c r="X236" i="65"/>
  <c r="O259" i="65"/>
  <c r="R324" i="65"/>
  <c r="X324" i="65"/>
  <c r="R256" i="65"/>
  <c r="X256" i="65"/>
  <c r="X290" i="65"/>
  <c r="X235" i="65"/>
  <c r="R293" i="65"/>
  <c r="X293" i="65"/>
  <c r="O258" i="65"/>
  <c r="R261" i="65"/>
  <c r="X261" i="65"/>
  <c r="X284" i="65"/>
  <c r="E223" i="66"/>
  <c r="F223" i="66"/>
  <c r="E224" i="66"/>
  <c r="F224" i="66"/>
  <c r="E222" i="66"/>
  <c r="F222" i="66"/>
  <c r="E225" i="66"/>
  <c r="F225" i="66"/>
  <c r="E221" i="66"/>
  <c r="F221" i="66"/>
  <c r="E226" i="66"/>
  <c r="F226" i="66"/>
  <c r="E218" i="66"/>
  <c r="F218" i="66"/>
  <c r="E227" i="66"/>
  <c r="F227" i="66"/>
  <c r="E219" i="66"/>
  <c r="F219" i="66"/>
  <c r="E220" i="66"/>
  <c r="F220" i="66"/>
  <c r="X264" i="66"/>
  <c r="X233" i="66"/>
  <c r="X284" i="66"/>
  <c r="X294" i="66"/>
  <c r="X237" i="66"/>
  <c r="X292" i="66"/>
  <c r="X258" i="65"/>
  <c r="X316" i="65"/>
  <c r="X285" i="65"/>
  <c r="E304" i="65"/>
  <c r="H370" i="66"/>
  <c r="I370" i="66"/>
  <c r="D365" i="66"/>
  <c r="D379" i="66"/>
  <c r="C208" i="66"/>
  <c r="G365" i="66"/>
  <c r="G379" i="66"/>
  <c r="G379" i="65"/>
  <c r="G365" i="65"/>
  <c r="D365" i="65"/>
  <c r="D379" i="65"/>
  <c r="C208" i="65"/>
  <c r="E305" i="65"/>
  <c r="F305" i="65"/>
  <c r="E309" i="65"/>
  <c r="F309" i="65"/>
  <c r="E310" i="65"/>
  <c r="F310" i="65"/>
  <c r="E306" i="65"/>
  <c r="F306" i="65"/>
  <c r="E307" i="65"/>
  <c r="F307" i="65"/>
  <c r="E308" i="65"/>
  <c r="F308" i="65"/>
  <c r="E311" i="65"/>
  <c r="F311" i="65"/>
  <c r="K49" i="66"/>
  <c r="I49" i="65"/>
  <c r="J49" i="65"/>
  <c r="F49" i="65"/>
  <c r="C22" i="65"/>
  <c r="E275" i="65"/>
  <c r="E304" i="66"/>
  <c r="L222" i="65"/>
  <c r="S221" i="65"/>
  <c r="K222" i="65"/>
  <c r="L227" i="65"/>
  <c r="S226" i="65"/>
  <c r="K227" i="65"/>
  <c r="L223" i="65"/>
  <c r="S222" i="65"/>
  <c r="K223" i="65"/>
  <c r="L219" i="65"/>
  <c r="S218" i="65"/>
  <c r="K219" i="65"/>
  <c r="L218" i="65"/>
  <c r="S217" i="65"/>
  <c r="T217" i="65"/>
  <c r="K218" i="65"/>
  <c r="L226" i="65"/>
  <c r="S225" i="65"/>
  <c r="K226" i="65"/>
  <c r="L248" i="65"/>
  <c r="S247" i="65"/>
  <c r="K248" i="65"/>
  <c r="L224" i="65"/>
  <c r="S223" i="65"/>
  <c r="K224" i="65"/>
  <c r="L221" i="65"/>
  <c r="S220" i="65"/>
  <c r="K221" i="65"/>
  <c r="L225" i="65"/>
  <c r="S224" i="65"/>
  <c r="K225" i="65"/>
  <c r="L220" i="65"/>
  <c r="S219" i="65"/>
  <c r="K220" i="65"/>
  <c r="J49" i="66"/>
  <c r="E309" i="66"/>
  <c r="F309" i="66"/>
  <c r="E310" i="66"/>
  <c r="F310" i="66"/>
  <c r="E311" i="66"/>
  <c r="F311" i="66"/>
  <c r="E308" i="66"/>
  <c r="F308" i="66"/>
  <c r="E305" i="66"/>
  <c r="F305" i="66"/>
  <c r="E306" i="66"/>
  <c r="F306" i="66"/>
  <c r="E307" i="66"/>
  <c r="F307" i="66"/>
  <c r="E278" i="65"/>
  <c r="F278" i="65"/>
  <c r="E282" i="65"/>
  <c r="F282" i="65"/>
  <c r="E276" i="65"/>
  <c r="F276" i="65"/>
  <c r="E279" i="65"/>
  <c r="F279" i="65"/>
  <c r="E277" i="65"/>
  <c r="F277" i="65"/>
  <c r="E280" i="65"/>
  <c r="F280" i="65"/>
  <c r="E281" i="65"/>
  <c r="F281" i="65"/>
  <c r="T225" i="65"/>
  <c r="T223" i="65"/>
  <c r="T220" i="65"/>
  <c r="T218" i="65"/>
  <c r="T227" i="65"/>
  <c r="T226" i="65"/>
  <c r="T221" i="65"/>
  <c r="K251" i="65"/>
  <c r="K250" i="65"/>
  <c r="T224" i="65"/>
  <c r="T222" i="65"/>
  <c r="L249" i="65"/>
  <c r="S248" i="65"/>
  <c r="T248" i="65"/>
  <c r="K252" i="65"/>
  <c r="L253" i="65"/>
  <c r="S252" i="65"/>
  <c r="K247" i="65"/>
  <c r="T219" i="65"/>
  <c r="L247" i="65"/>
  <c r="S246" i="65"/>
  <c r="T246" i="65"/>
  <c r="K253" i="65"/>
  <c r="L252" i="65"/>
  <c r="K249" i="65"/>
  <c r="I49" i="66"/>
  <c r="L250" i="65"/>
  <c r="S249" i="65"/>
  <c r="L251" i="65"/>
  <c r="S250" i="65"/>
  <c r="L253" i="66"/>
  <c r="S252" i="66"/>
  <c r="K253" i="66"/>
  <c r="G49" i="65"/>
  <c r="M221" i="65"/>
  <c r="L220" i="66"/>
  <c r="S219" i="66"/>
  <c r="K220" i="66"/>
  <c r="L223" i="66"/>
  <c r="S222" i="66"/>
  <c r="K223" i="66"/>
  <c r="L222" i="66"/>
  <c r="S221" i="66"/>
  <c r="K222" i="66"/>
  <c r="L218" i="66"/>
  <c r="S217" i="66"/>
  <c r="T217" i="66"/>
  <c r="K218" i="66"/>
  <c r="L224" i="66"/>
  <c r="S223" i="66"/>
  <c r="K224" i="66"/>
  <c r="L226" i="66"/>
  <c r="S225" i="66"/>
  <c r="K226" i="66"/>
  <c r="E275" i="66"/>
  <c r="L227" i="66"/>
  <c r="S226" i="66"/>
  <c r="K227" i="66"/>
  <c r="L221" i="66"/>
  <c r="S220" i="66"/>
  <c r="K221" i="66"/>
  <c r="L219" i="66"/>
  <c r="S218" i="66"/>
  <c r="K219" i="66"/>
  <c r="L225" i="66"/>
  <c r="S224" i="66"/>
  <c r="K225" i="66"/>
  <c r="L309" i="65"/>
  <c r="S308" i="65"/>
  <c r="K309" i="65"/>
  <c r="L305" i="65"/>
  <c r="S304" i="65"/>
  <c r="T304" i="65"/>
  <c r="K305" i="65"/>
  <c r="L311" i="65"/>
  <c r="S310" i="65"/>
  <c r="K311" i="65"/>
  <c r="L307" i="65"/>
  <c r="S306" i="65"/>
  <c r="K307" i="65"/>
  <c r="L310" i="65"/>
  <c r="S309" i="65"/>
  <c r="K310" i="65"/>
  <c r="L306" i="65"/>
  <c r="S305" i="65"/>
  <c r="K306" i="65"/>
  <c r="L308" i="65"/>
  <c r="S307" i="65"/>
  <c r="K308" i="65"/>
  <c r="M223" i="65"/>
  <c r="M226" i="65"/>
  <c r="M220" i="65"/>
  <c r="M219" i="65"/>
  <c r="M225" i="65"/>
  <c r="M248" i="65"/>
  <c r="M222" i="65"/>
  <c r="M224" i="65"/>
  <c r="M218" i="65"/>
  <c r="M227" i="65"/>
  <c r="E276" i="66"/>
  <c r="F276" i="66"/>
  <c r="E281" i="66"/>
  <c r="F281" i="66"/>
  <c r="E277" i="66"/>
  <c r="F277" i="66"/>
  <c r="E278" i="66"/>
  <c r="F278" i="66"/>
  <c r="E279" i="66"/>
  <c r="F279" i="66"/>
  <c r="E280" i="66"/>
  <c r="F280" i="66"/>
  <c r="E282" i="66"/>
  <c r="F282" i="66"/>
  <c r="T309" i="65"/>
  <c r="T219" i="66"/>
  <c r="T221" i="66"/>
  <c r="T224" i="66"/>
  <c r="T220" i="66"/>
  <c r="T226" i="66"/>
  <c r="T227" i="66"/>
  <c r="T253" i="66"/>
  <c r="K252" i="66"/>
  <c r="T218" i="66"/>
  <c r="T222" i="66"/>
  <c r="T223" i="66"/>
  <c r="T225" i="66"/>
  <c r="T307" i="65"/>
  <c r="M252" i="65"/>
  <c r="O252" i="65"/>
  <c r="M249" i="65"/>
  <c r="O249" i="65"/>
  <c r="T249" i="65"/>
  <c r="S251" i="65"/>
  <c r="T251" i="65"/>
  <c r="T308" i="65"/>
  <c r="T305" i="65"/>
  <c r="T253" i="65"/>
  <c r="T250" i="65"/>
  <c r="K277" i="65"/>
  <c r="L276" i="65"/>
  <c r="S275" i="65"/>
  <c r="T275" i="65"/>
  <c r="O227" i="65"/>
  <c r="O226" i="65"/>
  <c r="K280" i="65"/>
  <c r="T247" i="65"/>
  <c r="L278" i="65"/>
  <c r="S277" i="65"/>
  <c r="O248" i="65"/>
  <c r="O222" i="65"/>
  <c r="T306" i="65"/>
  <c r="O221" i="65"/>
  <c r="O224" i="65"/>
  <c r="M253" i="65"/>
  <c r="O220" i="65"/>
  <c r="T310" i="65"/>
  <c r="T311" i="65"/>
  <c r="O219" i="65"/>
  <c r="K279" i="65"/>
  <c r="O225" i="65"/>
  <c r="O218" i="65"/>
  <c r="Q218" i="65"/>
  <c r="R218" i="65"/>
  <c r="O223" i="65"/>
  <c r="L282" i="65"/>
  <c r="S281" i="65"/>
  <c r="K282" i="65"/>
  <c r="L281" i="65"/>
  <c r="S280" i="65"/>
  <c r="K281" i="65"/>
  <c r="L279" i="65"/>
  <c r="S278" i="65"/>
  <c r="M247" i="65"/>
  <c r="G49" i="66"/>
  <c r="F49" i="66"/>
  <c r="C22" i="66"/>
  <c r="L252" i="66"/>
  <c r="M251" i="65"/>
  <c r="M250" i="65"/>
  <c r="M253" i="66"/>
  <c r="K278" i="65"/>
  <c r="K276" i="65"/>
  <c r="H42" i="65"/>
  <c r="H46" i="65"/>
  <c r="H37" i="65"/>
  <c r="H48" i="65"/>
  <c r="H39" i="65"/>
  <c r="H43" i="65"/>
  <c r="H35" i="65"/>
  <c r="H47" i="65"/>
  <c r="H38" i="65"/>
  <c r="H30" i="65"/>
  <c r="H41" i="65"/>
  <c r="H40" i="65"/>
  <c r="H36" i="65"/>
  <c r="H31" i="65"/>
  <c r="H33" i="65"/>
  <c r="H32" i="65"/>
  <c r="H34" i="65"/>
  <c r="H44" i="65"/>
  <c r="H45" i="65"/>
  <c r="L280" i="65"/>
  <c r="S279" i="65"/>
  <c r="L277" i="65"/>
  <c r="S276" i="65"/>
  <c r="M220" i="66"/>
  <c r="M306" i="65"/>
  <c r="M307" i="65"/>
  <c r="L311" i="66"/>
  <c r="S310" i="66"/>
  <c r="K311" i="66"/>
  <c r="L307" i="66"/>
  <c r="S306" i="66"/>
  <c r="K307" i="66"/>
  <c r="M221" i="66"/>
  <c r="L308" i="66"/>
  <c r="S307" i="66"/>
  <c r="K308" i="66"/>
  <c r="L305" i="66"/>
  <c r="S304" i="66"/>
  <c r="T304" i="66"/>
  <c r="K305" i="66"/>
  <c r="L309" i="66"/>
  <c r="S308" i="66"/>
  <c r="K309" i="66"/>
  <c r="L306" i="66"/>
  <c r="S305" i="66"/>
  <c r="K306" i="66"/>
  <c r="L310" i="66"/>
  <c r="S309" i="66"/>
  <c r="K310" i="66"/>
  <c r="M223" i="66"/>
  <c r="M224" i="66"/>
  <c r="M222" i="66"/>
  <c r="M219" i="66"/>
  <c r="M227" i="66"/>
  <c r="M218" i="66"/>
  <c r="M225" i="66"/>
  <c r="M226" i="66"/>
  <c r="M310" i="65"/>
  <c r="M311" i="65"/>
  <c r="M309" i="65"/>
  <c r="M305" i="65"/>
  <c r="M308" i="65"/>
  <c r="M252" i="66"/>
  <c r="O252" i="66"/>
  <c r="T307" i="66"/>
  <c r="T310" i="66"/>
  <c r="T311" i="66"/>
  <c r="O226" i="66"/>
  <c r="K251" i="66"/>
  <c r="O223" i="66"/>
  <c r="O221" i="66"/>
  <c r="K247" i="66"/>
  <c r="O224" i="66"/>
  <c r="O220" i="66"/>
  <c r="O222" i="66"/>
  <c r="O219" i="66"/>
  <c r="O227" i="66"/>
  <c r="O253" i="66"/>
  <c r="O218" i="66"/>
  <c r="Q218" i="66"/>
  <c r="R218" i="66"/>
  <c r="O225" i="66"/>
  <c r="K248" i="66"/>
  <c r="T308" i="66"/>
  <c r="T305" i="66"/>
  <c r="T309" i="66"/>
  <c r="S251" i="66"/>
  <c r="T306" i="66"/>
  <c r="M278" i="65"/>
  <c r="O278" i="65"/>
  <c r="T278" i="65"/>
  <c r="T252" i="65"/>
  <c r="M276" i="65"/>
  <c r="Q276" i="65"/>
  <c r="T279" i="65"/>
  <c r="P218" i="65"/>
  <c r="Q219" i="65"/>
  <c r="T276" i="65"/>
  <c r="T277" i="65"/>
  <c r="T281" i="65"/>
  <c r="T282" i="65"/>
  <c r="O310" i="65"/>
  <c r="O308" i="65"/>
  <c r="O311" i="65"/>
  <c r="O309" i="65"/>
  <c r="O306" i="65"/>
  <c r="O251" i="65"/>
  <c r="T280" i="65"/>
  <c r="O247" i="65"/>
  <c r="Q247" i="65"/>
  <c r="R247" i="65"/>
  <c r="O305" i="65"/>
  <c r="Q305" i="65"/>
  <c r="R305" i="65"/>
  <c r="O307" i="65"/>
  <c r="O250" i="65"/>
  <c r="O253" i="65"/>
  <c r="L281" i="66"/>
  <c r="S280" i="66"/>
  <c r="K281" i="66"/>
  <c r="L282" i="66"/>
  <c r="S281" i="66"/>
  <c r="K282" i="66"/>
  <c r="X283" i="65"/>
  <c r="M279" i="65"/>
  <c r="M282" i="65"/>
  <c r="M281" i="65"/>
  <c r="C21" i="66"/>
  <c r="H34" i="66"/>
  <c r="H39" i="66"/>
  <c r="H44" i="66"/>
  <c r="H41" i="66"/>
  <c r="H46" i="66"/>
  <c r="H45" i="66"/>
  <c r="H42" i="66"/>
  <c r="H48" i="66"/>
  <c r="H30" i="66"/>
  <c r="H36" i="66"/>
  <c r="H37" i="66"/>
  <c r="H33" i="66"/>
  <c r="H43" i="66"/>
  <c r="H32" i="66"/>
  <c r="H35" i="66"/>
  <c r="H38" i="66"/>
  <c r="H40" i="66"/>
  <c r="H31" i="66"/>
  <c r="H47" i="66"/>
  <c r="H49" i="65"/>
  <c r="M280" i="65"/>
  <c r="M277" i="65"/>
  <c r="C21" i="65"/>
  <c r="L249" i="66"/>
  <c r="S248" i="66"/>
  <c r="K249" i="66"/>
  <c r="L251" i="66"/>
  <c r="S250" i="66"/>
  <c r="L248" i="66"/>
  <c r="S247" i="66"/>
  <c r="K250" i="66"/>
  <c r="L250" i="66"/>
  <c r="S249" i="66"/>
  <c r="L247" i="66"/>
  <c r="S246" i="66"/>
  <c r="T246" i="66"/>
  <c r="M306" i="66"/>
  <c r="L280" i="66"/>
  <c r="S279" i="66"/>
  <c r="K280" i="66"/>
  <c r="L278" i="66"/>
  <c r="S277" i="66"/>
  <c r="K278" i="66"/>
  <c r="M307" i="66"/>
  <c r="L276" i="66"/>
  <c r="S275" i="66"/>
  <c r="T275" i="66"/>
  <c r="K276" i="66"/>
  <c r="M308" i="66"/>
  <c r="M311" i="66"/>
  <c r="L279" i="66"/>
  <c r="S278" i="66"/>
  <c r="K279" i="66"/>
  <c r="M305" i="66"/>
  <c r="M309" i="66"/>
  <c r="L277" i="66"/>
  <c r="S276" i="66"/>
  <c r="K277" i="66"/>
  <c r="M310" i="66"/>
  <c r="X217" i="65"/>
  <c r="X246" i="65"/>
  <c r="T279" i="66"/>
  <c r="T248" i="66"/>
  <c r="T278" i="66"/>
  <c r="T249" i="66"/>
  <c r="P218" i="66"/>
  <c r="Q219" i="66"/>
  <c r="R219" i="66"/>
  <c r="T276" i="66"/>
  <c r="T247" i="66"/>
  <c r="T281" i="66"/>
  <c r="T282" i="66"/>
  <c r="T280" i="66"/>
  <c r="T277" i="66"/>
  <c r="T250" i="66"/>
  <c r="O311" i="66"/>
  <c r="Q305" i="66"/>
  <c r="R305" i="66"/>
  <c r="O305" i="66"/>
  <c r="O309" i="66"/>
  <c r="O307" i="66"/>
  <c r="T251" i="66"/>
  <c r="T252" i="66"/>
  <c r="O310" i="66"/>
  <c r="O308" i="66"/>
  <c r="O306" i="66"/>
  <c r="P219" i="65"/>
  <c r="Q220" i="65"/>
  <c r="R220" i="65"/>
  <c r="R219" i="65"/>
  <c r="P305" i="65"/>
  <c r="Q306" i="65"/>
  <c r="R306" i="65"/>
  <c r="O276" i="65"/>
  <c r="P276" i="65"/>
  <c r="Q277" i="65"/>
  <c r="O277" i="65"/>
  <c r="O280" i="65"/>
  <c r="O279" i="65"/>
  <c r="O282" i="65"/>
  <c r="O281" i="65"/>
  <c r="P247" i="65"/>
  <c r="R276" i="65"/>
  <c r="M282" i="66"/>
  <c r="X283" i="66"/>
  <c r="M281" i="66"/>
  <c r="H49" i="66"/>
  <c r="M250" i="66"/>
  <c r="M247" i="66"/>
  <c r="M248" i="66"/>
  <c r="M251" i="66"/>
  <c r="M249" i="66"/>
  <c r="M276" i="66"/>
  <c r="M279" i="66"/>
  <c r="X246" i="66"/>
  <c r="X217" i="66"/>
  <c r="M277" i="66"/>
  <c r="M278" i="66"/>
  <c r="M280" i="66"/>
  <c r="X218" i="65"/>
  <c r="X305" i="65"/>
  <c r="X304" i="65"/>
  <c r="X275" i="65"/>
  <c r="X228" i="65"/>
  <c r="X247" i="65"/>
  <c r="F133" i="2"/>
  <c r="F135" i="2"/>
  <c r="P219" i="66"/>
  <c r="Q220" i="66"/>
  <c r="P305" i="66"/>
  <c r="Q306" i="66"/>
  <c r="R306" i="66"/>
  <c r="O250" i="66"/>
  <c r="O277" i="66"/>
  <c r="Q247" i="66"/>
  <c r="O247" i="66"/>
  <c r="O278" i="66"/>
  <c r="O248" i="66"/>
  <c r="O280" i="66"/>
  <c r="O251" i="66"/>
  <c r="O249" i="66"/>
  <c r="O282" i="66"/>
  <c r="O276" i="66"/>
  <c r="Q276" i="66"/>
  <c r="O279" i="66"/>
  <c r="O281" i="66"/>
  <c r="P277" i="65"/>
  <c r="Q278" i="65"/>
  <c r="R278" i="65"/>
  <c r="P220" i="65"/>
  <c r="Q221" i="65"/>
  <c r="R221" i="65"/>
  <c r="R277" i="65"/>
  <c r="P306" i="65"/>
  <c r="Q248" i="65"/>
  <c r="R248" i="65"/>
  <c r="X248" i="65"/>
  <c r="X219" i="65"/>
  <c r="X304" i="66"/>
  <c r="X228" i="66"/>
  <c r="X218" i="66"/>
  <c r="X312" i="65"/>
  <c r="X276" i="65"/>
  <c r="P247" i="66"/>
  <c r="Q248" i="66"/>
  <c r="R248" i="66"/>
  <c r="R220" i="66"/>
  <c r="P220" i="66"/>
  <c r="Q221" i="66"/>
  <c r="R221" i="66"/>
  <c r="P306" i="66"/>
  <c r="Q307" i="66"/>
  <c r="R307" i="66"/>
  <c r="P276" i="66"/>
  <c r="R276" i="66"/>
  <c r="R247" i="66"/>
  <c r="X247" i="66"/>
  <c r="P248" i="65"/>
  <c r="Q249" i="65"/>
  <c r="R249" i="65"/>
  <c r="X249" i="65"/>
  <c r="P278" i="65"/>
  <c r="Q279" i="65"/>
  <c r="R279" i="65"/>
  <c r="Q307" i="65"/>
  <c r="R307" i="65"/>
  <c r="P221" i="65"/>
  <c r="X277" i="65"/>
  <c r="X220" i="65"/>
  <c r="X306" i="65"/>
  <c r="X219" i="66"/>
  <c r="X305" i="66"/>
  <c r="X312" i="66"/>
  <c r="X275" i="66"/>
  <c r="P248" i="66"/>
  <c r="Q249" i="66"/>
  <c r="R249" i="66"/>
  <c r="P221" i="66"/>
  <c r="Q222" i="66"/>
  <c r="R222" i="66"/>
  <c r="P307" i="66"/>
  <c r="Q308" i="66"/>
  <c r="R308" i="66"/>
  <c r="Q277" i="66"/>
  <c r="R277" i="66"/>
  <c r="P279" i="65"/>
  <c r="Q280" i="65"/>
  <c r="R280" i="65"/>
  <c r="P307" i="65"/>
  <c r="Q308" i="65"/>
  <c r="R308" i="65"/>
  <c r="P249" i="65"/>
  <c r="Q250" i="65"/>
  <c r="R250" i="65"/>
  <c r="Q222" i="65"/>
  <c r="R222" i="65"/>
  <c r="X248" i="66"/>
  <c r="X220" i="66"/>
  <c r="X307" i="65"/>
  <c r="X276" i="66"/>
  <c r="X306" i="66"/>
  <c r="P277" i="66"/>
  <c r="Q278" i="66"/>
  <c r="R278" i="66"/>
  <c r="P222" i="66"/>
  <c r="Q223" i="66"/>
  <c r="R223" i="66"/>
  <c r="P308" i="66"/>
  <c r="Q309" i="66"/>
  <c r="R309" i="66"/>
  <c r="P249" i="66"/>
  <c r="P308" i="65"/>
  <c r="Q309" i="65"/>
  <c r="R309" i="65"/>
  <c r="P222" i="65"/>
  <c r="Q223" i="65"/>
  <c r="R223" i="65"/>
  <c r="P250" i="65"/>
  <c r="Q251" i="65"/>
  <c r="R251" i="65"/>
  <c r="P280" i="65"/>
  <c r="Q281" i="65"/>
  <c r="R281" i="65"/>
  <c r="X277" i="66"/>
  <c r="X249" i="66"/>
  <c r="X307" i="66"/>
  <c r="X221" i="65"/>
  <c r="X250" i="65"/>
  <c r="X278" i="65"/>
  <c r="P278" i="66"/>
  <c r="Q279" i="66"/>
  <c r="R279" i="66"/>
  <c r="Q250" i="66"/>
  <c r="R250" i="66"/>
  <c r="X250" i="66"/>
  <c r="P223" i="66"/>
  <c r="Q224" i="66"/>
  <c r="R224" i="66"/>
  <c r="P309" i="66"/>
  <c r="Q310" i="66"/>
  <c r="R310" i="66"/>
  <c r="P223" i="65"/>
  <c r="Q224" i="65"/>
  <c r="R224" i="65"/>
  <c r="P251" i="65"/>
  <c r="Q252" i="65"/>
  <c r="R252" i="65"/>
  <c r="P309" i="65"/>
  <c r="Q310" i="65"/>
  <c r="R310" i="65"/>
  <c r="P281" i="65"/>
  <c r="X221" i="66"/>
  <c r="X308" i="65"/>
  <c r="P250" i="66"/>
  <c r="Q251" i="66"/>
  <c r="R251" i="66"/>
  <c r="X251" i="66"/>
  <c r="P279" i="66"/>
  <c r="Q280" i="66"/>
  <c r="R280" i="66"/>
  <c r="P224" i="66"/>
  <c r="Q225" i="66"/>
  <c r="R225" i="66"/>
  <c r="P310" i="66"/>
  <c r="Q311" i="66"/>
  <c r="R311" i="66"/>
  <c r="P310" i="65"/>
  <c r="Q282" i="65"/>
  <c r="R282" i="65"/>
  <c r="P252" i="65"/>
  <c r="P224" i="65"/>
  <c r="X278" i="66"/>
  <c r="X308" i="66"/>
  <c r="X222" i="66"/>
  <c r="X309" i="65"/>
  <c r="X251" i="65"/>
  <c r="X222" i="65"/>
  <c r="X279" i="65"/>
  <c r="P280" i="66"/>
  <c r="Q281" i="66"/>
  <c r="R281" i="66"/>
  <c r="P251" i="66"/>
  <c r="P225" i="66"/>
  <c r="Q226" i="66"/>
  <c r="R226" i="66"/>
  <c r="P311" i="66"/>
  <c r="P312" i="66"/>
  <c r="Q313" i="66"/>
  <c r="P282" i="65"/>
  <c r="P283" i="65"/>
  <c r="Q284" i="65"/>
  <c r="P284" i="65"/>
  <c r="Q285" i="65"/>
  <c r="P285" i="65"/>
  <c r="Q286" i="65"/>
  <c r="P286" i="65"/>
  <c r="Q287" i="65"/>
  <c r="P287" i="65"/>
  <c r="Q288" i="65"/>
  <c r="P288" i="65"/>
  <c r="Q289" i="65"/>
  <c r="P289" i="65"/>
  <c r="Q290" i="65"/>
  <c r="P290" i="65"/>
  <c r="Q311" i="65"/>
  <c r="R311" i="65"/>
  <c r="Q253" i="65"/>
  <c r="R253" i="65"/>
  <c r="Q225" i="65"/>
  <c r="R225" i="65"/>
  <c r="X310" i="65"/>
  <c r="Q252" i="66"/>
  <c r="R252" i="66"/>
  <c r="X252" i="66"/>
  <c r="P281" i="66"/>
  <c r="Q282" i="66"/>
  <c r="R282" i="66"/>
  <c r="P226" i="66"/>
  <c r="Q227" i="66"/>
  <c r="R227" i="66"/>
  <c r="P313" i="66"/>
  <c r="Q314" i="66"/>
  <c r="P314" i="66"/>
  <c r="Q315" i="66"/>
  <c r="P315" i="66"/>
  <c r="Q316" i="66"/>
  <c r="P311" i="65"/>
  <c r="P312" i="65"/>
  <c r="Q313" i="65"/>
  <c r="P313" i="65"/>
  <c r="Q314" i="65"/>
  <c r="P314" i="65"/>
  <c r="Q315" i="65"/>
  <c r="P315" i="65"/>
  <c r="Q291" i="65"/>
  <c r="P291" i="65"/>
  <c r="Q292" i="65"/>
  <c r="P225" i="65"/>
  <c r="Q226" i="65"/>
  <c r="R226" i="65"/>
  <c r="P253" i="65"/>
  <c r="P254" i="65"/>
  <c r="X223" i="66"/>
  <c r="X309" i="66"/>
  <c r="X279" i="66"/>
  <c r="X252" i="65"/>
  <c r="X280" i="65"/>
  <c r="X223" i="65"/>
  <c r="X311" i="65"/>
  <c r="X326" i="65"/>
  <c r="P252" i="66"/>
  <c r="Q253" i="66"/>
  <c r="R253" i="66"/>
  <c r="X253" i="66"/>
  <c r="P282" i="66"/>
  <c r="P283" i="66"/>
  <c r="Q284" i="66"/>
  <c r="P227" i="66"/>
  <c r="P228" i="66"/>
  <c r="Q229" i="66"/>
  <c r="P229" i="66"/>
  <c r="Q230" i="66"/>
  <c r="P230" i="66"/>
  <c r="Q231" i="66"/>
  <c r="P231" i="66"/>
  <c r="Q232" i="66"/>
  <c r="P316" i="66"/>
  <c r="Q317" i="66"/>
  <c r="P292" i="65"/>
  <c r="Q293" i="65"/>
  <c r="P293" i="65"/>
  <c r="Q294" i="65"/>
  <c r="P294" i="65"/>
  <c r="Q255" i="65"/>
  <c r="P255" i="65"/>
  <c r="Q316" i="65"/>
  <c r="P316" i="65"/>
  <c r="Q317" i="65"/>
  <c r="P317" i="65"/>
  <c r="P226" i="65"/>
  <c r="X325" i="65"/>
  <c r="C23" i="65"/>
  <c r="C24" i="65"/>
  <c r="X253" i="65"/>
  <c r="P253" i="66"/>
  <c r="P254" i="66"/>
  <c r="Q255" i="66"/>
  <c r="P255" i="66"/>
  <c r="Q256" i="66"/>
  <c r="P256" i="66"/>
  <c r="Q257" i="66"/>
  <c r="P257" i="66"/>
  <c r="Q258" i="66"/>
  <c r="P258" i="66"/>
  <c r="Q259" i="66"/>
  <c r="P259" i="66"/>
  <c r="Q260" i="66"/>
  <c r="P260" i="66"/>
  <c r="Q261" i="66"/>
  <c r="P261" i="66"/>
  <c r="P284" i="66"/>
  <c r="Q285" i="66"/>
  <c r="P285" i="66"/>
  <c r="Q286" i="66"/>
  <c r="P232" i="66"/>
  <c r="Q233" i="66"/>
  <c r="P317" i="66"/>
  <c r="Q318" i="66"/>
  <c r="Q256" i="65"/>
  <c r="P256" i="65"/>
  <c r="Q257" i="65"/>
  <c r="P257" i="65"/>
  <c r="Q258" i="65"/>
  <c r="P258" i="65"/>
  <c r="Q295" i="65"/>
  <c r="P295" i="65"/>
  <c r="Q318" i="65"/>
  <c r="P318" i="65"/>
  <c r="Q227" i="65"/>
  <c r="R227" i="65"/>
  <c r="X281" i="65"/>
  <c r="X224" i="66"/>
  <c r="X280" i="66"/>
  <c r="X310" i="66"/>
  <c r="X224" i="65"/>
  <c r="X254" i="66"/>
  <c r="X267" i="66"/>
  <c r="X254" i="65"/>
  <c r="X267" i="65"/>
  <c r="P286" i="66"/>
  <c r="Q287" i="66"/>
  <c r="P287" i="66"/>
  <c r="P233" i="66"/>
  <c r="Q234" i="66"/>
  <c r="P234" i="66"/>
  <c r="Q235" i="66"/>
  <c r="P318" i="66"/>
  <c r="Q319" i="66"/>
  <c r="Q262" i="66"/>
  <c r="P262" i="66"/>
  <c r="Q259" i="65"/>
  <c r="P259" i="65"/>
  <c r="Q260" i="65"/>
  <c r="P260" i="65"/>
  <c r="Q261" i="65"/>
  <c r="P261" i="65"/>
  <c r="Q262" i="65"/>
  <c r="P262" i="65"/>
  <c r="Q319" i="65"/>
  <c r="P319" i="65"/>
  <c r="P227" i="65"/>
  <c r="P228" i="65"/>
  <c r="Q229" i="65"/>
  <c r="P229" i="65"/>
  <c r="X282" i="65"/>
  <c r="X281" i="66"/>
  <c r="X268" i="65"/>
  <c r="X268" i="66"/>
  <c r="Q288" i="66"/>
  <c r="P288" i="66"/>
  <c r="Q289" i="66"/>
  <c r="P289" i="66"/>
  <c r="P235" i="66"/>
  <c r="Q236" i="66"/>
  <c r="P236" i="66"/>
  <c r="Q237" i="66"/>
  <c r="P237" i="66"/>
  <c r="P319" i="66"/>
  <c r="Q320" i="66"/>
  <c r="P320" i="66"/>
  <c r="Q321" i="66"/>
  <c r="Q263" i="66"/>
  <c r="P263" i="66"/>
  <c r="Q264" i="66"/>
  <c r="P264" i="66"/>
  <c r="Q320" i="65"/>
  <c r="P320" i="65"/>
  <c r="Q321" i="65"/>
  <c r="P321" i="65"/>
  <c r="Q322" i="65"/>
  <c r="P322" i="65"/>
  <c r="Q323" i="65"/>
  <c r="P323" i="65"/>
  <c r="Q263" i="65"/>
  <c r="P263" i="65"/>
  <c r="Q230" i="65"/>
  <c r="P230" i="65"/>
  <c r="X296" i="65"/>
  <c r="X297" i="65"/>
  <c r="X225" i="66"/>
  <c r="X311" i="66"/>
  <c r="X325" i="66"/>
  <c r="X225" i="65"/>
  <c r="Q290" i="66"/>
  <c r="P290" i="66"/>
  <c r="Q291" i="66"/>
  <c r="P321" i="66"/>
  <c r="Q322" i="66"/>
  <c r="P322" i="66"/>
  <c r="Q323" i="66"/>
  <c r="Q265" i="66"/>
  <c r="P265" i="66"/>
  <c r="Q264" i="65"/>
  <c r="P264" i="65"/>
  <c r="Q265" i="65"/>
  <c r="P265" i="65"/>
  <c r="Q324" i="65"/>
  <c r="P324" i="65"/>
  <c r="Q231" i="65"/>
  <c r="P231" i="65"/>
  <c r="X282" i="66"/>
  <c r="X326" i="66"/>
  <c r="C23" i="66"/>
  <c r="C24" i="66"/>
  <c r="P291" i="66"/>
  <c r="Q292" i="66"/>
  <c r="P292" i="66"/>
  <c r="Q293" i="66"/>
  <c r="P323" i="66"/>
  <c r="Q324" i="66"/>
  <c r="Q266" i="66"/>
  <c r="P266" i="66"/>
  <c r="Q266" i="65"/>
  <c r="P266" i="65"/>
  <c r="Q232" i="65"/>
  <c r="P232" i="65"/>
  <c r="Q233" i="65"/>
  <c r="P233" i="65"/>
  <c r="Q234" i="65"/>
  <c r="P234" i="65"/>
  <c r="Q235" i="65"/>
  <c r="P235" i="65"/>
  <c r="Q236" i="65"/>
  <c r="P236" i="65"/>
  <c r="Q237" i="65"/>
  <c r="P237" i="65"/>
  <c r="X297" i="66"/>
  <c r="X296" i="66"/>
  <c r="X226" i="66"/>
  <c r="X226" i="65"/>
  <c r="P293" i="66"/>
  <c r="Q294" i="66"/>
  <c r="P324" i="66"/>
  <c r="X227" i="66"/>
  <c r="X227" i="65"/>
  <c r="P294" i="66"/>
  <c r="Q295" i="66"/>
  <c r="P295" i="66"/>
  <c r="X239" i="66"/>
  <c r="C209" i="66"/>
  <c r="X238" i="66"/>
  <c r="X238" i="65"/>
  <c r="X239" i="65"/>
  <c r="C209" i="65"/>
  <c r="C301" i="52"/>
  <c r="C300" i="52"/>
  <c r="C272" i="52"/>
  <c r="C271" i="52"/>
  <c r="C243" i="52"/>
  <c r="C242" i="52"/>
  <c r="C214" i="52"/>
  <c r="C213" i="52"/>
  <c r="C300" i="64"/>
  <c r="C271" i="64"/>
  <c r="C242" i="64"/>
  <c r="C213" i="64"/>
  <c r="V253" i="52"/>
  <c r="W246" i="52"/>
  <c r="V227" i="52"/>
  <c r="N227" i="52"/>
  <c r="W217" i="52"/>
  <c r="U275" i="52"/>
  <c r="U246" i="52"/>
  <c r="U217" i="52"/>
  <c r="W275" i="52"/>
  <c r="V282" i="52"/>
  <c r="V311" i="52"/>
  <c r="W304" i="52"/>
  <c r="U304" i="52"/>
  <c r="K304" i="64"/>
  <c r="M304" i="64"/>
  <c r="R304" i="64"/>
  <c r="K217" i="64"/>
  <c r="M217" i="64"/>
  <c r="R217" i="64"/>
  <c r="K275" i="64"/>
  <c r="M275" i="64"/>
  <c r="R275" i="64"/>
  <c r="K246" i="64"/>
  <c r="M246" i="64"/>
  <c r="R246" i="64"/>
  <c r="K304" i="52"/>
  <c r="M304" i="52"/>
  <c r="R304" i="52"/>
  <c r="K217" i="52"/>
  <c r="M217" i="52"/>
  <c r="R217" i="52"/>
  <c r="K275" i="52"/>
  <c r="M275" i="52"/>
  <c r="R275" i="52"/>
  <c r="K246" i="52"/>
  <c r="M246" i="52"/>
  <c r="R246" i="52"/>
  <c r="C137" i="52"/>
  <c r="D103" i="64"/>
  <c r="C103" i="64"/>
  <c r="C101" i="50"/>
  <c r="E101" i="50"/>
  <c r="C100" i="50"/>
  <c r="E100" i="50"/>
  <c r="C103" i="50"/>
  <c r="E103" i="50"/>
  <c r="C102" i="50"/>
  <c r="E102" i="50"/>
  <c r="C301" i="64"/>
  <c r="U304" i="64"/>
  <c r="C272" i="64"/>
  <c r="U275" i="64"/>
  <c r="C243" i="64"/>
  <c r="U246" i="64"/>
  <c r="C214" i="64"/>
  <c r="U217" i="64"/>
  <c r="C301" i="50"/>
  <c r="C272" i="50"/>
  <c r="C243" i="50"/>
  <c r="C300" i="50"/>
  <c r="C271" i="50"/>
  <c r="C242" i="50"/>
  <c r="C213" i="50"/>
  <c r="U217" i="50"/>
  <c r="F367" i="50"/>
  <c r="E367" i="50"/>
  <c r="C151" i="52"/>
  <c r="C151" i="64"/>
  <c r="B352" i="50"/>
  <c r="B351" i="50"/>
  <c r="B343" i="50"/>
  <c r="B344" i="50"/>
  <c r="B345" i="50"/>
  <c r="B346" i="50"/>
  <c r="B347" i="50"/>
  <c r="B348" i="50"/>
  <c r="B349" i="50"/>
  <c r="B350" i="50"/>
  <c r="C142" i="52"/>
  <c r="E142" i="52"/>
  <c r="W275" i="64"/>
  <c r="V282" i="64"/>
  <c r="V253" i="64"/>
  <c r="W246" i="64"/>
  <c r="W217" i="64"/>
  <c r="V227" i="64"/>
  <c r="V311" i="64"/>
  <c r="W304" i="64"/>
  <c r="V282" i="50"/>
  <c r="W275" i="50"/>
  <c r="W246" i="50"/>
  <c r="V253" i="50"/>
  <c r="V311" i="50"/>
  <c r="W304" i="50"/>
  <c r="C210" i="64"/>
  <c r="U304" i="50"/>
  <c r="U246" i="50"/>
  <c r="U275" i="50"/>
  <c r="E103" i="64"/>
  <c r="F103" i="64"/>
  <c r="F102" i="52"/>
  <c r="C210" i="52"/>
  <c r="F103" i="52"/>
  <c r="F101" i="52"/>
  <c r="F100" i="52"/>
  <c r="F102" i="64"/>
  <c r="F101" i="64"/>
  <c r="F356" i="50"/>
  <c r="E356" i="50"/>
  <c r="C70" i="64"/>
  <c r="C71" i="64"/>
  <c r="C72" i="64"/>
  <c r="C73" i="64"/>
  <c r="C74" i="64"/>
  <c r="C198" i="64"/>
  <c r="D363" i="64"/>
  <c r="D374" i="64"/>
  <c r="G363" i="64"/>
  <c r="G374" i="64"/>
  <c r="C210" i="50"/>
  <c r="F100" i="50"/>
  <c r="F102" i="50"/>
  <c r="F101" i="50"/>
  <c r="F103" i="50"/>
  <c r="C70" i="52"/>
  <c r="C72" i="52"/>
  <c r="C73" i="52"/>
  <c r="K34" i="50"/>
  <c r="J34" i="50"/>
  <c r="C117" i="52"/>
  <c r="C121" i="64"/>
  <c r="C117" i="64"/>
  <c r="C117" i="50"/>
  <c r="C118" i="50"/>
  <c r="B66" i="2"/>
  <c r="B109" i="2"/>
  <c r="B45" i="2"/>
  <c r="C74" i="52"/>
  <c r="C118" i="52"/>
  <c r="C118" i="64"/>
  <c r="C122" i="64"/>
  <c r="C124" i="64"/>
  <c r="C37" i="64"/>
  <c r="C125" i="64"/>
  <c r="E104" i="52"/>
  <c r="D104" i="52"/>
  <c r="C104" i="52"/>
  <c r="E104" i="64"/>
  <c r="D104" i="64"/>
  <c r="C104" i="64"/>
  <c r="D104" i="50"/>
  <c r="E104" i="50"/>
  <c r="C104" i="50"/>
  <c r="C26" i="2"/>
  <c r="D26" i="2"/>
  <c r="E26" i="2"/>
  <c r="C24" i="2"/>
  <c r="D24" i="2"/>
  <c r="E24" i="2"/>
  <c r="C25" i="2"/>
  <c r="D25" i="2"/>
  <c r="E25" i="2"/>
  <c r="D92" i="52"/>
  <c r="D93" i="52"/>
  <c r="D94" i="52"/>
  <c r="D95" i="52"/>
  <c r="D96" i="52"/>
  <c r="G102" i="52"/>
  <c r="J33" i="52"/>
  <c r="G103" i="52"/>
  <c r="K33" i="52"/>
  <c r="G101" i="52"/>
  <c r="G100" i="52"/>
  <c r="C198" i="52"/>
  <c r="G100" i="64"/>
  <c r="G101" i="64"/>
  <c r="G102" i="64"/>
  <c r="J33" i="64"/>
  <c r="G103" i="64"/>
  <c r="K33" i="64"/>
  <c r="F104" i="50"/>
  <c r="F104" i="64"/>
  <c r="F104" i="52"/>
  <c r="C121" i="52"/>
  <c r="G363" i="52"/>
  <c r="G374" i="52"/>
  <c r="D363" i="52"/>
  <c r="D374" i="52"/>
  <c r="D277" i="52"/>
  <c r="D226" i="52"/>
  <c r="D227" i="52"/>
  <c r="D283" i="52"/>
  <c r="F261" i="52"/>
  <c r="L261" i="52"/>
  <c r="D291" i="52"/>
  <c r="D225" i="52"/>
  <c r="F312" i="52"/>
  <c r="L312" i="52"/>
  <c r="F262" i="52"/>
  <c r="L262" i="52"/>
  <c r="D292" i="52"/>
  <c r="D276" i="52"/>
  <c r="D293" i="52"/>
  <c r="F254" i="52"/>
  <c r="L254" i="52"/>
  <c r="D284" i="52"/>
  <c r="D233" i="52"/>
  <c r="F317" i="52"/>
  <c r="L317" i="52"/>
  <c r="D309" i="52"/>
  <c r="F265" i="52"/>
  <c r="L265" i="52"/>
  <c r="D265" i="52"/>
  <c r="F236" i="52"/>
  <c r="L236" i="52"/>
  <c r="D310" i="52"/>
  <c r="D250" i="52"/>
  <c r="F255" i="52"/>
  <c r="L255" i="52"/>
  <c r="D251" i="52"/>
  <c r="F234" i="52"/>
  <c r="L234" i="52"/>
  <c r="D230" i="52"/>
  <c r="D316" i="52"/>
  <c r="D312" i="52"/>
  <c r="D252" i="52"/>
  <c r="F235" i="52"/>
  <c r="L235" i="52"/>
  <c r="D321" i="52"/>
  <c r="F287" i="52"/>
  <c r="L287" i="52"/>
  <c r="D262" i="52"/>
  <c r="F232" i="52"/>
  <c r="L232" i="52"/>
  <c r="F264" i="52"/>
  <c r="L264" i="52"/>
  <c r="F283" i="52"/>
  <c r="L283" i="52"/>
  <c r="D261" i="52"/>
  <c r="F233" i="52"/>
  <c r="L233" i="52"/>
  <c r="D311" i="52"/>
  <c r="D278" i="52"/>
  <c r="F263" i="52"/>
  <c r="L263" i="52"/>
  <c r="F237" i="52"/>
  <c r="L237" i="52"/>
  <c r="F259" i="52"/>
  <c r="L259" i="52"/>
  <c r="F318" i="52"/>
  <c r="L318" i="52"/>
  <c r="D280" i="52"/>
  <c r="F229" i="52"/>
  <c r="L229" i="52"/>
  <c r="D257" i="52"/>
  <c r="F228" i="52"/>
  <c r="L228" i="52"/>
  <c r="D221" i="52"/>
  <c r="F323" i="52"/>
  <c r="L323" i="52"/>
  <c r="D287" i="52"/>
  <c r="D219" i="52"/>
  <c r="F256" i="52"/>
  <c r="L256" i="52"/>
  <c r="D279" i="52"/>
  <c r="D320" i="52"/>
  <c r="D234" i="52"/>
  <c r="D282" i="52"/>
  <c r="F295" i="52"/>
  <c r="L295" i="52"/>
  <c r="D324" i="52"/>
  <c r="D249" i="52"/>
  <c r="D323" i="52"/>
  <c r="F324" i="52"/>
  <c r="L324" i="52"/>
  <c r="F322" i="52"/>
  <c r="L322" i="52"/>
  <c r="D322" i="52"/>
  <c r="D289" i="52"/>
  <c r="D313" i="52"/>
  <c r="F231" i="52"/>
  <c r="L231" i="52"/>
  <c r="D258" i="52"/>
  <c r="D254" i="52"/>
  <c r="F284" i="52"/>
  <c r="L284" i="52"/>
  <c r="S283" i="52"/>
  <c r="T283" i="52"/>
  <c r="D255" i="52"/>
  <c r="F258" i="52"/>
  <c r="L258" i="52"/>
  <c r="F289" i="52"/>
  <c r="L289" i="52"/>
  <c r="D256" i="52"/>
  <c r="F230" i="52"/>
  <c r="L230" i="52"/>
  <c r="F320" i="52"/>
  <c r="L320" i="52"/>
  <c r="F315" i="52"/>
  <c r="L315" i="52"/>
  <c r="F290" i="52"/>
  <c r="L290" i="52"/>
  <c r="D218" i="52"/>
  <c r="F319" i="52"/>
  <c r="L319" i="52"/>
  <c r="D281" i="52"/>
  <c r="D295" i="52"/>
  <c r="D236" i="52"/>
  <c r="D315" i="52"/>
  <c r="D253" i="52"/>
  <c r="F266" i="52"/>
  <c r="L266" i="52"/>
  <c r="D314" i="52"/>
  <c r="D231" i="52"/>
  <c r="D305" i="52"/>
  <c r="D318" i="52"/>
  <c r="D229" i="52"/>
  <c r="D248" i="52"/>
  <c r="F260" i="52"/>
  <c r="L260" i="52"/>
  <c r="D290" i="52"/>
  <c r="D260" i="52"/>
  <c r="D266" i="52"/>
  <c r="D228" i="52"/>
  <c r="D307" i="52"/>
  <c r="F292" i="52"/>
  <c r="L292" i="52"/>
  <c r="D317" i="52"/>
  <c r="D306" i="52"/>
  <c r="D319" i="52"/>
  <c r="D263" i="52"/>
  <c r="D223" i="52"/>
  <c r="F286" i="52"/>
  <c r="L286" i="52"/>
  <c r="F321" i="52"/>
  <c r="L321" i="52"/>
  <c r="D285" i="52"/>
  <c r="D232" i="52"/>
  <c r="F288" i="52"/>
  <c r="L288" i="52"/>
  <c r="D237" i="52"/>
  <c r="D220" i="52"/>
  <c r="D294" i="52"/>
  <c r="D259" i="52"/>
  <c r="D264" i="52"/>
  <c r="F291" i="52"/>
  <c r="L291" i="52"/>
  <c r="F316" i="52"/>
  <c r="L316" i="52"/>
  <c r="F293" i="52"/>
  <c r="L293" i="52"/>
  <c r="D235" i="52"/>
  <c r="D224" i="52"/>
  <c r="F314" i="52"/>
  <c r="L314" i="52"/>
  <c r="F313" i="52"/>
  <c r="L313" i="52"/>
  <c r="D286" i="52"/>
  <c r="D222" i="52"/>
  <c r="D247" i="52"/>
  <c r="F257" i="52"/>
  <c r="L257" i="52"/>
  <c r="F294" i="52"/>
  <c r="L294" i="52"/>
  <c r="F285" i="52"/>
  <c r="L285" i="52"/>
  <c r="D308" i="52"/>
  <c r="D288" i="52"/>
  <c r="I33" i="52"/>
  <c r="G33" i="52"/>
  <c r="C337" i="52"/>
  <c r="D358" i="52"/>
  <c r="C125" i="52"/>
  <c r="C122" i="52"/>
  <c r="C124" i="52"/>
  <c r="C37" i="52"/>
  <c r="I33" i="64"/>
  <c r="G33" i="64"/>
  <c r="C337" i="64"/>
  <c r="D358" i="64"/>
  <c r="J32" i="52"/>
  <c r="K32" i="52"/>
  <c r="H100" i="52"/>
  <c r="G83" i="52"/>
  <c r="H84" i="52"/>
  <c r="H101" i="52"/>
  <c r="H82" i="52"/>
  <c r="I100" i="52"/>
  <c r="C86" i="52"/>
  <c r="E42" i="79"/>
  <c r="F42" i="79"/>
  <c r="I102" i="52"/>
  <c r="F83" i="52"/>
  <c r="H83" i="52"/>
  <c r="H102" i="52"/>
  <c r="G84" i="52"/>
  <c r="I101" i="52"/>
  <c r="F82" i="52"/>
  <c r="F84" i="52"/>
  <c r="J31" i="52"/>
  <c r="F85" i="52"/>
  <c r="K31" i="52"/>
  <c r="I103" i="52"/>
  <c r="G82" i="52"/>
  <c r="G85" i="52"/>
  <c r="H85" i="52"/>
  <c r="H103" i="52"/>
  <c r="G101" i="50"/>
  <c r="G102" i="50"/>
  <c r="G100" i="50"/>
  <c r="G103" i="50"/>
  <c r="B85" i="2"/>
  <c r="B90" i="2"/>
  <c r="B82" i="2"/>
  <c r="B81" i="2"/>
  <c r="B83" i="2"/>
  <c r="B84" i="2"/>
  <c r="B80" i="2"/>
  <c r="B88" i="2"/>
  <c r="B87" i="2"/>
  <c r="B89" i="2"/>
  <c r="B86" i="2"/>
  <c r="B78" i="2"/>
  <c r="B74" i="2"/>
  <c r="B77" i="2"/>
  <c r="B75" i="2"/>
  <c r="B76" i="2"/>
  <c r="B72" i="2"/>
  <c r="B73" i="2"/>
  <c r="B67" i="2"/>
  <c r="B110" i="2"/>
  <c r="B70" i="2"/>
  <c r="B113" i="2"/>
  <c r="B65" i="2"/>
  <c r="B108" i="2"/>
  <c r="B68" i="2"/>
  <c r="B64" i="2"/>
  <c r="B107" i="2"/>
  <c r="B69" i="2"/>
  <c r="B63" i="2"/>
  <c r="B106" i="2"/>
  <c r="B38" i="2"/>
  <c r="B39" i="2"/>
  <c r="B40" i="2"/>
  <c r="B41" i="2"/>
  <c r="B42" i="2"/>
  <c r="B43" i="2"/>
  <c r="B44" i="2"/>
  <c r="B46" i="2"/>
  <c r="B47" i="2"/>
  <c r="B48" i="2"/>
  <c r="B49" i="2"/>
  <c r="B50" i="2"/>
  <c r="B51" i="2"/>
  <c r="B52" i="2"/>
  <c r="B53" i="2"/>
  <c r="B54" i="2"/>
  <c r="B55" i="2"/>
  <c r="B37" i="2"/>
  <c r="E20" i="2"/>
  <c r="E21" i="2"/>
  <c r="E22" i="2"/>
  <c r="E23" i="2"/>
  <c r="E28" i="2"/>
  <c r="E30" i="2"/>
  <c r="E19" i="2"/>
  <c r="D20" i="2"/>
  <c r="D21" i="2"/>
  <c r="D22" i="2"/>
  <c r="D23" i="2"/>
  <c r="D28" i="2"/>
  <c r="D30" i="2"/>
  <c r="D19" i="2"/>
  <c r="C21" i="2"/>
  <c r="C22" i="2"/>
  <c r="C28" i="2"/>
  <c r="C30" i="2"/>
  <c r="C19" i="2"/>
  <c r="C191" i="50"/>
  <c r="C192" i="64"/>
  <c r="C166" i="64"/>
  <c r="C167" i="64"/>
  <c r="C169" i="64"/>
  <c r="C35" i="64"/>
  <c r="C154" i="64"/>
  <c r="D89" i="2"/>
  <c r="D76" i="2"/>
  <c r="C57" i="64"/>
  <c r="A2" i="64"/>
  <c r="A2" i="52"/>
  <c r="A2" i="50"/>
  <c r="A2" i="2"/>
  <c r="C105" i="2"/>
  <c r="D105" i="2"/>
  <c r="H105" i="2"/>
  <c r="S264" i="52"/>
  <c r="G358" i="64"/>
  <c r="F358" i="64"/>
  <c r="E358" i="64"/>
  <c r="D369" i="64"/>
  <c r="S288" i="52"/>
  <c r="S322" i="52"/>
  <c r="S312" i="52"/>
  <c r="T312" i="52"/>
  <c r="S285" i="52"/>
  <c r="S262" i="52"/>
  <c r="S233" i="52"/>
  <c r="S320" i="52"/>
  <c r="F358" i="52"/>
  <c r="G358" i="52"/>
  <c r="E358" i="52"/>
  <c r="D369" i="52"/>
  <c r="S236" i="52"/>
  <c r="T237" i="52"/>
  <c r="S319" i="52"/>
  <c r="S256" i="52"/>
  <c r="S290" i="52"/>
  <c r="S293" i="52"/>
  <c r="S265" i="52"/>
  <c r="S259" i="52"/>
  <c r="S232" i="52"/>
  <c r="S315" i="52"/>
  <c r="S235" i="52"/>
  <c r="S313" i="52"/>
  <c r="S289" i="52"/>
  <c r="S261" i="52"/>
  <c r="S317" i="52"/>
  <c r="J228" i="52"/>
  <c r="H228" i="52"/>
  <c r="H286" i="52"/>
  <c r="J286" i="52"/>
  <c r="H264" i="52"/>
  <c r="J264" i="52"/>
  <c r="H318" i="52"/>
  <c r="J318" i="52"/>
  <c r="H295" i="52"/>
  <c r="J295" i="52"/>
  <c r="J256" i="52"/>
  <c r="H256" i="52"/>
  <c r="J313" i="52"/>
  <c r="H313" i="52"/>
  <c r="J230" i="52"/>
  <c r="H230" i="52"/>
  <c r="S229" i="52"/>
  <c r="J292" i="52"/>
  <c r="H292" i="52"/>
  <c r="J285" i="52"/>
  <c r="H285" i="52"/>
  <c r="J229" i="52"/>
  <c r="H229" i="52"/>
  <c r="S228" i="52"/>
  <c r="T228" i="52"/>
  <c r="J236" i="52"/>
  <c r="H236" i="52"/>
  <c r="J324" i="52"/>
  <c r="H324" i="52"/>
  <c r="S323" i="52"/>
  <c r="J287" i="52"/>
  <c r="H287" i="52"/>
  <c r="J316" i="52"/>
  <c r="H316" i="52"/>
  <c r="J265" i="52"/>
  <c r="H265" i="52"/>
  <c r="S294" i="52"/>
  <c r="S231" i="52"/>
  <c r="S291" i="52"/>
  <c r="S258" i="52"/>
  <c r="S263" i="52"/>
  <c r="J262" i="52"/>
  <c r="H262" i="52"/>
  <c r="J258" i="52"/>
  <c r="H258" i="52"/>
  <c r="H283" i="52"/>
  <c r="J283" i="52"/>
  <c r="H323" i="52"/>
  <c r="J323" i="52"/>
  <c r="J235" i="52"/>
  <c r="H235" i="52"/>
  <c r="J237" i="52"/>
  <c r="H237" i="52"/>
  <c r="H319" i="52"/>
  <c r="J319" i="52"/>
  <c r="H290" i="52"/>
  <c r="J290" i="52"/>
  <c r="J284" i="52"/>
  <c r="H284" i="52"/>
  <c r="J291" i="52"/>
  <c r="H291" i="52"/>
  <c r="S292" i="52"/>
  <c r="S314" i="52"/>
  <c r="S234" i="52"/>
  <c r="H259" i="52"/>
  <c r="J259" i="52"/>
  <c r="J281" i="52"/>
  <c r="H281" i="52"/>
  <c r="J317" i="52"/>
  <c r="H317" i="52"/>
  <c r="J315" i="52"/>
  <c r="H315" i="52"/>
  <c r="J312" i="52"/>
  <c r="H312" i="52"/>
  <c r="H293" i="52"/>
  <c r="J293" i="52"/>
  <c r="J261" i="52"/>
  <c r="H261" i="52"/>
  <c r="H263" i="52"/>
  <c r="J263" i="52"/>
  <c r="H260" i="52"/>
  <c r="J260" i="52"/>
  <c r="J314" i="52"/>
  <c r="H314" i="52"/>
  <c r="H255" i="52"/>
  <c r="J255" i="52"/>
  <c r="J320" i="52"/>
  <c r="H320" i="52"/>
  <c r="J257" i="52"/>
  <c r="H257" i="52"/>
  <c r="H321" i="52"/>
  <c r="J321" i="52"/>
  <c r="J233" i="52"/>
  <c r="H233" i="52"/>
  <c r="S255" i="52"/>
  <c r="S260" i="52"/>
  <c r="S284" i="52"/>
  <c r="T284" i="52"/>
  <c r="S321" i="52"/>
  <c r="S254" i="52"/>
  <c r="T254" i="52"/>
  <c r="J288" i="52"/>
  <c r="H288" i="52"/>
  <c r="H289" i="52"/>
  <c r="J289" i="52"/>
  <c r="J282" i="52"/>
  <c r="H282" i="52"/>
  <c r="J232" i="52"/>
  <c r="H232" i="52"/>
  <c r="J254" i="52"/>
  <c r="H254" i="52"/>
  <c r="J294" i="52"/>
  <c r="H294" i="52"/>
  <c r="H266" i="52"/>
  <c r="J266" i="52"/>
  <c r="H231" i="52"/>
  <c r="J231" i="52"/>
  <c r="S230" i="52"/>
  <c r="J322" i="52"/>
  <c r="H322" i="52"/>
  <c r="H234" i="52"/>
  <c r="J234" i="52"/>
  <c r="S287" i="52"/>
  <c r="T288" i="52"/>
  <c r="S318" i="52"/>
  <c r="S257" i="52"/>
  <c r="S286" i="52"/>
  <c r="S316" i="52"/>
  <c r="H310" i="52"/>
  <c r="J310" i="52"/>
  <c r="H249" i="52"/>
  <c r="J249" i="52"/>
  <c r="H225" i="52"/>
  <c r="J225" i="52"/>
  <c r="J222" i="52"/>
  <c r="H222" i="52"/>
  <c r="H247" i="52"/>
  <c r="J247" i="52"/>
  <c r="H224" i="52"/>
  <c r="J224" i="52"/>
  <c r="H248" i="52"/>
  <c r="J248" i="52"/>
  <c r="H219" i="52"/>
  <c r="J219" i="52"/>
  <c r="H305" i="52"/>
  <c r="J305" i="52"/>
  <c r="H250" i="52"/>
  <c r="J250" i="52"/>
  <c r="H311" i="52"/>
  <c r="J311" i="52"/>
  <c r="J307" i="52"/>
  <c r="H307" i="52"/>
  <c r="J309" i="52"/>
  <c r="H309" i="52"/>
  <c r="H227" i="52"/>
  <c r="J227" i="52"/>
  <c r="H306" i="52"/>
  <c r="J306" i="52"/>
  <c r="H280" i="52"/>
  <c r="J280" i="52"/>
  <c r="H276" i="52"/>
  <c r="J276" i="52"/>
  <c r="J218" i="52"/>
  <c r="H218" i="52"/>
  <c r="H277" i="52"/>
  <c r="J277" i="52"/>
  <c r="H223" i="52"/>
  <c r="J223" i="52"/>
  <c r="J252" i="52"/>
  <c r="H252" i="52"/>
  <c r="H278" i="52"/>
  <c r="J278" i="52"/>
  <c r="J226" i="52"/>
  <c r="H226" i="52"/>
  <c r="H308" i="52"/>
  <c r="J308" i="52"/>
  <c r="J279" i="52"/>
  <c r="H279" i="52"/>
  <c r="J221" i="52"/>
  <c r="H221" i="52"/>
  <c r="H251" i="52"/>
  <c r="J251" i="52"/>
  <c r="J220" i="52"/>
  <c r="H220" i="52"/>
  <c r="H253" i="52"/>
  <c r="J253" i="52"/>
  <c r="I31" i="52"/>
  <c r="G31" i="52"/>
  <c r="I32" i="52"/>
  <c r="G32" i="52"/>
  <c r="C336" i="52"/>
  <c r="D360" i="52"/>
  <c r="C86" i="50"/>
  <c r="H82" i="50"/>
  <c r="J33" i="50"/>
  <c r="K33" i="50"/>
  <c r="I33" i="50"/>
  <c r="H86" i="52"/>
  <c r="G86" i="52"/>
  <c r="F86" i="52"/>
  <c r="E29" i="2"/>
  <c r="I102" i="50"/>
  <c r="H101" i="50"/>
  <c r="I100" i="50"/>
  <c r="H100" i="50"/>
  <c r="I103" i="50"/>
  <c r="I101" i="50"/>
  <c r="H102" i="50"/>
  <c r="H103" i="50"/>
  <c r="G104" i="52"/>
  <c r="C193" i="64"/>
  <c r="G48" i="64"/>
  <c r="C352" i="64"/>
  <c r="G104" i="64"/>
  <c r="D64" i="2"/>
  <c r="D75" i="2"/>
  <c r="D87" i="2"/>
  <c r="C58" i="64"/>
  <c r="G35" i="64"/>
  <c r="C339" i="64"/>
  <c r="C155" i="64"/>
  <c r="T265" i="52"/>
  <c r="E40" i="79"/>
  <c r="F40" i="79"/>
  <c r="G369" i="64"/>
  <c r="I358" i="64"/>
  <c r="H358" i="64"/>
  <c r="E369" i="64"/>
  <c r="F369" i="64"/>
  <c r="T289" i="52"/>
  <c r="T286" i="52"/>
  <c r="T313" i="52"/>
  <c r="T320" i="52"/>
  <c r="T262" i="52"/>
  <c r="I358" i="52"/>
  <c r="H358" i="52"/>
  <c r="G369" i="52"/>
  <c r="T234" i="52"/>
  <c r="T263" i="52"/>
  <c r="F360" i="52"/>
  <c r="G360" i="52"/>
  <c r="E360" i="52"/>
  <c r="D371" i="52"/>
  <c r="E369" i="52"/>
  <c r="F369" i="52"/>
  <c r="T321" i="52"/>
  <c r="T233" i="52"/>
  <c r="G361" i="52"/>
  <c r="D361" i="52"/>
  <c r="C335" i="52"/>
  <c r="T257" i="52"/>
  <c r="K289" i="52"/>
  <c r="M289" i="52"/>
  <c r="O289" i="52"/>
  <c r="T236" i="52"/>
  <c r="T256" i="52"/>
  <c r="K263" i="52"/>
  <c r="M263" i="52"/>
  <c r="O263" i="52"/>
  <c r="T291" i="52"/>
  <c r="T266" i="52"/>
  <c r="K264" i="52"/>
  <c r="M264" i="52"/>
  <c r="O264" i="52"/>
  <c r="K286" i="52"/>
  <c r="M286" i="52"/>
  <c r="R286" i="52"/>
  <c r="T232" i="52"/>
  <c r="T260" i="52"/>
  <c r="T318" i="52"/>
  <c r="K229" i="52"/>
  <c r="M229" i="52"/>
  <c r="O229" i="52"/>
  <c r="K318" i="52"/>
  <c r="M318" i="52"/>
  <c r="R318" i="52"/>
  <c r="K266" i="52"/>
  <c r="M266" i="52"/>
  <c r="O266" i="52"/>
  <c r="T316" i="52"/>
  <c r="K324" i="52"/>
  <c r="M324" i="52"/>
  <c r="R324" i="52"/>
  <c r="K294" i="52"/>
  <c r="M294" i="52"/>
  <c r="O294" i="52"/>
  <c r="K237" i="52"/>
  <c r="M237" i="52"/>
  <c r="O237" i="52"/>
  <c r="K284" i="52"/>
  <c r="M284" i="52"/>
  <c r="O284" i="52"/>
  <c r="K314" i="52"/>
  <c r="M314" i="52"/>
  <c r="O314" i="52"/>
  <c r="K290" i="52"/>
  <c r="M290" i="52"/>
  <c r="O290" i="52"/>
  <c r="K323" i="52"/>
  <c r="M323" i="52"/>
  <c r="R323" i="52"/>
  <c r="K295" i="52"/>
  <c r="M295" i="52"/>
  <c r="O295" i="52"/>
  <c r="K317" i="52"/>
  <c r="M317" i="52"/>
  <c r="R317" i="52"/>
  <c r="K293" i="52"/>
  <c r="M293" i="52"/>
  <c r="R293" i="52"/>
  <c r="K319" i="52"/>
  <c r="M319" i="52"/>
  <c r="R319" i="52"/>
  <c r="K283" i="52"/>
  <c r="M283" i="52"/>
  <c r="R283" i="52"/>
  <c r="T290" i="52"/>
  <c r="K233" i="52"/>
  <c r="M233" i="52"/>
  <c r="R233" i="52"/>
  <c r="K254" i="52"/>
  <c r="M254" i="52"/>
  <c r="O254" i="52"/>
  <c r="Q254" i="52"/>
  <c r="K322" i="52"/>
  <c r="M322" i="52"/>
  <c r="R322" i="52"/>
  <c r="K285" i="52"/>
  <c r="M285" i="52"/>
  <c r="R285" i="52"/>
  <c r="K261" i="52"/>
  <c r="M261" i="52"/>
  <c r="O261" i="52"/>
  <c r="K234" i="52"/>
  <c r="M234" i="52"/>
  <c r="O234" i="52"/>
  <c r="K260" i="52"/>
  <c r="M260" i="52"/>
  <c r="O260" i="52"/>
  <c r="K259" i="52"/>
  <c r="M259" i="52"/>
  <c r="O259" i="52"/>
  <c r="T314" i="52"/>
  <c r="K258" i="52"/>
  <c r="M258" i="52"/>
  <c r="R258" i="52"/>
  <c r="T264" i="52"/>
  <c r="K236" i="52"/>
  <c r="M236" i="52"/>
  <c r="R236" i="52"/>
  <c r="K292" i="52"/>
  <c r="M292" i="52"/>
  <c r="O292" i="52"/>
  <c r="K256" i="52"/>
  <c r="M256" i="52"/>
  <c r="R256" i="52"/>
  <c r="K255" i="52"/>
  <c r="M255" i="52"/>
  <c r="O255" i="52"/>
  <c r="K265" i="52"/>
  <c r="M265" i="52"/>
  <c r="O265" i="52"/>
  <c r="K313" i="52"/>
  <c r="M313" i="52"/>
  <c r="R313" i="52"/>
  <c r="K312" i="52"/>
  <c r="M312" i="52"/>
  <c r="R312" i="52"/>
  <c r="K316" i="52"/>
  <c r="M316" i="52"/>
  <c r="O316" i="52"/>
  <c r="K315" i="52"/>
  <c r="M315" i="52"/>
  <c r="R315" i="52"/>
  <c r="T258" i="52"/>
  <c r="K232" i="52"/>
  <c r="M232" i="52"/>
  <c r="R232" i="52"/>
  <c r="T315" i="52"/>
  <c r="K320" i="52"/>
  <c r="M320" i="52"/>
  <c r="R320" i="52"/>
  <c r="K231" i="52"/>
  <c r="M231" i="52"/>
  <c r="R231" i="52"/>
  <c r="K288" i="52"/>
  <c r="M288" i="52"/>
  <c r="R288" i="52"/>
  <c r="X288" i="52"/>
  <c r="T259" i="52"/>
  <c r="K291" i="52"/>
  <c r="M291" i="52"/>
  <c r="R291" i="52"/>
  <c r="K228" i="52"/>
  <c r="M228" i="52"/>
  <c r="R228" i="52"/>
  <c r="T230" i="52"/>
  <c r="T255" i="52"/>
  <c r="K257" i="52"/>
  <c r="M257" i="52"/>
  <c r="R257" i="52"/>
  <c r="T319" i="52"/>
  <c r="K235" i="52"/>
  <c r="M235" i="52"/>
  <c r="O235" i="52"/>
  <c r="K262" i="52"/>
  <c r="M262" i="52"/>
  <c r="O262" i="52"/>
  <c r="T322" i="52"/>
  <c r="K321" i="52"/>
  <c r="M321" i="52"/>
  <c r="O321" i="52"/>
  <c r="T292" i="52"/>
  <c r="K287" i="52"/>
  <c r="M287" i="52"/>
  <c r="R287" i="52"/>
  <c r="K230" i="52"/>
  <c r="M230" i="52"/>
  <c r="O230" i="52"/>
  <c r="T324" i="52"/>
  <c r="T323" i="52"/>
  <c r="T231" i="52"/>
  <c r="T229" i="52"/>
  <c r="T235" i="52"/>
  <c r="T317" i="52"/>
  <c r="T295" i="52"/>
  <c r="T294" i="52"/>
  <c r="T287" i="52"/>
  <c r="T261" i="52"/>
  <c r="T293" i="52"/>
  <c r="T285" i="52"/>
  <c r="D294" i="50"/>
  <c r="D220" i="50"/>
  <c r="D236" i="50"/>
  <c r="F316" i="50"/>
  <c r="L316" i="50"/>
  <c r="D277" i="50"/>
  <c r="D219" i="50"/>
  <c r="D235" i="50"/>
  <c r="D319" i="50"/>
  <c r="D293" i="50"/>
  <c r="D261" i="50"/>
  <c r="D278" i="50"/>
  <c r="F233" i="50"/>
  <c r="L233" i="50"/>
  <c r="D310" i="50"/>
  <c r="D252" i="50"/>
  <c r="F324" i="50"/>
  <c r="L324" i="50"/>
  <c r="F232" i="50"/>
  <c r="L232" i="50"/>
  <c r="D311" i="50"/>
  <c r="D285" i="50"/>
  <c r="D253" i="50"/>
  <c r="D228" i="50"/>
  <c r="D262" i="50"/>
  <c r="F320" i="50"/>
  <c r="L320" i="50"/>
  <c r="F292" i="50"/>
  <c r="L292" i="50"/>
  <c r="D276" i="50"/>
  <c r="D281" i="50"/>
  <c r="F286" i="50"/>
  <c r="L286" i="50"/>
  <c r="F315" i="50"/>
  <c r="L315" i="50"/>
  <c r="D307" i="50"/>
  <c r="D291" i="50"/>
  <c r="D284" i="50"/>
  <c r="D221" i="50"/>
  <c r="F262" i="50"/>
  <c r="L262" i="50"/>
  <c r="F229" i="50"/>
  <c r="L229" i="50"/>
  <c r="F234" i="50"/>
  <c r="L234" i="50"/>
  <c r="D255" i="50"/>
  <c r="F293" i="50"/>
  <c r="L293" i="50"/>
  <c r="D289" i="50"/>
  <c r="F294" i="50"/>
  <c r="L294" i="50"/>
  <c r="F264" i="50"/>
  <c r="L264" i="50"/>
  <c r="F323" i="50"/>
  <c r="L323" i="50"/>
  <c r="D315" i="50"/>
  <c r="D250" i="50"/>
  <c r="D292" i="50"/>
  <c r="D229" i="50"/>
  <c r="D312" i="50"/>
  <c r="F237" i="50"/>
  <c r="L237" i="50"/>
  <c r="F259" i="50"/>
  <c r="L259" i="50"/>
  <c r="D263" i="50"/>
  <c r="F260" i="50"/>
  <c r="L260" i="50"/>
  <c r="D248" i="50"/>
  <c r="F261" i="50"/>
  <c r="L261" i="50"/>
  <c r="F231" i="50"/>
  <c r="L231" i="50"/>
  <c r="F290" i="50"/>
  <c r="L290" i="50"/>
  <c r="D323" i="50"/>
  <c r="D258" i="50"/>
  <c r="D251" i="50"/>
  <c r="D237" i="50"/>
  <c r="D320" i="50"/>
  <c r="D318" i="50"/>
  <c r="D305" i="50"/>
  <c r="D222" i="50"/>
  <c r="F235" i="50"/>
  <c r="L235" i="50"/>
  <c r="D256" i="50"/>
  <c r="F228" i="50"/>
  <c r="L228" i="50"/>
  <c r="D309" i="50"/>
  <c r="F257" i="50"/>
  <c r="L257" i="50"/>
  <c r="D290" i="50"/>
  <c r="D266" i="50"/>
  <c r="F288" i="50"/>
  <c r="L288" i="50"/>
  <c r="D279" i="50"/>
  <c r="D260" i="50"/>
  <c r="D247" i="50"/>
  <c r="D230" i="50"/>
  <c r="D313" i="50"/>
  <c r="D264" i="50"/>
  <c r="F236" i="50"/>
  <c r="L236" i="50"/>
  <c r="D259" i="50"/>
  <c r="F265" i="50"/>
  <c r="L265" i="50"/>
  <c r="D249" i="50"/>
  <c r="D225" i="50"/>
  <c r="D308" i="50"/>
  <c r="F291" i="50"/>
  <c r="L291" i="50"/>
  <c r="F321" i="50"/>
  <c r="L321" i="50"/>
  <c r="D287" i="50"/>
  <c r="D226" i="50"/>
  <c r="D218" i="50"/>
  <c r="D321" i="50"/>
  <c r="D223" i="50"/>
  <c r="D306" i="50"/>
  <c r="D282" i="50"/>
  <c r="D257" i="50"/>
  <c r="D233" i="50"/>
  <c r="D316" i="50"/>
  <c r="F258" i="50"/>
  <c r="L258" i="50"/>
  <c r="F230" i="50"/>
  <c r="L230" i="50"/>
  <c r="D295" i="50"/>
  <c r="D234" i="50"/>
  <c r="F317" i="50"/>
  <c r="L317" i="50"/>
  <c r="D280" i="50"/>
  <c r="D231" i="50"/>
  <c r="D314" i="50"/>
  <c r="D232" i="50"/>
  <c r="F322" i="50"/>
  <c r="L322" i="50"/>
  <c r="D265" i="50"/>
  <c r="F287" i="50"/>
  <c r="L287" i="50"/>
  <c r="D324" i="50"/>
  <c r="F266" i="50"/>
  <c r="L266" i="50"/>
  <c r="D286" i="50"/>
  <c r="D254" i="50"/>
  <c r="F263" i="50"/>
  <c r="L263" i="50"/>
  <c r="D288" i="50"/>
  <c r="F318" i="50"/>
  <c r="L318" i="50"/>
  <c r="D322" i="50"/>
  <c r="F319" i="50"/>
  <c r="L319" i="50"/>
  <c r="F289" i="50"/>
  <c r="L289" i="50"/>
  <c r="F295" i="50"/>
  <c r="L295" i="50"/>
  <c r="D283" i="50"/>
  <c r="D317" i="50"/>
  <c r="D224" i="50"/>
  <c r="W282" i="52"/>
  <c r="N282" i="52"/>
  <c r="W279" i="52"/>
  <c r="W276" i="52"/>
  <c r="W281" i="52"/>
  <c r="W278" i="52"/>
  <c r="W277" i="52"/>
  <c r="W280" i="52"/>
  <c r="W250" i="52"/>
  <c r="W253" i="52"/>
  <c r="N253" i="52"/>
  <c r="W248" i="52"/>
  <c r="W247" i="52"/>
  <c r="W249" i="52"/>
  <c r="W251" i="52"/>
  <c r="W252" i="52"/>
  <c r="W227" i="52"/>
  <c r="W223" i="52"/>
  <c r="W218" i="52"/>
  <c r="W226" i="52"/>
  <c r="W222" i="52"/>
  <c r="W225" i="52"/>
  <c r="W221" i="52"/>
  <c r="W224" i="52"/>
  <c r="W220" i="52"/>
  <c r="W219" i="52"/>
  <c r="W309" i="52"/>
  <c r="W306" i="52"/>
  <c r="W311" i="52"/>
  <c r="N311" i="52"/>
  <c r="W308" i="52"/>
  <c r="W310" i="52"/>
  <c r="W305" i="52"/>
  <c r="W307" i="52"/>
  <c r="J35" i="64"/>
  <c r="F33" i="64"/>
  <c r="K48" i="64"/>
  <c r="F48" i="64"/>
  <c r="G43" i="64"/>
  <c r="C347" i="64"/>
  <c r="G30" i="64"/>
  <c r="C334" i="64"/>
  <c r="G38" i="64"/>
  <c r="C342" i="64"/>
  <c r="G47" i="64"/>
  <c r="C351" i="64"/>
  <c r="G37" i="64"/>
  <c r="C341" i="64"/>
  <c r="C156" i="64"/>
  <c r="C158" i="64"/>
  <c r="G46" i="64"/>
  <c r="C350" i="64"/>
  <c r="G33" i="50"/>
  <c r="C337" i="50"/>
  <c r="C25" i="64"/>
  <c r="H104" i="52"/>
  <c r="I104" i="52"/>
  <c r="D184" i="64"/>
  <c r="F184" i="64"/>
  <c r="G41" i="64"/>
  <c r="C345" i="64"/>
  <c r="D183" i="64"/>
  <c r="F183" i="64"/>
  <c r="G44" i="64"/>
  <c r="C348" i="64"/>
  <c r="D185" i="64"/>
  <c r="F185" i="64"/>
  <c r="G39" i="64"/>
  <c r="C343" i="64"/>
  <c r="D188" i="64"/>
  <c r="F188" i="64"/>
  <c r="G42" i="64"/>
  <c r="C346" i="64"/>
  <c r="D181" i="64"/>
  <c r="F181" i="64"/>
  <c r="G40" i="64"/>
  <c r="C344" i="64"/>
  <c r="D186" i="64"/>
  <c r="F186" i="64"/>
  <c r="G45" i="64"/>
  <c r="C349" i="64"/>
  <c r="X313" i="52"/>
  <c r="I369" i="64"/>
  <c r="H369" i="64"/>
  <c r="X286" i="52"/>
  <c r="X320" i="52"/>
  <c r="E371" i="52"/>
  <c r="F371" i="52"/>
  <c r="H369" i="52"/>
  <c r="I369" i="52"/>
  <c r="X233" i="52"/>
  <c r="H360" i="52"/>
  <c r="G371" i="52"/>
  <c r="I360" i="52"/>
  <c r="R263" i="52"/>
  <c r="X263" i="52"/>
  <c r="H361" i="52"/>
  <c r="G372" i="52"/>
  <c r="H372" i="52"/>
  <c r="D372" i="52"/>
  <c r="E372" i="52"/>
  <c r="E361" i="52"/>
  <c r="O288" i="52"/>
  <c r="X256" i="52"/>
  <c r="X257" i="52"/>
  <c r="R289" i="52"/>
  <c r="X289" i="52"/>
  <c r="X236" i="52"/>
  <c r="X291" i="52"/>
  <c r="O312" i="52"/>
  <c r="Q312" i="52"/>
  <c r="R316" i="52"/>
  <c r="X316" i="52"/>
  <c r="R264" i="52"/>
  <c r="X264" i="52"/>
  <c r="O258" i="52"/>
  <c r="O286" i="52"/>
  <c r="X232" i="52"/>
  <c r="X318" i="52"/>
  <c r="O256" i="52"/>
  <c r="R260" i="52"/>
  <c r="X260" i="52"/>
  <c r="O324" i="52"/>
  <c r="R314" i="52"/>
  <c r="X314" i="52"/>
  <c r="O318" i="52"/>
  <c r="R235" i="52"/>
  <c r="X235" i="52"/>
  <c r="O233" i="52"/>
  <c r="O323" i="52"/>
  <c r="R229" i="52"/>
  <c r="X229" i="52"/>
  <c r="R262" i="52"/>
  <c r="X262" i="52"/>
  <c r="O231" i="52"/>
  <c r="R290" i="52"/>
  <c r="X290" i="52"/>
  <c r="O322" i="52"/>
  <c r="X319" i="52"/>
  <c r="R265" i="52"/>
  <c r="X265" i="52"/>
  <c r="O257" i="52"/>
  <c r="R261" i="52"/>
  <c r="X261" i="52"/>
  <c r="R237" i="52"/>
  <c r="X237" i="52"/>
  <c r="R234" i="52"/>
  <c r="X234" i="52"/>
  <c r="R230" i="52"/>
  <c r="X230" i="52"/>
  <c r="X315" i="52"/>
  <c r="X317" i="52"/>
  <c r="R266" i="52"/>
  <c r="X266" i="52"/>
  <c r="X287" i="52"/>
  <c r="R254" i="52"/>
  <c r="R295" i="52"/>
  <c r="X295" i="52"/>
  <c r="O317" i="52"/>
  <c r="O319" i="52"/>
  <c r="O291" i="52"/>
  <c r="R284" i="52"/>
  <c r="X284" i="52"/>
  <c r="O283" i="52"/>
  <c r="Q283" i="52"/>
  <c r="R294" i="52"/>
  <c r="X294" i="52"/>
  <c r="X293" i="52"/>
  <c r="X322" i="52"/>
  <c r="O236" i="52"/>
  <c r="O293" i="52"/>
  <c r="X324" i="52"/>
  <c r="O285" i="52"/>
  <c r="R259" i="52"/>
  <c r="X259" i="52"/>
  <c r="O315" i="52"/>
  <c r="O287" i="52"/>
  <c r="O228" i="52"/>
  <c r="Q228" i="52"/>
  <c r="O320" i="52"/>
  <c r="R292" i="52"/>
  <c r="X292" i="52"/>
  <c r="R255" i="52"/>
  <c r="X255" i="52"/>
  <c r="X258" i="52"/>
  <c r="R321" i="52"/>
  <c r="X321" i="52"/>
  <c r="O232" i="52"/>
  <c r="O313" i="52"/>
  <c r="X231" i="52"/>
  <c r="X323" i="52"/>
  <c r="X285" i="52"/>
  <c r="J288" i="50"/>
  <c r="H288" i="50"/>
  <c r="S287" i="50"/>
  <c r="J287" i="50"/>
  <c r="H287" i="50"/>
  <c r="S286" i="50"/>
  <c r="J284" i="50"/>
  <c r="H284" i="50"/>
  <c r="J293" i="50"/>
  <c r="H293" i="50"/>
  <c r="S292" i="50"/>
  <c r="J324" i="50"/>
  <c r="H324" i="50"/>
  <c r="S323" i="50"/>
  <c r="H263" i="50"/>
  <c r="J263" i="50"/>
  <c r="S262" i="50"/>
  <c r="H254" i="50"/>
  <c r="J254" i="50"/>
  <c r="J323" i="50"/>
  <c r="H323" i="50"/>
  <c r="S322" i="50"/>
  <c r="H285" i="50"/>
  <c r="J285" i="50"/>
  <c r="H259" i="50"/>
  <c r="J259" i="50"/>
  <c r="S258" i="50"/>
  <c r="J258" i="50"/>
  <c r="H258" i="50"/>
  <c r="S257" i="50"/>
  <c r="H261" i="50"/>
  <c r="J261" i="50"/>
  <c r="S260" i="50"/>
  <c r="J322" i="50"/>
  <c r="H322" i="50"/>
  <c r="S321" i="50"/>
  <c r="H236" i="50"/>
  <c r="J236" i="50"/>
  <c r="S235" i="50"/>
  <c r="J286" i="50"/>
  <c r="H286" i="50"/>
  <c r="S285" i="50"/>
  <c r="J316" i="50"/>
  <c r="H316" i="50"/>
  <c r="S315" i="50"/>
  <c r="H314" i="50"/>
  <c r="J314" i="50"/>
  <c r="H321" i="50"/>
  <c r="J321" i="50"/>
  <c r="S320" i="50"/>
  <c r="J320" i="50"/>
  <c r="H320" i="50"/>
  <c r="S319" i="50"/>
  <c r="J318" i="50"/>
  <c r="H318" i="50"/>
  <c r="S317" i="50"/>
  <c r="H234" i="50"/>
  <c r="J234" i="50"/>
  <c r="S233" i="50"/>
  <c r="J294" i="50"/>
  <c r="H294" i="50"/>
  <c r="S293" i="50"/>
  <c r="J257" i="50"/>
  <c r="H257" i="50"/>
  <c r="S256" i="50"/>
  <c r="J256" i="50"/>
  <c r="H256" i="50"/>
  <c r="J233" i="50"/>
  <c r="H233" i="50"/>
  <c r="S232" i="50"/>
  <c r="J281" i="50"/>
  <c r="H281" i="50"/>
  <c r="J231" i="50"/>
  <c r="H231" i="50"/>
  <c r="S230" i="50"/>
  <c r="H260" i="50"/>
  <c r="J260" i="50"/>
  <c r="S259" i="50"/>
  <c r="J237" i="50"/>
  <c r="H237" i="50"/>
  <c r="S236" i="50"/>
  <c r="J315" i="50"/>
  <c r="H315" i="50"/>
  <c r="S314" i="50"/>
  <c r="H228" i="50"/>
  <c r="J228" i="50"/>
  <c r="J262" i="50"/>
  <c r="H262" i="50"/>
  <c r="S261" i="50"/>
  <c r="H232" i="50"/>
  <c r="J232" i="50"/>
  <c r="S231" i="50"/>
  <c r="H230" i="50"/>
  <c r="J230" i="50"/>
  <c r="S229" i="50"/>
  <c r="J290" i="50"/>
  <c r="H290" i="50"/>
  <c r="S289" i="50"/>
  <c r="H292" i="50"/>
  <c r="J292" i="50"/>
  <c r="S291" i="50"/>
  <c r="H255" i="50"/>
  <c r="J255" i="50"/>
  <c r="J283" i="50"/>
  <c r="H283" i="50"/>
  <c r="H295" i="50"/>
  <c r="J295" i="50"/>
  <c r="S294" i="50"/>
  <c r="J313" i="50"/>
  <c r="H313" i="50"/>
  <c r="J266" i="50"/>
  <c r="H266" i="50"/>
  <c r="S265" i="50"/>
  <c r="J229" i="50"/>
  <c r="H229" i="50"/>
  <c r="S228" i="50"/>
  <c r="J235" i="50"/>
  <c r="H235" i="50"/>
  <c r="S234" i="50"/>
  <c r="H317" i="50"/>
  <c r="J317" i="50"/>
  <c r="S316" i="50"/>
  <c r="H265" i="50"/>
  <c r="J265" i="50"/>
  <c r="S264" i="50"/>
  <c r="J282" i="50"/>
  <c r="H282" i="50"/>
  <c r="J264" i="50"/>
  <c r="H264" i="50"/>
  <c r="S263" i="50"/>
  <c r="J312" i="50"/>
  <c r="H312" i="50"/>
  <c r="J289" i="50"/>
  <c r="H289" i="50"/>
  <c r="S288" i="50"/>
  <c r="H291" i="50"/>
  <c r="J291" i="50"/>
  <c r="S290" i="50"/>
  <c r="J319" i="50"/>
  <c r="H319" i="50"/>
  <c r="S318" i="50"/>
  <c r="H223" i="50"/>
  <c r="J223" i="50"/>
  <c r="H309" i="50"/>
  <c r="J309" i="50"/>
  <c r="H280" i="50"/>
  <c r="J280" i="50"/>
  <c r="H278" i="50"/>
  <c r="J278" i="50"/>
  <c r="J226" i="50"/>
  <c r="H226" i="50"/>
  <c r="H310" i="50"/>
  <c r="J310" i="50"/>
  <c r="H276" i="50"/>
  <c r="J276" i="50"/>
  <c r="J247" i="50"/>
  <c r="H247" i="50"/>
  <c r="H221" i="50"/>
  <c r="J221" i="50"/>
  <c r="J222" i="50"/>
  <c r="H222" i="50"/>
  <c r="H219" i="50"/>
  <c r="J219" i="50"/>
  <c r="J308" i="50"/>
  <c r="H308" i="50"/>
  <c r="H305" i="50"/>
  <c r="J305" i="50"/>
  <c r="J220" i="50"/>
  <c r="H220" i="50"/>
  <c r="H307" i="50"/>
  <c r="J307" i="50"/>
  <c r="H277" i="50"/>
  <c r="J277" i="50"/>
  <c r="H311" i="50"/>
  <c r="J311" i="50"/>
  <c r="H252" i="50"/>
  <c r="J252" i="50"/>
  <c r="H227" i="50"/>
  <c r="J227" i="50"/>
  <c r="H225" i="50"/>
  <c r="J225" i="50"/>
  <c r="J251" i="50"/>
  <c r="H251" i="50"/>
  <c r="J279" i="50"/>
  <c r="H279" i="50"/>
  <c r="J253" i="50"/>
  <c r="H253" i="50"/>
  <c r="J218" i="50"/>
  <c r="H218" i="50"/>
  <c r="J306" i="50"/>
  <c r="H306" i="50"/>
  <c r="H250" i="50"/>
  <c r="J250" i="50"/>
  <c r="J224" i="50"/>
  <c r="H224" i="50"/>
  <c r="H248" i="50"/>
  <c r="J248" i="50"/>
  <c r="J249" i="50"/>
  <c r="H249" i="50"/>
  <c r="I38" i="64"/>
  <c r="D66" i="2"/>
  <c r="K41" i="64"/>
  <c r="K44" i="64"/>
  <c r="I37" i="64"/>
  <c r="K39" i="64"/>
  <c r="K46" i="64"/>
  <c r="J47" i="64"/>
  <c r="D78" i="2"/>
  <c r="K42" i="64"/>
  <c r="K40" i="64"/>
  <c r="J43" i="64"/>
  <c r="D74" i="2"/>
  <c r="K45" i="64"/>
  <c r="I30" i="64"/>
  <c r="F47" i="64"/>
  <c r="C141" i="64"/>
  <c r="E141" i="64"/>
  <c r="C109" i="64"/>
  <c r="C111" i="64"/>
  <c r="G36" i="64"/>
  <c r="C340" i="64"/>
  <c r="D357" i="64"/>
  <c r="F357" i="64"/>
  <c r="F30" i="64"/>
  <c r="D72" i="2"/>
  <c r="F35" i="64"/>
  <c r="F43" i="64"/>
  <c r="F38" i="64"/>
  <c r="F37" i="64"/>
  <c r="D91" i="2"/>
  <c r="D132" i="2"/>
  <c r="E27" i="2"/>
  <c r="D55" i="2"/>
  <c r="D13" i="2"/>
  <c r="D45" i="2"/>
  <c r="D54" i="2"/>
  <c r="D50" i="2"/>
  <c r="D42" i="2"/>
  <c r="D37" i="2"/>
  <c r="D40" i="2"/>
  <c r="D44" i="2"/>
  <c r="W312" i="50"/>
  <c r="W314" i="50"/>
  <c r="N314" i="50"/>
  <c r="W313" i="50"/>
  <c r="W285" i="50"/>
  <c r="N285" i="50"/>
  <c r="W284" i="50"/>
  <c r="W283" i="50"/>
  <c r="W256" i="50"/>
  <c r="N256" i="50"/>
  <c r="W254" i="50"/>
  <c r="W255" i="50"/>
  <c r="K321" i="50"/>
  <c r="M321" i="50"/>
  <c r="O321" i="50"/>
  <c r="K259" i="50"/>
  <c r="M259" i="50"/>
  <c r="O259" i="50"/>
  <c r="D368" i="64"/>
  <c r="F368" i="64"/>
  <c r="E357" i="64"/>
  <c r="G357" i="64"/>
  <c r="I357" i="64"/>
  <c r="H371" i="52"/>
  <c r="I371" i="52"/>
  <c r="K261" i="50"/>
  <c r="M261" i="50"/>
  <c r="O261" i="50"/>
  <c r="T287" i="50"/>
  <c r="T316" i="50"/>
  <c r="T231" i="50"/>
  <c r="T263" i="50"/>
  <c r="K260" i="50"/>
  <c r="M260" i="50"/>
  <c r="R260" i="50"/>
  <c r="G361" i="50"/>
  <c r="D361" i="50"/>
  <c r="C335" i="50"/>
  <c r="T259" i="50"/>
  <c r="K231" i="50"/>
  <c r="M231" i="50"/>
  <c r="O231" i="50"/>
  <c r="K295" i="50"/>
  <c r="M295" i="50"/>
  <c r="O295" i="50"/>
  <c r="K292" i="50"/>
  <c r="M292" i="50"/>
  <c r="R292" i="50"/>
  <c r="K294" i="50"/>
  <c r="M294" i="50"/>
  <c r="R294" i="50"/>
  <c r="T319" i="50"/>
  <c r="K263" i="50"/>
  <c r="M263" i="50"/>
  <c r="R263" i="50"/>
  <c r="T293" i="50"/>
  <c r="K265" i="50"/>
  <c r="M265" i="50"/>
  <c r="O265" i="50"/>
  <c r="K230" i="50"/>
  <c r="M230" i="50"/>
  <c r="O230" i="50"/>
  <c r="K228" i="50"/>
  <c r="M228" i="50"/>
  <c r="R228" i="50"/>
  <c r="K237" i="50"/>
  <c r="M237" i="50"/>
  <c r="R237" i="50"/>
  <c r="K234" i="50"/>
  <c r="M234" i="50"/>
  <c r="R234" i="50"/>
  <c r="K322" i="50"/>
  <c r="M322" i="50"/>
  <c r="O322" i="50"/>
  <c r="K287" i="50"/>
  <c r="M287" i="50"/>
  <c r="R287" i="50"/>
  <c r="K291" i="50"/>
  <c r="M291" i="50"/>
  <c r="O291" i="50"/>
  <c r="K266" i="50"/>
  <c r="M266" i="50"/>
  <c r="O266" i="50"/>
  <c r="K232" i="50"/>
  <c r="M232" i="50"/>
  <c r="O232" i="50"/>
  <c r="K289" i="50"/>
  <c r="M289" i="50"/>
  <c r="O289" i="50"/>
  <c r="K235" i="50"/>
  <c r="M235" i="50"/>
  <c r="R235" i="50"/>
  <c r="K262" i="50"/>
  <c r="M262" i="50"/>
  <c r="O262" i="50"/>
  <c r="K316" i="50"/>
  <c r="M316" i="50"/>
  <c r="O316" i="50"/>
  <c r="K323" i="50"/>
  <c r="M323" i="50"/>
  <c r="R323" i="50"/>
  <c r="K324" i="50"/>
  <c r="M324" i="50"/>
  <c r="R324" i="50"/>
  <c r="K264" i="50"/>
  <c r="M264" i="50"/>
  <c r="O264" i="50"/>
  <c r="K317" i="50"/>
  <c r="M317" i="50"/>
  <c r="R317" i="50"/>
  <c r="K233" i="50"/>
  <c r="M233" i="50"/>
  <c r="O233" i="50"/>
  <c r="T290" i="50"/>
  <c r="T232" i="50"/>
  <c r="K293" i="50"/>
  <c r="M293" i="50"/>
  <c r="R293" i="50"/>
  <c r="K319" i="50"/>
  <c r="M319" i="50"/>
  <c r="O319" i="50"/>
  <c r="K288" i="50"/>
  <c r="M288" i="50"/>
  <c r="R288" i="50"/>
  <c r="K286" i="50"/>
  <c r="M286" i="50"/>
  <c r="O286" i="50"/>
  <c r="T318" i="50"/>
  <c r="T291" i="50"/>
  <c r="K257" i="50"/>
  <c r="M257" i="50"/>
  <c r="O257" i="50"/>
  <c r="T233" i="50"/>
  <c r="T321" i="50"/>
  <c r="K315" i="50"/>
  <c r="M315" i="50"/>
  <c r="O315" i="50"/>
  <c r="K318" i="50"/>
  <c r="M318" i="50"/>
  <c r="R318" i="50"/>
  <c r="K229" i="50"/>
  <c r="M229" i="50"/>
  <c r="O229" i="50"/>
  <c r="T288" i="50"/>
  <c r="K290" i="50"/>
  <c r="M290" i="50"/>
  <c r="R290" i="50"/>
  <c r="T261" i="50"/>
  <c r="K320" i="50"/>
  <c r="M320" i="50"/>
  <c r="O320" i="50"/>
  <c r="K236" i="50"/>
  <c r="M236" i="50"/>
  <c r="O236" i="50"/>
  <c r="K258" i="50"/>
  <c r="M258" i="50"/>
  <c r="R258" i="50"/>
  <c r="T229" i="50"/>
  <c r="T324" i="50"/>
  <c r="T323" i="50"/>
  <c r="T295" i="50"/>
  <c r="T294" i="50"/>
  <c r="T264" i="50"/>
  <c r="T315" i="50"/>
  <c r="T266" i="50"/>
  <c r="T265" i="50"/>
  <c r="T237" i="50"/>
  <c r="T236" i="50"/>
  <c r="T257" i="50"/>
  <c r="T234" i="50"/>
  <c r="T317" i="50"/>
  <c r="T235" i="50"/>
  <c r="T320" i="50"/>
  <c r="T260" i="50"/>
  <c r="T258" i="50"/>
  <c r="T322" i="50"/>
  <c r="T262" i="50"/>
  <c r="T286" i="50"/>
  <c r="T289" i="50"/>
  <c r="T230" i="50"/>
  <c r="T292" i="50"/>
  <c r="W281" i="50"/>
  <c r="W278" i="50"/>
  <c r="W277" i="50"/>
  <c r="W276" i="50"/>
  <c r="W282" i="50"/>
  <c r="N282" i="50"/>
  <c r="W280" i="50"/>
  <c r="W279" i="50"/>
  <c r="W224" i="50"/>
  <c r="W221" i="50"/>
  <c r="W227" i="50"/>
  <c r="N227" i="50"/>
  <c r="W218" i="50"/>
  <c r="W220" i="50"/>
  <c r="W219" i="50"/>
  <c r="W226" i="50"/>
  <c r="W222" i="50"/>
  <c r="W225" i="50"/>
  <c r="W223" i="50"/>
  <c r="W247" i="50"/>
  <c r="W252" i="50"/>
  <c r="W251" i="50"/>
  <c r="W250" i="50"/>
  <c r="W249" i="50"/>
  <c r="W248" i="50"/>
  <c r="W253" i="50"/>
  <c r="N253" i="50"/>
  <c r="W307" i="50"/>
  <c r="W310" i="50"/>
  <c r="W311" i="50"/>
  <c r="N311" i="50"/>
  <c r="W309" i="50"/>
  <c r="W305" i="50"/>
  <c r="W308" i="50"/>
  <c r="W306" i="50"/>
  <c r="I36" i="64"/>
  <c r="E145" i="64"/>
  <c r="I34" i="64"/>
  <c r="G34" i="64"/>
  <c r="C338" i="64"/>
  <c r="D359" i="64"/>
  <c r="D67" i="2"/>
  <c r="D80" i="2"/>
  <c r="F39" i="64"/>
  <c r="D83" i="2"/>
  <c r="F41" i="64"/>
  <c r="D85" i="2"/>
  <c r="F45" i="64"/>
  <c r="D84" i="2"/>
  <c r="F42" i="64"/>
  <c r="D82" i="2"/>
  <c r="F44" i="64"/>
  <c r="D81" i="2"/>
  <c r="F40" i="64"/>
  <c r="D90" i="2"/>
  <c r="F46" i="64"/>
  <c r="F36" i="64"/>
  <c r="D48" i="2"/>
  <c r="D43" i="2"/>
  <c r="D51" i="2"/>
  <c r="D49" i="2"/>
  <c r="D46" i="2"/>
  <c r="D53" i="2"/>
  <c r="D47" i="2"/>
  <c r="D52" i="2"/>
  <c r="D63" i="2"/>
  <c r="R321" i="50"/>
  <c r="X321" i="50"/>
  <c r="R259" i="50"/>
  <c r="X259" i="50"/>
  <c r="G368" i="64"/>
  <c r="I368" i="64"/>
  <c r="E368" i="64"/>
  <c r="H357" i="64"/>
  <c r="D370" i="64"/>
  <c r="E359" i="64"/>
  <c r="F359" i="64"/>
  <c r="G359" i="64"/>
  <c r="X287" i="50"/>
  <c r="R261" i="50"/>
  <c r="X261" i="50"/>
  <c r="O260" i="50"/>
  <c r="R322" i="50"/>
  <c r="X322" i="50"/>
  <c r="O234" i="50"/>
  <c r="X263" i="50"/>
  <c r="O263" i="50"/>
  <c r="O235" i="50"/>
  <c r="R231" i="50"/>
  <c r="O323" i="50"/>
  <c r="R295" i="50"/>
  <c r="X295" i="50"/>
  <c r="O258" i="50"/>
  <c r="O294" i="50"/>
  <c r="O292" i="50"/>
  <c r="R230" i="50"/>
  <c r="O293" i="50"/>
  <c r="O324" i="50"/>
  <c r="O237" i="50"/>
  <c r="O228" i="50"/>
  <c r="Q228" i="50"/>
  <c r="R266" i="50"/>
  <c r="X266" i="50"/>
  <c r="O318" i="50"/>
  <c r="R265" i="50"/>
  <c r="X265" i="50"/>
  <c r="X293" i="50"/>
  <c r="R229" i="50"/>
  <c r="X318" i="50"/>
  <c r="R232" i="50"/>
  <c r="R316" i="50"/>
  <c r="X316" i="50"/>
  <c r="O287" i="50"/>
  <c r="X324" i="50"/>
  <c r="R286" i="50"/>
  <c r="X286" i="50"/>
  <c r="R291" i="50"/>
  <c r="X291" i="50"/>
  <c r="R262" i="50"/>
  <c r="X262" i="50"/>
  <c r="R320" i="50"/>
  <c r="X320" i="50"/>
  <c r="R315" i="50"/>
  <c r="X315" i="50"/>
  <c r="X290" i="50"/>
  <c r="X317" i="50"/>
  <c r="O317" i="50"/>
  <c r="X288" i="50"/>
  <c r="X260" i="50"/>
  <c r="X258" i="50"/>
  <c r="R289" i="50"/>
  <c r="X289" i="50"/>
  <c r="X294" i="50"/>
  <c r="R257" i="50"/>
  <c r="R233" i="50"/>
  <c r="O290" i="50"/>
  <c r="X292" i="50"/>
  <c r="R319" i="50"/>
  <c r="X319" i="50"/>
  <c r="R264" i="50"/>
  <c r="X264" i="50"/>
  <c r="R236" i="50"/>
  <c r="X323" i="50"/>
  <c r="O288" i="50"/>
  <c r="G372" i="50"/>
  <c r="H372" i="50"/>
  <c r="H361" i="50"/>
  <c r="D69" i="2"/>
  <c r="D112" i="2"/>
  <c r="D70" i="2"/>
  <c r="D113" i="2"/>
  <c r="F34" i="64"/>
  <c r="D41" i="2"/>
  <c r="H368" i="64"/>
  <c r="E370" i="64"/>
  <c r="F370" i="64"/>
  <c r="I359" i="64"/>
  <c r="H359" i="64"/>
  <c r="G370" i="64"/>
  <c r="I370" i="64"/>
  <c r="H370" i="64"/>
  <c r="D92" i="64"/>
  <c r="D93" i="64"/>
  <c r="D94" i="64"/>
  <c r="D95" i="64"/>
  <c r="D96" i="64"/>
  <c r="K32" i="64"/>
  <c r="J32" i="64"/>
  <c r="C86" i="64"/>
  <c r="E41" i="79"/>
  <c r="F41" i="79"/>
  <c r="I101" i="64"/>
  <c r="H102" i="64"/>
  <c r="I102" i="64"/>
  <c r="H100" i="64"/>
  <c r="H103" i="64"/>
  <c r="I100" i="64"/>
  <c r="I103" i="64"/>
  <c r="H101" i="64"/>
  <c r="H83" i="64"/>
  <c r="F85" i="64"/>
  <c r="K31" i="64"/>
  <c r="G85" i="64"/>
  <c r="G83" i="64"/>
  <c r="H85" i="64"/>
  <c r="F83" i="64"/>
  <c r="G82" i="64"/>
  <c r="F84" i="64"/>
  <c r="J31" i="64"/>
  <c r="H84" i="64"/>
  <c r="F82" i="64"/>
  <c r="H82" i="64"/>
  <c r="G84" i="64"/>
  <c r="F284" i="64"/>
  <c r="L284" i="64"/>
  <c r="D290" i="64"/>
  <c r="D276" i="64"/>
  <c r="D293" i="64"/>
  <c r="D255" i="64"/>
  <c r="D224" i="64"/>
  <c r="F235" i="64"/>
  <c r="L235" i="64"/>
  <c r="D292" i="64"/>
  <c r="F236" i="64"/>
  <c r="L236" i="64"/>
  <c r="D318" i="64"/>
  <c r="D231" i="64"/>
  <c r="D232" i="64"/>
  <c r="D289" i="64"/>
  <c r="F234" i="64"/>
  <c r="L234" i="64"/>
  <c r="F285" i="64"/>
  <c r="L285" i="64"/>
  <c r="D252" i="64"/>
  <c r="F286" i="64"/>
  <c r="L286" i="64"/>
  <c r="D277" i="64"/>
  <c r="F292" i="64"/>
  <c r="L292" i="64"/>
  <c r="D306" i="64"/>
  <c r="D284" i="64"/>
  <c r="D310" i="64"/>
  <c r="F232" i="64"/>
  <c r="L232" i="64"/>
  <c r="D320" i="64"/>
  <c r="D287" i="64"/>
  <c r="F283" i="64"/>
  <c r="L283" i="64"/>
  <c r="D233" i="64"/>
  <c r="D253" i="64"/>
  <c r="D228" i="64"/>
  <c r="F319" i="64"/>
  <c r="L319" i="64"/>
  <c r="D280" i="64"/>
  <c r="F228" i="64"/>
  <c r="L228" i="64"/>
  <c r="D285" i="64"/>
  <c r="D263" i="64"/>
  <c r="D281" i="64"/>
  <c r="D236" i="64"/>
  <c r="D291" i="64"/>
  <c r="D279" i="64"/>
  <c r="F262" i="64"/>
  <c r="L262" i="64"/>
  <c r="F318" i="64"/>
  <c r="L318" i="64"/>
  <c r="F324" i="64"/>
  <c r="L324" i="64"/>
  <c r="F323" i="64"/>
  <c r="L323" i="64"/>
  <c r="D286" i="64"/>
  <c r="D259" i="64"/>
  <c r="F321" i="64"/>
  <c r="L321" i="64"/>
  <c r="D323" i="64"/>
  <c r="D264" i="64"/>
  <c r="D247" i="64"/>
  <c r="D260" i="64"/>
  <c r="F293" i="64"/>
  <c r="L293" i="64"/>
  <c r="D262" i="64"/>
  <c r="D266" i="64"/>
  <c r="F254" i="64"/>
  <c r="L254" i="64"/>
  <c r="F261" i="64"/>
  <c r="L261" i="64"/>
  <c r="F316" i="64"/>
  <c r="L316" i="64"/>
  <c r="F315" i="64"/>
  <c r="L315" i="64"/>
  <c r="F322" i="64"/>
  <c r="L322" i="64"/>
  <c r="D251" i="64"/>
  <c r="F313" i="64"/>
  <c r="L313" i="64"/>
  <c r="D315" i="64"/>
  <c r="D256" i="64"/>
  <c r="D234" i="64"/>
  <c r="D223" i="64"/>
  <c r="F237" i="64"/>
  <c r="L237" i="64"/>
  <c r="D225" i="64"/>
  <c r="D258" i="64"/>
  <c r="F233" i="64"/>
  <c r="L233" i="64"/>
  <c r="D278" i="64"/>
  <c r="F265" i="64"/>
  <c r="L265" i="64"/>
  <c r="F314" i="64"/>
  <c r="L314" i="64"/>
  <c r="D230" i="64"/>
  <c r="F263" i="64"/>
  <c r="L263" i="64"/>
  <c r="D248" i="64"/>
  <c r="D226" i="64"/>
  <c r="F229" i="64"/>
  <c r="L229" i="64"/>
  <c r="D250" i="64"/>
  <c r="D220" i="64"/>
  <c r="F258" i="64"/>
  <c r="L258" i="64"/>
  <c r="F264" i="64"/>
  <c r="L264" i="64"/>
  <c r="F255" i="64"/>
  <c r="L255" i="64"/>
  <c r="D235" i="64"/>
  <c r="D218" i="64"/>
  <c r="F294" i="64"/>
  <c r="L294" i="64"/>
  <c r="D237" i="64"/>
  <c r="F320" i="64"/>
  <c r="L320" i="64"/>
  <c r="D319" i="64"/>
  <c r="F288" i="64"/>
  <c r="L288" i="64"/>
  <c r="D257" i="64"/>
  <c r="D322" i="64"/>
  <c r="F295" i="64"/>
  <c r="L295" i="64"/>
  <c r="D308" i="64"/>
  <c r="D283" i="64"/>
  <c r="F290" i="64"/>
  <c r="L290" i="64"/>
  <c r="D309" i="64"/>
  <c r="D219" i="64"/>
  <c r="D305" i="64"/>
  <c r="F260" i="64"/>
  <c r="L260" i="64"/>
  <c r="D221" i="64"/>
  <c r="F291" i="64"/>
  <c r="L291" i="64"/>
  <c r="D261" i="64"/>
  <c r="F231" i="64"/>
  <c r="L231" i="64"/>
  <c r="F266" i="64"/>
  <c r="L266" i="64"/>
  <c r="D307" i="64"/>
  <c r="D282" i="64"/>
  <c r="F317" i="64"/>
  <c r="L317" i="64"/>
  <c r="D324" i="64"/>
  <c r="F257" i="64"/>
  <c r="L257" i="64"/>
  <c r="D222" i="64"/>
  <c r="D265" i="64"/>
  <c r="D321" i="64"/>
  <c r="F230" i="64"/>
  <c r="L230" i="64"/>
  <c r="D316" i="64"/>
  <c r="D312" i="64"/>
  <c r="F256" i="64"/>
  <c r="L256" i="64"/>
  <c r="D317" i="64"/>
  <c r="D227" i="64"/>
  <c r="D313" i="64"/>
  <c r="F289" i="64"/>
  <c r="L289" i="64"/>
  <c r="D229" i="64"/>
  <c r="F312" i="64"/>
  <c r="L312" i="64"/>
  <c r="D311" i="64"/>
  <c r="F259" i="64"/>
  <c r="L259" i="64"/>
  <c r="D249" i="64"/>
  <c r="D314" i="64"/>
  <c r="F287" i="64"/>
  <c r="L287" i="64"/>
  <c r="D295" i="64"/>
  <c r="D254" i="64"/>
  <c r="D294" i="64"/>
  <c r="D288" i="64"/>
  <c r="E246" i="64"/>
  <c r="I32" i="64"/>
  <c r="G32" i="64"/>
  <c r="C336" i="64"/>
  <c r="D360" i="64"/>
  <c r="E217" i="64"/>
  <c r="I31" i="64"/>
  <c r="G31" i="64"/>
  <c r="F31" i="64"/>
  <c r="J49" i="64"/>
  <c r="K49" i="64"/>
  <c r="D88" i="2"/>
  <c r="E304" i="64"/>
  <c r="D77" i="2"/>
  <c r="E275" i="64"/>
  <c r="H86" i="64"/>
  <c r="G86" i="64"/>
  <c r="I104" i="64"/>
  <c r="H104" i="64"/>
  <c r="F86" i="64"/>
  <c r="D86" i="2"/>
  <c r="D29" i="2"/>
  <c r="D371" i="64"/>
  <c r="G360" i="64"/>
  <c r="F360" i="64"/>
  <c r="E360" i="64"/>
  <c r="H322" i="64"/>
  <c r="J322" i="64"/>
  <c r="S321" i="64"/>
  <c r="J260" i="64"/>
  <c r="H260" i="64"/>
  <c r="S259" i="64"/>
  <c r="H285" i="64"/>
  <c r="J285" i="64"/>
  <c r="S284" i="64"/>
  <c r="H287" i="64"/>
  <c r="J287" i="64"/>
  <c r="S286" i="64"/>
  <c r="J324" i="64"/>
  <c r="H324" i="64"/>
  <c r="S323" i="64"/>
  <c r="H258" i="64"/>
  <c r="J258" i="64"/>
  <c r="S257" i="64"/>
  <c r="J263" i="64"/>
  <c r="H263" i="64"/>
  <c r="S262" i="64"/>
  <c r="J318" i="64"/>
  <c r="H318" i="64"/>
  <c r="S317" i="64"/>
  <c r="J290" i="64"/>
  <c r="H290" i="64"/>
  <c r="S289" i="64"/>
  <c r="E305" i="64"/>
  <c r="F305" i="64"/>
  <c r="L305" i="64"/>
  <c r="E310" i="64"/>
  <c r="F310" i="64"/>
  <c r="L310" i="64"/>
  <c r="E306" i="64"/>
  <c r="F306" i="64"/>
  <c r="L306" i="64"/>
  <c r="E307" i="64"/>
  <c r="F307" i="64"/>
  <c r="L307" i="64"/>
  <c r="E308" i="64"/>
  <c r="F308" i="64"/>
  <c r="L308" i="64"/>
  <c r="E309" i="64"/>
  <c r="F309" i="64"/>
  <c r="L309" i="64"/>
  <c r="E311" i="64"/>
  <c r="F311" i="64"/>
  <c r="L311" i="64"/>
  <c r="J317" i="64"/>
  <c r="H317" i="64"/>
  <c r="S316" i="64"/>
  <c r="J262" i="64"/>
  <c r="H262" i="64"/>
  <c r="S261" i="64"/>
  <c r="H286" i="64"/>
  <c r="J286" i="64"/>
  <c r="S285" i="64"/>
  <c r="H281" i="64"/>
  <c r="J281" i="64"/>
  <c r="H233" i="64"/>
  <c r="J233" i="64"/>
  <c r="S232" i="64"/>
  <c r="H231" i="64"/>
  <c r="J231" i="64"/>
  <c r="S230" i="64"/>
  <c r="J312" i="64"/>
  <c r="H312" i="64"/>
  <c r="H235" i="64"/>
  <c r="J235" i="64"/>
  <c r="S234" i="64"/>
  <c r="J314" i="64"/>
  <c r="H314" i="64"/>
  <c r="S313" i="64"/>
  <c r="J261" i="64"/>
  <c r="H261" i="64"/>
  <c r="S260" i="64"/>
  <c r="H266" i="64"/>
  <c r="J266" i="64"/>
  <c r="S265" i="64"/>
  <c r="H236" i="64"/>
  <c r="J236" i="64"/>
  <c r="S235" i="64"/>
  <c r="H293" i="64"/>
  <c r="J293" i="64"/>
  <c r="S292" i="64"/>
  <c r="J313" i="64"/>
  <c r="H313" i="64"/>
  <c r="S312" i="64"/>
  <c r="T312" i="64"/>
  <c r="E226" i="64"/>
  <c r="F226" i="64"/>
  <c r="L226" i="64"/>
  <c r="E218" i="64"/>
  <c r="F218" i="64"/>
  <c r="L218" i="64"/>
  <c r="E224" i="64"/>
  <c r="F224" i="64"/>
  <c r="L224" i="64"/>
  <c r="E227" i="64"/>
  <c r="F227" i="64"/>
  <c r="L227" i="64"/>
  <c r="E219" i="64"/>
  <c r="F219" i="64"/>
  <c r="L219" i="64"/>
  <c r="E220" i="64"/>
  <c r="F220" i="64"/>
  <c r="L220" i="64"/>
  <c r="E221" i="64"/>
  <c r="F221" i="64"/>
  <c r="L221" i="64"/>
  <c r="E222" i="64"/>
  <c r="F222" i="64"/>
  <c r="L222" i="64"/>
  <c r="E223" i="64"/>
  <c r="F223" i="64"/>
  <c r="L223" i="64"/>
  <c r="E225" i="64"/>
  <c r="F225" i="64"/>
  <c r="L225" i="64"/>
  <c r="J295" i="64"/>
  <c r="H295" i="64"/>
  <c r="S294" i="64"/>
  <c r="J321" i="64"/>
  <c r="H321" i="64"/>
  <c r="S320" i="64"/>
  <c r="J319" i="64"/>
  <c r="H319" i="64"/>
  <c r="S318" i="64"/>
  <c r="H234" i="64"/>
  <c r="J234" i="64"/>
  <c r="S233" i="64"/>
  <c r="J323" i="64"/>
  <c r="H323" i="64"/>
  <c r="S322" i="64"/>
  <c r="T322" i="64"/>
  <c r="H283" i="64"/>
  <c r="J283" i="64"/>
  <c r="J259" i="64"/>
  <c r="H259" i="64"/>
  <c r="S258" i="64"/>
  <c r="H232" i="64"/>
  <c r="J232" i="64"/>
  <c r="S231" i="64"/>
  <c r="T231" i="64"/>
  <c r="E276" i="64"/>
  <c r="F276" i="64"/>
  <c r="L276" i="64"/>
  <c r="E277" i="64"/>
  <c r="F277" i="64"/>
  <c r="L277" i="64"/>
  <c r="E278" i="64"/>
  <c r="F278" i="64"/>
  <c r="L278" i="64"/>
  <c r="E279" i="64"/>
  <c r="F279" i="64"/>
  <c r="L279" i="64"/>
  <c r="E281" i="64"/>
  <c r="F281" i="64"/>
  <c r="E282" i="64"/>
  <c r="F282" i="64"/>
  <c r="E280" i="64"/>
  <c r="F280" i="64"/>
  <c r="L280" i="64"/>
  <c r="H291" i="64"/>
  <c r="J291" i="64"/>
  <c r="S290" i="64"/>
  <c r="J284" i="64"/>
  <c r="H284" i="64"/>
  <c r="S283" i="64"/>
  <c r="T283" i="64"/>
  <c r="J289" i="64"/>
  <c r="H289" i="64"/>
  <c r="S288" i="64"/>
  <c r="J254" i="64"/>
  <c r="H254" i="64"/>
  <c r="H229" i="64"/>
  <c r="J229" i="64"/>
  <c r="S228" i="64"/>
  <c r="T228" i="64"/>
  <c r="J230" i="64"/>
  <c r="H230" i="64"/>
  <c r="S229" i="64"/>
  <c r="J264" i="64"/>
  <c r="H264" i="64"/>
  <c r="S263" i="64"/>
  <c r="J288" i="64"/>
  <c r="H288" i="64"/>
  <c r="S287" i="64"/>
  <c r="E247" i="64"/>
  <c r="F247" i="64"/>
  <c r="L247" i="64"/>
  <c r="E252" i="64"/>
  <c r="F252" i="64"/>
  <c r="L252" i="64"/>
  <c r="E248" i="64"/>
  <c r="F248" i="64"/>
  <c r="L248" i="64"/>
  <c r="E253" i="64"/>
  <c r="F253" i="64"/>
  <c r="L253" i="64"/>
  <c r="E249" i="64"/>
  <c r="F249" i="64"/>
  <c r="L249" i="64"/>
  <c r="E251" i="64"/>
  <c r="F251" i="64"/>
  <c r="L251" i="64"/>
  <c r="E250" i="64"/>
  <c r="F250" i="64"/>
  <c r="L250" i="64"/>
  <c r="H237" i="64"/>
  <c r="J237" i="64"/>
  <c r="S236" i="64"/>
  <c r="J315" i="64"/>
  <c r="H315" i="64"/>
  <c r="S314" i="64"/>
  <c r="H265" i="64"/>
  <c r="J265" i="64"/>
  <c r="S264" i="64"/>
  <c r="J256" i="64"/>
  <c r="H256" i="64"/>
  <c r="S255" i="64"/>
  <c r="J228" i="64"/>
  <c r="H228" i="64"/>
  <c r="J255" i="64"/>
  <c r="H255" i="64"/>
  <c r="S254" i="64"/>
  <c r="T254" i="64"/>
  <c r="H294" i="64"/>
  <c r="J294" i="64"/>
  <c r="S293" i="64"/>
  <c r="J316" i="64"/>
  <c r="H316" i="64"/>
  <c r="S315" i="64"/>
  <c r="H282" i="64"/>
  <c r="J282" i="64"/>
  <c r="J257" i="64"/>
  <c r="H257" i="64"/>
  <c r="S256" i="64"/>
  <c r="H320" i="64"/>
  <c r="J320" i="64"/>
  <c r="S319" i="64"/>
  <c r="J292" i="64"/>
  <c r="H292" i="64"/>
  <c r="S291" i="64"/>
  <c r="H280" i="64"/>
  <c r="J280" i="64"/>
  <c r="H225" i="64"/>
  <c r="J225" i="64"/>
  <c r="J226" i="64"/>
  <c r="H226" i="64"/>
  <c r="H227" i="64"/>
  <c r="J227" i="64"/>
  <c r="J249" i="64"/>
  <c r="H249" i="64"/>
  <c r="J220" i="64"/>
  <c r="H220" i="64"/>
  <c r="H223" i="64"/>
  <c r="J223" i="64"/>
  <c r="J306" i="64"/>
  <c r="H306" i="64"/>
  <c r="H309" i="64"/>
  <c r="J309" i="64"/>
  <c r="H305" i="64"/>
  <c r="J305" i="64"/>
  <c r="J277" i="64"/>
  <c r="H277" i="64"/>
  <c r="J278" i="64"/>
  <c r="H278" i="64"/>
  <c r="J222" i="64"/>
  <c r="H222" i="64"/>
  <c r="H307" i="64"/>
  <c r="J307" i="64"/>
  <c r="H308" i="64"/>
  <c r="J308" i="64"/>
  <c r="J279" i="64"/>
  <c r="H279" i="64"/>
  <c r="H252" i="64"/>
  <c r="J252" i="64"/>
  <c r="H276" i="64"/>
  <c r="J276" i="64"/>
  <c r="H310" i="64"/>
  <c r="J310" i="64"/>
  <c r="J250" i="64"/>
  <c r="H250" i="64"/>
  <c r="H251" i="64"/>
  <c r="J251" i="64"/>
  <c r="H311" i="64"/>
  <c r="J311" i="64"/>
  <c r="H248" i="64"/>
  <c r="J248" i="64"/>
  <c r="H224" i="64"/>
  <c r="J224" i="64"/>
  <c r="H247" i="64"/>
  <c r="J247" i="64"/>
  <c r="H219" i="64"/>
  <c r="J219" i="64"/>
  <c r="J218" i="64"/>
  <c r="H218" i="64"/>
  <c r="J221" i="64"/>
  <c r="H221" i="64"/>
  <c r="H253" i="64"/>
  <c r="J253" i="64"/>
  <c r="F32" i="64"/>
  <c r="G41" i="79"/>
  <c r="D73" i="2"/>
  <c r="D27" i="2"/>
  <c r="I49" i="64"/>
  <c r="D68" i="2"/>
  <c r="D65" i="2"/>
  <c r="T260" i="64"/>
  <c r="T233" i="64"/>
  <c r="K237" i="64"/>
  <c r="M237" i="64"/>
  <c r="O237" i="64"/>
  <c r="K232" i="64"/>
  <c r="M232" i="64"/>
  <c r="R232" i="64"/>
  <c r="K231" i="64"/>
  <c r="M231" i="64"/>
  <c r="R231" i="64"/>
  <c r="X231" i="64"/>
  <c r="K286" i="64"/>
  <c r="M286" i="64"/>
  <c r="R286" i="64"/>
  <c r="K322" i="64"/>
  <c r="M322" i="64"/>
  <c r="O322" i="64"/>
  <c r="T318" i="64"/>
  <c r="K294" i="64"/>
  <c r="M294" i="64"/>
  <c r="O294" i="64"/>
  <c r="K287" i="64"/>
  <c r="M287" i="64"/>
  <c r="R287" i="64"/>
  <c r="K283" i="64"/>
  <c r="M283" i="64"/>
  <c r="O283" i="64"/>
  <c r="Q283" i="64"/>
  <c r="K312" i="64"/>
  <c r="M312" i="64"/>
  <c r="O312" i="64"/>
  <c r="Q312" i="64"/>
  <c r="C335" i="64"/>
  <c r="D361" i="64"/>
  <c r="G361" i="64"/>
  <c r="G364" i="64"/>
  <c r="G375" i="64"/>
  <c r="F371" i="64"/>
  <c r="E371" i="64"/>
  <c r="I360" i="64"/>
  <c r="H360" i="64"/>
  <c r="G371" i="64"/>
  <c r="T264" i="64"/>
  <c r="T256" i="64"/>
  <c r="K262" i="64"/>
  <c r="M262" i="64"/>
  <c r="R262" i="64"/>
  <c r="K284" i="64"/>
  <c r="M284" i="64"/>
  <c r="O284" i="64"/>
  <c r="K234" i="64"/>
  <c r="M234" i="64"/>
  <c r="R234" i="64"/>
  <c r="K317" i="64"/>
  <c r="M317" i="64"/>
  <c r="R317" i="64"/>
  <c r="K263" i="64"/>
  <c r="M263" i="64"/>
  <c r="O263" i="64"/>
  <c r="T290" i="64"/>
  <c r="T314" i="64"/>
  <c r="K265" i="64"/>
  <c r="M265" i="64"/>
  <c r="O265" i="64"/>
  <c r="K316" i="64"/>
  <c r="M316" i="64"/>
  <c r="O316" i="64"/>
  <c r="K228" i="64"/>
  <c r="M228" i="64"/>
  <c r="O228" i="64"/>
  <c r="Q228" i="64"/>
  <c r="K229" i="64"/>
  <c r="M229" i="64"/>
  <c r="O229" i="64"/>
  <c r="K318" i="64"/>
  <c r="M318" i="64"/>
  <c r="O318" i="64"/>
  <c r="T258" i="64"/>
  <c r="T284" i="64"/>
  <c r="K230" i="64"/>
  <c r="M230" i="64"/>
  <c r="O230" i="64"/>
  <c r="K289" i="64"/>
  <c r="M289" i="64"/>
  <c r="O289" i="64"/>
  <c r="T313" i="64"/>
  <c r="K257" i="64"/>
  <c r="M257" i="64"/>
  <c r="R257" i="64"/>
  <c r="K295" i="64"/>
  <c r="M295" i="64"/>
  <c r="O295" i="64"/>
  <c r="K235" i="64"/>
  <c r="M235" i="64"/>
  <c r="R235" i="64"/>
  <c r="K285" i="64"/>
  <c r="M285" i="64"/>
  <c r="R285" i="64"/>
  <c r="K321" i="64"/>
  <c r="M321" i="64"/>
  <c r="R321" i="64"/>
  <c r="K292" i="64"/>
  <c r="M292" i="64"/>
  <c r="O292" i="64"/>
  <c r="K256" i="64"/>
  <c r="M256" i="64"/>
  <c r="R256" i="64"/>
  <c r="K264" i="64"/>
  <c r="M264" i="64"/>
  <c r="O264" i="64"/>
  <c r="K254" i="64"/>
  <c r="M254" i="64"/>
  <c r="O254" i="64"/>
  <c r="Q254" i="64"/>
  <c r="K313" i="64"/>
  <c r="M313" i="64"/>
  <c r="R313" i="64"/>
  <c r="K290" i="64"/>
  <c r="M290" i="64"/>
  <c r="O290" i="64"/>
  <c r="T291" i="64"/>
  <c r="K315" i="64"/>
  <c r="M315" i="64"/>
  <c r="O315" i="64"/>
  <c r="T263" i="64"/>
  <c r="K259" i="64"/>
  <c r="M259" i="64"/>
  <c r="O259" i="64"/>
  <c r="T320" i="64"/>
  <c r="K236" i="64"/>
  <c r="M236" i="64"/>
  <c r="R236" i="64"/>
  <c r="K314" i="64"/>
  <c r="M314" i="64"/>
  <c r="O314" i="64"/>
  <c r="K260" i="64"/>
  <c r="M260" i="64"/>
  <c r="O260" i="64"/>
  <c r="K320" i="64"/>
  <c r="M320" i="64"/>
  <c r="R320" i="64"/>
  <c r="T287" i="64"/>
  <c r="K319" i="64"/>
  <c r="M319" i="64"/>
  <c r="R319" i="64"/>
  <c r="K293" i="64"/>
  <c r="M293" i="64"/>
  <c r="R293" i="64"/>
  <c r="K261" i="64"/>
  <c r="M261" i="64"/>
  <c r="O261" i="64"/>
  <c r="K233" i="64"/>
  <c r="M233" i="64"/>
  <c r="R233" i="64"/>
  <c r="K324" i="64"/>
  <c r="M324" i="64"/>
  <c r="R324" i="64"/>
  <c r="K323" i="64"/>
  <c r="M323" i="64"/>
  <c r="O323" i="64"/>
  <c r="T235" i="64"/>
  <c r="K288" i="64"/>
  <c r="M288" i="64"/>
  <c r="O288" i="64"/>
  <c r="T315" i="64"/>
  <c r="K255" i="64"/>
  <c r="M255" i="64"/>
  <c r="R255" i="64"/>
  <c r="T288" i="64"/>
  <c r="K291" i="64"/>
  <c r="M291" i="64"/>
  <c r="O291" i="64"/>
  <c r="K266" i="64"/>
  <c r="M266" i="64"/>
  <c r="O266" i="64"/>
  <c r="T232" i="64"/>
  <c r="T261" i="64"/>
  <c r="K258" i="64"/>
  <c r="M258" i="64"/>
  <c r="O258" i="64"/>
  <c r="T266" i="64"/>
  <c r="T265" i="64"/>
  <c r="T324" i="64"/>
  <c r="T323" i="64"/>
  <c r="T292" i="64"/>
  <c r="T289" i="64"/>
  <c r="T262" i="64"/>
  <c r="T321" i="64"/>
  <c r="T255" i="64"/>
  <c r="T236" i="64"/>
  <c r="T237" i="64"/>
  <c r="T316" i="64"/>
  <c r="T295" i="64"/>
  <c r="T294" i="64"/>
  <c r="T319" i="64"/>
  <c r="T229" i="64"/>
  <c r="T285" i="64"/>
  <c r="T234" i="64"/>
  <c r="T317" i="64"/>
  <c r="T257" i="64"/>
  <c r="T286" i="64"/>
  <c r="T259" i="64"/>
  <c r="T293" i="64"/>
  <c r="T230" i="64"/>
  <c r="S246" i="64"/>
  <c r="T246" i="64"/>
  <c r="X246" i="64"/>
  <c r="S250" i="64"/>
  <c r="S248" i="64"/>
  <c r="S306" i="64"/>
  <c r="S226" i="64"/>
  <c r="T227" i="64"/>
  <c r="S278" i="64"/>
  <c r="S222" i="64"/>
  <c r="S307" i="64"/>
  <c r="S217" i="64"/>
  <c r="T217" i="64"/>
  <c r="X217" i="64"/>
  <c r="S305" i="64"/>
  <c r="S218" i="64"/>
  <c r="S219" i="64"/>
  <c r="S223" i="64"/>
  <c r="W253" i="64"/>
  <c r="N253" i="64"/>
  <c r="W250" i="64"/>
  <c r="W247" i="64"/>
  <c r="W252" i="64"/>
  <c r="W249" i="64"/>
  <c r="W251" i="64"/>
  <c r="W248" i="64"/>
  <c r="S252" i="64"/>
  <c r="S251" i="64"/>
  <c r="S304" i="64"/>
  <c r="T304" i="64"/>
  <c r="S247" i="64"/>
  <c r="W280" i="64"/>
  <c r="W276" i="64"/>
  <c r="W282" i="64"/>
  <c r="N282" i="64"/>
  <c r="W279" i="64"/>
  <c r="W278" i="64"/>
  <c r="W281" i="64"/>
  <c r="W277" i="64"/>
  <c r="S309" i="64"/>
  <c r="S276" i="64"/>
  <c r="S225" i="64"/>
  <c r="W309" i="64"/>
  <c r="W306" i="64"/>
  <c r="W308" i="64"/>
  <c r="W311" i="64"/>
  <c r="N311" i="64"/>
  <c r="W305" i="64"/>
  <c r="W307" i="64"/>
  <c r="W310" i="64"/>
  <c r="S224" i="64"/>
  <c r="S220" i="64"/>
  <c r="S221" i="64"/>
  <c r="S275" i="64"/>
  <c r="T275" i="64"/>
  <c r="S279" i="64"/>
  <c r="W223" i="64"/>
  <c r="W220" i="64"/>
  <c r="W225" i="64"/>
  <c r="W224" i="64"/>
  <c r="W219" i="64"/>
  <c r="W222" i="64"/>
  <c r="W227" i="64"/>
  <c r="N227" i="64"/>
  <c r="W226" i="64"/>
  <c r="W218" i="64"/>
  <c r="W221" i="64"/>
  <c r="S308" i="64"/>
  <c r="S310" i="64"/>
  <c r="S249" i="64"/>
  <c r="S277" i="64"/>
  <c r="L281" i="64"/>
  <c r="S280" i="64"/>
  <c r="K281" i="64"/>
  <c r="L282" i="64"/>
  <c r="S281" i="64"/>
  <c r="K282" i="64"/>
  <c r="K251" i="64"/>
  <c r="M251" i="64"/>
  <c r="K223" i="64"/>
  <c r="M223" i="64"/>
  <c r="K224" i="64"/>
  <c r="M224" i="64"/>
  <c r="K249" i="64"/>
  <c r="M249" i="64"/>
  <c r="K308" i="64"/>
  <c r="M308" i="64"/>
  <c r="K310" i="64"/>
  <c r="M310" i="64"/>
  <c r="K248" i="64"/>
  <c r="M248" i="64"/>
  <c r="K220" i="64"/>
  <c r="M220" i="64"/>
  <c r="K250" i="64"/>
  <c r="M250" i="64"/>
  <c r="K306" i="64"/>
  <c r="M306" i="64"/>
  <c r="K311" i="64"/>
  <c r="M311" i="64"/>
  <c r="K247" i="64"/>
  <c r="M247" i="64"/>
  <c r="K218" i="64"/>
  <c r="M218" i="64"/>
  <c r="K307" i="64"/>
  <c r="M307" i="64"/>
  <c r="K226" i="64"/>
  <c r="M226" i="64"/>
  <c r="K280" i="64"/>
  <c r="M280" i="64"/>
  <c r="K252" i="64"/>
  <c r="M252" i="64"/>
  <c r="K225" i="64"/>
  <c r="M225" i="64"/>
  <c r="K221" i="64"/>
  <c r="M221" i="64"/>
  <c r="K305" i="64"/>
  <c r="M305" i="64"/>
  <c r="K219" i="64"/>
  <c r="M219" i="64"/>
  <c r="K276" i="64"/>
  <c r="M276" i="64"/>
  <c r="K253" i="64"/>
  <c r="M253" i="64"/>
  <c r="K277" i="64"/>
  <c r="M277" i="64"/>
  <c r="K279" i="64"/>
  <c r="M279" i="64"/>
  <c r="K278" i="64"/>
  <c r="M278" i="64"/>
  <c r="K309" i="64"/>
  <c r="M309" i="64"/>
  <c r="K222" i="64"/>
  <c r="M222" i="64"/>
  <c r="K227" i="64"/>
  <c r="M227" i="64"/>
  <c r="F49" i="64"/>
  <c r="C22" i="64"/>
  <c r="D10" i="2"/>
  <c r="G49" i="64"/>
  <c r="D39" i="2"/>
  <c r="D38" i="2"/>
  <c r="X256" i="64"/>
  <c r="X233" i="64"/>
  <c r="R322" i="64"/>
  <c r="X322" i="64"/>
  <c r="O286" i="64"/>
  <c r="G378" i="64"/>
  <c r="R312" i="64"/>
  <c r="O232" i="64"/>
  <c r="R283" i="64"/>
  <c r="X283" i="64"/>
  <c r="O231" i="64"/>
  <c r="R237" i="64"/>
  <c r="X237" i="64"/>
  <c r="R294" i="64"/>
  <c r="X294" i="64"/>
  <c r="O287" i="64"/>
  <c r="D372" i="64"/>
  <c r="E372" i="64"/>
  <c r="E361" i="64"/>
  <c r="D378" i="64"/>
  <c r="C207" i="64"/>
  <c r="D364" i="64"/>
  <c r="D375" i="64"/>
  <c r="G372" i="64"/>
  <c r="H372" i="64"/>
  <c r="H361" i="64"/>
  <c r="R292" i="64"/>
  <c r="X292" i="64"/>
  <c r="G379" i="64"/>
  <c r="G365" i="64"/>
  <c r="I371" i="64"/>
  <c r="H371" i="64"/>
  <c r="R314" i="64"/>
  <c r="X314" i="64"/>
  <c r="R265" i="64"/>
  <c r="X265" i="64"/>
  <c r="R289" i="64"/>
  <c r="X289" i="64"/>
  <c r="X235" i="64"/>
  <c r="R228" i="64"/>
  <c r="R295" i="64"/>
  <c r="X295" i="64"/>
  <c r="O255" i="64"/>
  <c r="O234" i="64"/>
  <c r="R229" i="64"/>
  <c r="X229" i="64"/>
  <c r="O236" i="64"/>
  <c r="R284" i="64"/>
  <c r="X284" i="64"/>
  <c r="R291" i="64"/>
  <c r="X291" i="64"/>
  <c r="R266" i="64"/>
  <c r="X266" i="64"/>
  <c r="O262" i="64"/>
  <c r="O313" i="64"/>
  <c r="R254" i="64"/>
  <c r="R230" i="64"/>
  <c r="X230" i="64"/>
  <c r="O317" i="64"/>
  <c r="O285" i="64"/>
  <c r="O320" i="64"/>
  <c r="O321" i="64"/>
  <c r="R263" i="64"/>
  <c r="X263" i="64"/>
  <c r="R290" i="64"/>
  <c r="X290" i="64"/>
  <c r="R260" i="64"/>
  <c r="X260" i="64"/>
  <c r="O235" i="64"/>
  <c r="R315" i="64"/>
  <c r="X315" i="64"/>
  <c r="X313" i="64"/>
  <c r="R261" i="64"/>
  <c r="X261" i="64"/>
  <c r="R316" i="64"/>
  <c r="X316" i="64"/>
  <c r="O257" i="64"/>
  <c r="R318" i="64"/>
  <c r="X318" i="64"/>
  <c r="X319" i="64"/>
  <c r="X262" i="64"/>
  <c r="X293" i="64"/>
  <c r="X255" i="64"/>
  <c r="X317" i="64"/>
  <c r="R258" i="64"/>
  <c r="X258" i="64"/>
  <c r="O319" i="64"/>
  <c r="R288" i="64"/>
  <c r="X288" i="64"/>
  <c r="X287" i="64"/>
  <c r="X324" i="64"/>
  <c r="R264" i="64"/>
  <c r="X264" i="64"/>
  <c r="O293" i="64"/>
  <c r="O233" i="64"/>
  <c r="X321" i="64"/>
  <c r="X320" i="64"/>
  <c r="O324" i="64"/>
  <c r="R323" i="64"/>
  <c r="X323" i="64"/>
  <c r="R259" i="64"/>
  <c r="X259" i="64"/>
  <c r="O256" i="64"/>
  <c r="X232" i="64"/>
  <c r="X285" i="64"/>
  <c r="X236" i="64"/>
  <c r="X257" i="64"/>
  <c r="X286" i="64"/>
  <c r="X234" i="64"/>
  <c r="T220" i="64"/>
  <c r="T247" i="64"/>
  <c r="T251" i="64"/>
  <c r="T223" i="64"/>
  <c r="T224" i="64"/>
  <c r="T226" i="64"/>
  <c r="T249" i="64"/>
  <c r="T277" i="64"/>
  <c r="T307" i="64"/>
  <c r="T306" i="64"/>
  <c r="T305" i="64"/>
  <c r="T279" i="64"/>
  <c r="T308" i="64"/>
  <c r="T218" i="64"/>
  <c r="T221" i="64"/>
  <c r="T309" i="64"/>
  <c r="T219" i="64"/>
  <c r="T282" i="64"/>
  <c r="T281" i="64"/>
  <c r="O252" i="64"/>
  <c r="O306" i="64"/>
  <c r="O221" i="64"/>
  <c r="O308" i="64"/>
  <c r="O309" i="64"/>
  <c r="O219" i="64"/>
  <c r="Q218" i="64"/>
  <c r="R218" i="64"/>
  <c r="O218" i="64"/>
  <c r="O310" i="64"/>
  <c r="T276" i="64"/>
  <c r="T225" i="64"/>
  <c r="O279" i="64"/>
  <c r="O311" i="64"/>
  <c r="O305" i="64"/>
  <c r="Q305" i="64"/>
  <c r="O222" i="64"/>
  <c r="O276" i="64"/>
  <c r="Q276" i="64"/>
  <c r="R276" i="64"/>
  <c r="O307" i="64"/>
  <c r="O248" i="64"/>
  <c r="T278" i="64"/>
  <c r="T222" i="64"/>
  <c r="O277" i="64"/>
  <c r="O225" i="64"/>
  <c r="O249" i="64"/>
  <c r="T252" i="64"/>
  <c r="T253" i="64"/>
  <c r="O227" i="64"/>
  <c r="O226" i="64"/>
  <c r="O220" i="64"/>
  <c r="O223" i="64"/>
  <c r="O224" i="64"/>
  <c r="O278" i="64"/>
  <c r="O247" i="64"/>
  <c r="Q247" i="64"/>
  <c r="R247" i="64"/>
  <c r="O253" i="64"/>
  <c r="O280" i="64"/>
  <c r="O250" i="64"/>
  <c r="O251" i="64"/>
  <c r="T310" i="64"/>
  <c r="T311" i="64"/>
  <c r="T250" i="64"/>
  <c r="T280" i="64"/>
  <c r="T248" i="64"/>
  <c r="M282" i="64"/>
  <c r="M281" i="64"/>
  <c r="H47" i="64"/>
  <c r="H35" i="64"/>
  <c r="H33" i="64"/>
  <c r="H43" i="64"/>
  <c r="H44" i="64"/>
  <c r="H37" i="64"/>
  <c r="H45" i="64"/>
  <c r="H42" i="64"/>
  <c r="H41" i="64"/>
  <c r="H34" i="64"/>
  <c r="H39" i="64"/>
  <c r="H30" i="64"/>
  <c r="H36" i="64"/>
  <c r="H38" i="64"/>
  <c r="H46" i="64"/>
  <c r="H48" i="64"/>
  <c r="H40" i="64"/>
  <c r="H32" i="64"/>
  <c r="H31" i="64"/>
  <c r="D379" i="64"/>
  <c r="C208" i="64"/>
  <c r="D365" i="64"/>
  <c r="P218" i="64"/>
  <c r="P276" i="64"/>
  <c r="P305" i="64"/>
  <c r="Q306" i="64"/>
  <c r="R305" i="64"/>
  <c r="O281" i="64"/>
  <c r="O282" i="64"/>
  <c r="P247" i="64"/>
  <c r="X218" i="64"/>
  <c r="X228" i="64"/>
  <c r="X247" i="64"/>
  <c r="H49" i="64"/>
  <c r="X304" i="64"/>
  <c r="Q248" i="64"/>
  <c r="R248" i="64"/>
  <c r="X248" i="64"/>
  <c r="P306" i="64"/>
  <c r="R306" i="64"/>
  <c r="Q219" i="64"/>
  <c r="Q277" i="64"/>
  <c r="R277" i="64"/>
  <c r="D92" i="2"/>
  <c r="X275" i="64"/>
  <c r="X312" i="64"/>
  <c r="X305" i="64"/>
  <c r="P219" i="64"/>
  <c r="Q220" i="64"/>
  <c r="R220" i="64"/>
  <c r="X220" i="64"/>
  <c r="R219" i="64"/>
  <c r="X219" i="64"/>
  <c r="Q307" i="64"/>
  <c r="R307" i="64"/>
  <c r="X307" i="64"/>
  <c r="P248" i="64"/>
  <c r="P277" i="64"/>
  <c r="X306" i="64"/>
  <c r="X276" i="64"/>
  <c r="C21" i="64"/>
  <c r="P220" i="64"/>
  <c r="Q221" i="64"/>
  <c r="R221" i="64"/>
  <c r="X221" i="64"/>
  <c r="P307" i="64"/>
  <c r="Q249" i="64"/>
  <c r="R249" i="64"/>
  <c r="X249" i="64"/>
  <c r="Q278" i="64"/>
  <c r="R278" i="64"/>
  <c r="X277" i="64"/>
  <c r="D9" i="2"/>
  <c r="E133" i="2"/>
  <c r="E135" i="2"/>
  <c r="P221" i="64"/>
  <c r="Q308" i="64"/>
  <c r="R308" i="64"/>
  <c r="X308" i="64"/>
  <c r="P249" i="64"/>
  <c r="Q250" i="64"/>
  <c r="R250" i="64"/>
  <c r="X250" i="64"/>
  <c r="P278" i="64"/>
  <c r="Q279" i="64"/>
  <c r="R279" i="64"/>
  <c r="X278" i="64"/>
  <c r="P308" i="64"/>
  <c r="Q309" i="64"/>
  <c r="R309" i="64"/>
  <c r="X309" i="64"/>
  <c r="Q222" i="64"/>
  <c r="R222" i="64"/>
  <c r="X222" i="64"/>
  <c r="P250" i="64"/>
  <c r="Q251" i="64"/>
  <c r="R251" i="64"/>
  <c r="X251" i="64"/>
  <c r="P279" i="64"/>
  <c r="P309" i="64"/>
  <c r="Q310" i="64"/>
  <c r="R310" i="64"/>
  <c r="P222" i="64"/>
  <c r="Q223" i="64"/>
  <c r="R223" i="64"/>
  <c r="P251" i="64"/>
  <c r="Q280" i="64"/>
  <c r="R280" i="64"/>
  <c r="X279" i="64"/>
  <c r="P223" i="64"/>
  <c r="Q224" i="64"/>
  <c r="R224" i="64"/>
  <c r="P280" i="64"/>
  <c r="Q252" i="64"/>
  <c r="R252" i="64"/>
  <c r="X252" i="64"/>
  <c r="P310" i="64"/>
  <c r="X223" i="64"/>
  <c r="X310" i="64"/>
  <c r="P224" i="64"/>
  <c r="Q281" i="64"/>
  <c r="R281" i="64"/>
  <c r="Q311" i="64"/>
  <c r="R311" i="64"/>
  <c r="P252" i="64"/>
  <c r="X280" i="64"/>
  <c r="P281" i="64"/>
  <c r="P311" i="64"/>
  <c r="P312" i="64"/>
  <c r="Q313" i="64"/>
  <c r="Q225" i="64"/>
  <c r="R225" i="64"/>
  <c r="Q253" i="64"/>
  <c r="R253" i="64"/>
  <c r="X253" i="64"/>
  <c r="X254" i="64"/>
  <c r="X224" i="64"/>
  <c r="X311" i="64"/>
  <c r="P253" i="64"/>
  <c r="P254" i="64"/>
  <c r="Q255" i="64"/>
  <c r="P255" i="64"/>
  <c r="Q256" i="64"/>
  <c r="P256" i="64"/>
  <c r="Q257" i="64"/>
  <c r="P257" i="64"/>
  <c r="P225" i="64"/>
  <c r="Q226" i="64"/>
  <c r="R226" i="64"/>
  <c r="Q282" i="64"/>
  <c r="R282" i="64"/>
  <c r="X282" i="64"/>
  <c r="P313" i="64"/>
  <c r="Q314" i="64"/>
  <c r="P314" i="64"/>
  <c r="Q315" i="64"/>
  <c r="P315" i="64"/>
  <c r="X267" i="64"/>
  <c r="X268" i="64"/>
  <c r="X225" i="64"/>
  <c r="X281" i="64"/>
  <c r="X326" i="64"/>
  <c r="X325" i="64"/>
  <c r="C23" i="64"/>
  <c r="P282" i="64"/>
  <c r="P283" i="64"/>
  <c r="Q284" i="64"/>
  <c r="P284" i="64"/>
  <c r="Q285" i="64"/>
  <c r="P285" i="64"/>
  <c r="Q286" i="64"/>
  <c r="P286" i="64"/>
  <c r="Q287" i="64"/>
  <c r="P287" i="64"/>
  <c r="Q288" i="64"/>
  <c r="P288" i="64"/>
  <c r="Q289" i="64"/>
  <c r="P289" i="64"/>
  <c r="Q316" i="64"/>
  <c r="P316" i="64"/>
  <c r="Q258" i="64"/>
  <c r="P258" i="64"/>
  <c r="P226" i="64"/>
  <c r="C24" i="64"/>
  <c r="D12" i="2"/>
  <c r="D11" i="2"/>
  <c r="X226" i="64"/>
  <c r="X297" i="64"/>
  <c r="X296" i="64"/>
  <c r="Q290" i="64"/>
  <c r="P290" i="64"/>
  <c r="Q259" i="64"/>
  <c r="P259" i="64"/>
  <c r="Q260" i="64"/>
  <c r="P260" i="64"/>
  <c r="Q261" i="64"/>
  <c r="P261" i="64"/>
  <c r="Q227" i="64"/>
  <c r="R227" i="64"/>
  <c r="X227" i="64"/>
  <c r="Q317" i="64"/>
  <c r="P317" i="64"/>
  <c r="Q291" i="64"/>
  <c r="P291" i="64"/>
  <c r="Q318" i="64"/>
  <c r="P318" i="64"/>
  <c r="Q262" i="64"/>
  <c r="P262" i="64"/>
  <c r="Q263" i="64"/>
  <c r="P263" i="64"/>
  <c r="P227" i="64"/>
  <c r="P228" i="64"/>
  <c r="X239" i="64"/>
  <c r="C209" i="64"/>
  <c r="X238" i="64"/>
  <c r="Q292" i="64"/>
  <c r="P292" i="64"/>
  <c r="Q293" i="64"/>
  <c r="P293" i="64"/>
  <c r="Q319" i="64"/>
  <c r="P319" i="64"/>
  <c r="Q320" i="64"/>
  <c r="P320" i="64"/>
  <c r="Q321" i="64"/>
  <c r="P321" i="64"/>
  <c r="Q322" i="64"/>
  <c r="P322" i="64"/>
  <c r="Q264" i="64"/>
  <c r="P264" i="64"/>
  <c r="Q229" i="64"/>
  <c r="P229" i="64"/>
  <c r="C18" i="2"/>
  <c r="D18" i="2"/>
  <c r="E18" i="2"/>
  <c r="E35" i="2"/>
  <c r="D35" i="2"/>
  <c r="C35" i="2"/>
  <c r="C60" i="2"/>
  <c r="D60" i="2"/>
  <c r="E60" i="2"/>
  <c r="C192" i="52"/>
  <c r="C193" i="52"/>
  <c r="G48" i="52"/>
  <c r="C352" i="52"/>
  <c r="C154" i="52"/>
  <c r="E89" i="2"/>
  <c r="E76" i="2"/>
  <c r="C57" i="52"/>
  <c r="D373" i="50"/>
  <c r="Q294" i="64"/>
  <c r="P294" i="64"/>
  <c r="Q295" i="64"/>
  <c r="P295" i="64"/>
  <c r="Q323" i="64"/>
  <c r="P323" i="64"/>
  <c r="Q324" i="64"/>
  <c r="P324" i="64"/>
  <c r="Q265" i="64"/>
  <c r="P265" i="64"/>
  <c r="Q266" i="64"/>
  <c r="P266" i="64"/>
  <c r="Q230" i="64"/>
  <c r="P230" i="64"/>
  <c r="Q231" i="64"/>
  <c r="P231" i="64"/>
  <c r="Q232" i="64"/>
  <c r="P232" i="64"/>
  <c r="Q233" i="64"/>
  <c r="P233" i="64"/>
  <c r="Q234" i="64"/>
  <c r="P234" i="64"/>
  <c r="D363" i="50"/>
  <c r="G363" i="50"/>
  <c r="K48" i="52"/>
  <c r="G82" i="50"/>
  <c r="F82" i="50"/>
  <c r="D92" i="50"/>
  <c r="E75" i="2"/>
  <c r="E73" i="2"/>
  <c r="E86" i="2"/>
  <c r="E87" i="2"/>
  <c r="C58" i="52"/>
  <c r="D181" i="52"/>
  <c r="F181" i="52"/>
  <c r="G40" i="52"/>
  <c r="C344" i="52"/>
  <c r="C155" i="52"/>
  <c r="Q235" i="64"/>
  <c r="P235" i="64"/>
  <c r="Q236" i="64"/>
  <c r="P236" i="64"/>
  <c r="K40" i="52"/>
  <c r="G374" i="50"/>
  <c r="F48" i="52"/>
  <c r="D185" i="52"/>
  <c r="F185" i="52"/>
  <c r="G39" i="52"/>
  <c r="C343" i="52"/>
  <c r="D184" i="52"/>
  <c r="F184" i="52"/>
  <c r="G41" i="52"/>
  <c r="C345" i="52"/>
  <c r="D186" i="52"/>
  <c r="F186" i="52"/>
  <c r="G45" i="52"/>
  <c r="C349" i="52"/>
  <c r="G43" i="52"/>
  <c r="C347" i="52"/>
  <c r="D188" i="52"/>
  <c r="F188" i="52"/>
  <c r="G42" i="52"/>
  <c r="C346" i="52"/>
  <c r="G38" i="52"/>
  <c r="C342" i="52"/>
  <c r="G30" i="52"/>
  <c r="C334" i="52"/>
  <c r="G47" i="52"/>
  <c r="C351" i="52"/>
  <c r="G35" i="52"/>
  <c r="C339" i="52"/>
  <c r="G37" i="52"/>
  <c r="C341" i="52"/>
  <c r="F33" i="52"/>
  <c r="F31" i="52"/>
  <c r="F32" i="52"/>
  <c r="D183" i="52"/>
  <c r="F183" i="52"/>
  <c r="G44" i="52"/>
  <c r="C348" i="52"/>
  <c r="C156" i="52"/>
  <c r="C158" i="52"/>
  <c r="G46" i="52"/>
  <c r="C350" i="52"/>
  <c r="E91" i="2"/>
  <c r="H132" i="2"/>
  <c r="E55" i="2"/>
  <c r="C25" i="52"/>
  <c r="E64" i="2"/>
  <c r="Q237" i="64"/>
  <c r="P237" i="64"/>
  <c r="K44" i="52"/>
  <c r="E82" i="2"/>
  <c r="H123" i="2"/>
  <c r="J47" i="52"/>
  <c r="E78" i="2"/>
  <c r="K46" i="52"/>
  <c r="E90" i="2"/>
  <c r="J35" i="52"/>
  <c r="E72" i="2"/>
  <c r="K39" i="52"/>
  <c r="K41" i="52"/>
  <c r="E83" i="2"/>
  <c r="K42" i="52"/>
  <c r="E84" i="2"/>
  <c r="I38" i="52"/>
  <c r="E66" i="2"/>
  <c r="K45" i="52"/>
  <c r="I30" i="52"/>
  <c r="I37" i="52"/>
  <c r="J43" i="52"/>
  <c r="C141" i="52"/>
  <c r="E141" i="52"/>
  <c r="C109" i="52"/>
  <c r="C111" i="52"/>
  <c r="G36" i="52"/>
  <c r="C340" i="52"/>
  <c r="D357" i="52"/>
  <c r="F30" i="52"/>
  <c r="F47" i="52"/>
  <c r="F41" i="52"/>
  <c r="F44" i="52"/>
  <c r="E81" i="2"/>
  <c r="F40" i="52"/>
  <c r="F42" i="52"/>
  <c r="F46" i="52"/>
  <c r="F35" i="52"/>
  <c r="E74" i="2"/>
  <c r="F43" i="52"/>
  <c r="F38" i="52"/>
  <c r="F37" i="52"/>
  <c r="E77" i="2"/>
  <c r="E88" i="2"/>
  <c r="E45" i="2"/>
  <c r="E13" i="2"/>
  <c r="E49" i="2"/>
  <c r="E51" i="2"/>
  <c r="E50" i="2"/>
  <c r="E54" i="2"/>
  <c r="E48" i="2"/>
  <c r="E47" i="2"/>
  <c r="E53" i="2"/>
  <c r="E42" i="2"/>
  <c r="E37" i="2"/>
  <c r="E44" i="2"/>
  <c r="E65" i="2"/>
  <c r="E68" i="2"/>
  <c r="F357" i="52"/>
  <c r="G357" i="52"/>
  <c r="E357" i="52"/>
  <c r="D368" i="52"/>
  <c r="E246" i="52"/>
  <c r="I34" i="52"/>
  <c r="G34" i="52"/>
  <c r="C338" i="52"/>
  <c r="D359" i="52"/>
  <c r="E145" i="52"/>
  <c r="F36" i="52"/>
  <c r="I36" i="52"/>
  <c r="E217" i="52"/>
  <c r="E67" i="2"/>
  <c r="E80" i="2"/>
  <c r="F39" i="52"/>
  <c r="E85" i="2"/>
  <c r="F45" i="52"/>
  <c r="E52" i="2"/>
  <c r="E46" i="2"/>
  <c r="E63" i="2"/>
  <c r="X232" i="50"/>
  <c r="E39" i="2"/>
  <c r="E40" i="2"/>
  <c r="E38" i="2"/>
  <c r="H85" i="50"/>
  <c r="H84" i="50"/>
  <c r="H83" i="50"/>
  <c r="G359" i="52"/>
  <c r="G364" i="52"/>
  <c r="G375" i="52"/>
  <c r="F359" i="52"/>
  <c r="E359" i="52"/>
  <c r="D378" i="52"/>
  <c r="C207" i="52"/>
  <c r="D370" i="52"/>
  <c r="H357" i="52"/>
  <c r="G368" i="52"/>
  <c r="I357" i="52"/>
  <c r="F368" i="52"/>
  <c r="E368" i="52"/>
  <c r="D364" i="52"/>
  <c r="D375" i="52"/>
  <c r="E253" i="52"/>
  <c r="F253" i="52"/>
  <c r="E252" i="52"/>
  <c r="F252" i="52"/>
  <c r="E247" i="52"/>
  <c r="F247" i="52"/>
  <c r="E248" i="52"/>
  <c r="F248" i="52"/>
  <c r="E249" i="52"/>
  <c r="F249" i="52"/>
  <c r="E250" i="52"/>
  <c r="F250" i="52"/>
  <c r="E251" i="52"/>
  <c r="F251" i="52"/>
  <c r="E225" i="52"/>
  <c r="F225" i="52"/>
  <c r="E221" i="52"/>
  <c r="F221" i="52"/>
  <c r="E226" i="52"/>
  <c r="F226" i="52"/>
  <c r="E218" i="52"/>
  <c r="F218" i="52"/>
  <c r="E224" i="52"/>
  <c r="F224" i="52"/>
  <c r="E227" i="52"/>
  <c r="F227" i="52"/>
  <c r="E219" i="52"/>
  <c r="F219" i="52"/>
  <c r="E222" i="52"/>
  <c r="F222" i="52"/>
  <c r="E220" i="52"/>
  <c r="F220" i="52"/>
  <c r="E223" i="52"/>
  <c r="F223" i="52"/>
  <c r="X235" i="50"/>
  <c r="F34" i="52"/>
  <c r="G42" i="79"/>
  <c r="E69" i="2"/>
  <c r="H112" i="2"/>
  <c r="E43" i="2"/>
  <c r="X229" i="50"/>
  <c r="X231" i="50"/>
  <c r="X230" i="50"/>
  <c r="X236" i="50"/>
  <c r="X237" i="50"/>
  <c r="X233" i="50"/>
  <c r="X234" i="50"/>
  <c r="H86" i="50"/>
  <c r="F83" i="50"/>
  <c r="G83" i="50"/>
  <c r="G85" i="50"/>
  <c r="F85" i="50"/>
  <c r="G84" i="50"/>
  <c r="F84" i="50"/>
  <c r="D93" i="50"/>
  <c r="D95" i="50"/>
  <c r="D94" i="50"/>
  <c r="E41" i="2"/>
  <c r="D365" i="52"/>
  <c r="G370" i="52"/>
  <c r="I359" i="52"/>
  <c r="H359" i="52"/>
  <c r="G379" i="52"/>
  <c r="G365" i="52"/>
  <c r="F370" i="52"/>
  <c r="E370" i="52"/>
  <c r="I368" i="52"/>
  <c r="H368" i="52"/>
  <c r="D379" i="52"/>
  <c r="C208" i="52"/>
  <c r="G378" i="52"/>
  <c r="K32" i="50"/>
  <c r="J32" i="50"/>
  <c r="K31" i="50"/>
  <c r="J31" i="50"/>
  <c r="I31" i="50"/>
  <c r="E70" i="2"/>
  <c r="H113" i="2"/>
  <c r="K49" i="52"/>
  <c r="I32" i="50"/>
  <c r="G86" i="50"/>
  <c r="F86" i="50"/>
  <c r="C29" i="2"/>
  <c r="I370" i="52"/>
  <c r="H370" i="52"/>
  <c r="G32" i="50"/>
  <c r="C336" i="50"/>
  <c r="G31" i="50"/>
  <c r="E304" i="52"/>
  <c r="J49" i="52"/>
  <c r="D374" i="50"/>
  <c r="E309" i="52"/>
  <c r="F309" i="52"/>
  <c r="E305" i="52"/>
  <c r="F305" i="52"/>
  <c r="E306" i="52"/>
  <c r="F306" i="52"/>
  <c r="L306" i="52"/>
  <c r="S305" i="52"/>
  <c r="E307" i="52"/>
  <c r="F307" i="52"/>
  <c r="E310" i="52"/>
  <c r="F310" i="52"/>
  <c r="E308" i="52"/>
  <c r="F308" i="52"/>
  <c r="E311" i="52"/>
  <c r="F311" i="52"/>
  <c r="I49" i="52"/>
  <c r="E275" i="52"/>
  <c r="L220" i="52"/>
  <c r="S219" i="52"/>
  <c r="K220" i="52"/>
  <c r="L225" i="52"/>
  <c r="S224" i="52"/>
  <c r="K225" i="52"/>
  <c r="L227" i="52"/>
  <c r="S226" i="52"/>
  <c r="K227" i="52"/>
  <c r="L223" i="52"/>
  <c r="S222" i="52"/>
  <c r="K223" i="52"/>
  <c r="L219" i="52"/>
  <c r="S218" i="52"/>
  <c r="K219" i="52"/>
  <c r="L221" i="52"/>
  <c r="S220" i="52"/>
  <c r="K221" i="52"/>
  <c r="L226" i="52"/>
  <c r="S225" i="52"/>
  <c r="K226" i="52"/>
  <c r="L224" i="52"/>
  <c r="S223" i="52"/>
  <c r="K224" i="52"/>
  <c r="L222" i="52"/>
  <c r="S221" i="52"/>
  <c r="K222" i="52"/>
  <c r="L218" i="52"/>
  <c r="S217" i="52"/>
  <c r="T217" i="52"/>
  <c r="K218" i="52"/>
  <c r="K306" i="52"/>
  <c r="M306" i="52"/>
  <c r="E281" i="52"/>
  <c r="F281" i="52"/>
  <c r="E277" i="52"/>
  <c r="F277" i="52"/>
  <c r="E282" i="52"/>
  <c r="F282" i="52"/>
  <c r="E280" i="52"/>
  <c r="F280" i="52"/>
  <c r="E278" i="52"/>
  <c r="F278" i="52"/>
  <c r="E279" i="52"/>
  <c r="F279" i="52"/>
  <c r="E276" i="52"/>
  <c r="F276" i="52"/>
  <c r="T219" i="52"/>
  <c r="T225" i="52"/>
  <c r="T220" i="52"/>
  <c r="T222" i="52"/>
  <c r="T223" i="52"/>
  <c r="K250" i="52"/>
  <c r="K248" i="52"/>
  <c r="K251" i="52"/>
  <c r="K249" i="52"/>
  <c r="L305" i="52"/>
  <c r="S304" i="52"/>
  <c r="L308" i="52"/>
  <c r="S307" i="52"/>
  <c r="K311" i="52"/>
  <c r="T221" i="52"/>
  <c r="T226" i="52"/>
  <c r="T227" i="52"/>
  <c r="L310" i="52"/>
  <c r="S309" i="52"/>
  <c r="K309" i="52"/>
  <c r="K247" i="52"/>
  <c r="L307" i="52"/>
  <c r="S306" i="52"/>
  <c r="T306" i="52"/>
  <c r="T224" i="52"/>
  <c r="T218" i="52"/>
  <c r="F49" i="52"/>
  <c r="C22" i="52"/>
  <c r="E10" i="2"/>
  <c r="L247" i="52"/>
  <c r="S246" i="52"/>
  <c r="T246" i="52"/>
  <c r="L253" i="52"/>
  <c r="S252" i="52"/>
  <c r="K253" i="52"/>
  <c r="L252" i="52"/>
  <c r="S251" i="52"/>
  <c r="K252" i="52"/>
  <c r="G49" i="52"/>
  <c r="E92" i="2"/>
  <c r="K305" i="52"/>
  <c r="K310" i="52"/>
  <c r="K308" i="52"/>
  <c r="L311" i="52"/>
  <c r="S310" i="52"/>
  <c r="K307" i="52"/>
  <c r="L309" i="52"/>
  <c r="S308" i="52"/>
  <c r="L249" i="52"/>
  <c r="S248" i="52"/>
  <c r="L250" i="52"/>
  <c r="S249" i="52"/>
  <c r="L251" i="52"/>
  <c r="S250" i="52"/>
  <c r="L248" i="52"/>
  <c r="S247" i="52"/>
  <c r="M224" i="52"/>
  <c r="M227" i="52"/>
  <c r="M226" i="52"/>
  <c r="M220" i="52"/>
  <c r="M218" i="52"/>
  <c r="M221" i="52"/>
  <c r="M223" i="52"/>
  <c r="M222" i="52"/>
  <c r="M219" i="52"/>
  <c r="M225" i="52"/>
  <c r="M305" i="52"/>
  <c r="O305" i="52"/>
  <c r="T249" i="52"/>
  <c r="M308" i="52"/>
  <c r="O308" i="52"/>
  <c r="M310" i="52"/>
  <c r="O310" i="52"/>
  <c r="T250" i="52"/>
  <c r="T247" i="52"/>
  <c r="T308" i="52"/>
  <c r="T252" i="52"/>
  <c r="T253" i="52"/>
  <c r="T311" i="52"/>
  <c r="T310" i="52"/>
  <c r="T309" i="52"/>
  <c r="T304" i="52"/>
  <c r="T305" i="52"/>
  <c r="T307" i="52"/>
  <c r="O222" i="52"/>
  <c r="O219" i="52"/>
  <c r="O225" i="52"/>
  <c r="O220" i="52"/>
  <c r="O227" i="52"/>
  <c r="O218" i="52"/>
  <c r="Q218" i="52"/>
  <c r="T248" i="52"/>
  <c r="M307" i="52"/>
  <c r="O226" i="52"/>
  <c r="T251" i="52"/>
  <c r="O306" i="52"/>
  <c r="O224" i="52"/>
  <c r="O221" i="52"/>
  <c r="O223" i="52"/>
  <c r="L282" i="52"/>
  <c r="S281" i="52"/>
  <c r="K282" i="52"/>
  <c r="L281" i="52"/>
  <c r="S280" i="52"/>
  <c r="K281" i="52"/>
  <c r="M247" i="52"/>
  <c r="M253" i="52"/>
  <c r="M252" i="52"/>
  <c r="H33" i="52"/>
  <c r="H43" i="52"/>
  <c r="H44" i="52"/>
  <c r="H46" i="52"/>
  <c r="H31" i="52"/>
  <c r="H40" i="52"/>
  <c r="H39" i="52"/>
  <c r="H41" i="52"/>
  <c r="H48" i="52"/>
  <c r="H37" i="52"/>
  <c r="H35" i="52"/>
  <c r="H34" i="52"/>
  <c r="H47" i="52"/>
  <c r="H30" i="52"/>
  <c r="H36" i="52"/>
  <c r="H32" i="52"/>
  <c r="H45" i="52"/>
  <c r="H38" i="52"/>
  <c r="H42" i="52"/>
  <c r="M309" i="52"/>
  <c r="M311" i="52"/>
  <c r="M249" i="52"/>
  <c r="M248" i="52"/>
  <c r="M251" i="52"/>
  <c r="M250" i="52"/>
  <c r="L277" i="52"/>
  <c r="S276" i="52"/>
  <c r="K277" i="52"/>
  <c r="L279" i="52"/>
  <c r="S278" i="52"/>
  <c r="K279" i="52"/>
  <c r="L280" i="52"/>
  <c r="S279" i="52"/>
  <c r="K280" i="52"/>
  <c r="L276" i="52"/>
  <c r="S275" i="52"/>
  <c r="T275" i="52"/>
  <c r="K276" i="52"/>
  <c r="L278" i="52"/>
  <c r="S277" i="52"/>
  <c r="K278" i="52"/>
  <c r="P218" i="52"/>
  <c r="Q219" i="52"/>
  <c r="Q305" i="52"/>
  <c r="R305" i="52"/>
  <c r="T279" i="52"/>
  <c r="R218" i="52"/>
  <c r="T277" i="52"/>
  <c r="T280" i="52"/>
  <c r="O309" i="52"/>
  <c r="T278" i="52"/>
  <c r="O248" i="52"/>
  <c r="T281" i="52"/>
  <c r="T282" i="52"/>
  <c r="O252" i="52"/>
  <c r="O307" i="52"/>
  <c r="O250" i="52"/>
  <c r="O311" i="52"/>
  <c r="O253" i="52"/>
  <c r="O251" i="52"/>
  <c r="O249" i="52"/>
  <c r="Q247" i="52"/>
  <c r="R247" i="52"/>
  <c r="O247" i="52"/>
  <c r="T276" i="52"/>
  <c r="X283" i="52"/>
  <c r="M282" i="52"/>
  <c r="M281" i="52"/>
  <c r="H49" i="52"/>
  <c r="M279" i="52"/>
  <c r="X246" i="52"/>
  <c r="M278" i="52"/>
  <c r="M276" i="52"/>
  <c r="M277" i="52"/>
  <c r="X217" i="52"/>
  <c r="X304" i="52"/>
  <c r="M280" i="52"/>
  <c r="C21" i="52"/>
  <c r="P219" i="52"/>
  <c r="Q220" i="52"/>
  <c r="R220" i="52"/>
  <c r="R219" i="52"/>
  <c r="P305" i="52"/>
  <c r="Q306" i="52"/>
  <c r="R306" i="52"/>
  <c r="O279" i="52"/>
  <c r="P247" i="52"/>
  <c r="O280" i="52"/>
  <c r="O278" i="52"/>
  <c r="O276" i="52"/>
  <c r="Q276" i="52"/>
  <c r="O277" i="52"/>
  <c r="O282" i="52"/>
  <c r="O281" i="52"/>
  <c r="X247" i="52"/>
  <c r="X312" i="52"/>
  <c r="X305" i="52"/>
  <c r="X228" i="52"/>
  <c r="X218" i="52"/>
  <c r="E9" i="2"/>
  <c r="G133" i="2"/>
  <c r="G135" i="2"/>
  <c r="P220" i="52"/>
  <c r="Q221" i="52"/>
  <c r="P221" i="52"/>
  <c r="P306" i="52"/>
  <c r="Q307" i="52"/>
  <c r="R307" i="52"/>
  <c r="Q248" i="52"/>
  <c r="R248" i="52"/>
  <c r="X248" i="52"/>
  <c r="P276" i="52"/>
  <c r="R276" i="52"/>
  <c r="X219" i="52"/>
  <c r="X306" i="52"/>
  <c r="X275" i="52"/>
  <c r="R221" i="52"/>
  <c r="Q222" i="52"/>
  <c r="R222" i="52"/>
  <c r="Q277" i="52"/>
  <c r="R277" i="52"/>
  <c r="P307" i="52"/>
  <c r="P248" i="52"/>
  <c r="X307" i="52"/>
  <c r="X276" i="52"/>
  <c r="D372" i="50"/>
  <c r="E372" i="50"/>
  <c r="G104" i="50"/>
  <c r="P222" i="52"/>
  <c r="P277" i="52"/>
  <c r="Q278" i="52"/>
  <c r="R278" i="52"/>
  <c r="Q308" i="52"/>
  <c r="R308" i="52"/>
  <c r="X308" i="52"/>
  <c r="Q249" i="52"/>
  <c r="R249" i="52"/>
  <c r="X249" i="52"/>
  <c r="X220" i="52"/>
  <c r="X277" i="52"/>
  <c r="I104" i="50"/>
  <c r="H104" i="50"/>
  <c r="C57" i="50"/>
  <c r="C192" i="50"/>
  <c r="C193" i="50"/>
  <c r="G48" i="50"/>
  <c r="C352" i="50"/>
  <c r="C175" i="50"/>
  <c r="C177" i="50"/>
  <c r="C47" i="50"/>
  <c r="C166" i="50"/>
  <c r="C163" i="50"/>
  <c r="C154" i="50"/>
  <c r="C89" i="2"/>
  <c r="C76" i="2"/>
  <c r="C9" i="50"/>
  <c r="Q223" i="52"/>
  <c r="R223" i="52"/>
  <c r="P249" i="52"/>
  <c r="P308" i="52"/>
  <c r="P278" i="52"/>
  <c r="K48" i="50"/>
  <c r="C91" i="2"/>
  <c r="C132" i="2"/>
  <c r="C55" i="2"/>
  <c r="C27" i="2"/>
  <c r="C62" i="50"/>
  <c r="C63" i="50"/>
  <c r="C65" i="50"/>
  <c r="C30" i="50"/>
  <c r="C121" i="50"/>
  <c r="C122" i="50"/>
  <c r="C124" i="50"/>
  <c r="C37" i="50"/>
  <c r="C23" i="2"/>
  <c r="C20" i="2"/>
  <c r="C167" i="50"/>
  <c r="C169" i="50"/>
  <c r="C35" i="50"/>
  <c r="C155" i="50"/>
  <c r="C58" i="50"/>
  <c r="G43" i="50"/>
  <c r="C347" i="50"/>
  <c r="P223" i="52"/>
  <c r="Q224" i="52"/>
  <c r="R224" i="52"/>
  <c r="Q250" i="52"/>
  <c r="R250" i="52"/>
  <c r="X250" i="52"/>
  <c r="Q309" i="52"/>
  <c r="R309" i="52"/>
  <c r="X309" i="52"/>
  <c r="Q279" i="52"/>
  <c r="R279" i="52"/>
  <c r="X279" i="52"/>
  <c r="X221" i="52"/>
  <c r="X278" i="52"/>
  <c r="F43" i="50"/>
  <c r="F33" i="50"/>
  <c r="F31" i="50"/>
  <c r="F32" i="50"/>
  <c r="F48" i="50"/>
  <c r="G47" i="50"/>
  <c r="C351" i="50"/>
  <c r="G35" i="50"/>
  <c r="C339" i="50"/>
  <c r="D188" i="50"/>
  <c r="C73" i="2"/>
  <c r="C86" i="2"/>
  <c r="G30" i="50"/>
  <c r="C125" i="50"/>
  <c r="G38" i="50"/>
  <c r="C25" i="50"/>
  <c r="D184" i="50"/>
  <c r="C75" i="2"/>
  <c r="C87" i="2"/>
  <c r="D183" i="50"/>
  <c r="D186" i="50"/>
  <c r="D185" i="50"/>
  <c r="D181" i="50"/>
  <c r="C68" i="2"/>
  <c r="D96" i="50"/>
  <c r="C156" i="50"/>
  <c r="C334" i="50"/>
  <c r="F30" i="50"/>
  <c r="F38" i="50"/>
  <c r="C342" i="50"/>
  <c r="P224" i="52"/>
  <c r="Q225" i="52"/>
  <c r="R225" i="52"/>
  <c r="P309" i="52"/>
  <c r="Q310" i="52"/>
  <c r="R310" i="52"/>
  <c r="X310" i="52"/>
  <c r="P250" i="52"/>
  <c r="P279" i="52"/>
  <c r="F185" i="50"/>
  <c r="G39" i="50"/>
  <c r="C343" i="50"/>
  <c r="I30" i="50"/>
  <c r="F181" i="50"/>
  <c r="G40" i="50"/>
  <c r="C158" i="50"/>
  <c r="G46" i="50"/>
  <c r="C109" i="50"/>
  <c r="C111" i="50"/>
  <c r="G36" i="50"/>
  <c r="C340" i="50"/>
  <c r="C141" i="50"/>
  <c r="E141" i="50"/>
  <c r="F184" i="50"/>
  <c r="G41" i="50"/>
  <c r="C345" i="50"/>
  <c r="F188" i="50"/>
  <c r="G42" i="50"/>
  <c r="C346" i="50"/>
  <c r="F183" i="50"/>
  <c r="G44" i="50"/>
  <c r="F186" i="50"/>
  <c r="G45" i="50"/>
  <c r="F35" i="50"/>
  <c r="F47" i="50"/>
  <c r="C65" i="2"/>
  <c r="C45" i="2"/>
  <c r="C88" i="2"/>
  <c r="C77" i="2"/>
  <c r="C64" i="2"/>
  <c r="I38" i="50"/>
  <c r="C54" i="2"/>
  <c r="C42" i="2"/>
  <c r="G37" i="50"/>
  <c r="C13" i="2"/>
  <c r="C37" i="2"/>
  <c r="J43" i="50"/>
  <c r="C74" i="2"/>
  <c r="C50" i="2"/>
  <c r="J35" i="50"/>
  <c r="J47" i="50"/>
  <c r="C78" i="2"/>
  <c r="K40" i="50"/>
  <c r="C81" i="2"/>
  <c r="C344" i="50"/>
  <c r="F37" i="50"/>
  <c r="C341" i="50"/>
  <c r="F46" i="50"/>
  <c r="C350" i="50"/>
  <c r="F44" i="50"/>
  <c r="C348" i="50"/>
  <c r="K45" i="50"/>
  <c r="C85" i="2"/>
  <c r="C349" i="50"/>
  <c r="P225" i="52"/>
  <c r="Q226" i="52"/>
  <c r="R226" i="52"/>
  <c r="Q251" i="52"/>
  <c r="R251" i="52"/>
  <c r="X251" i="52"/>
  <c r="P310" i="52"/>
  <c r="Q280" i="52"/>
  <c r="R280" i="52"/>
  <c r="X222" i="52"/>
  <c r="K46" i="50"/>
  <c r="C90" i="2"/>
  <c r="F45" i="50"/>
  <c r="F41" i="50"/>
  <c r="F40" i="50"/>
  <c r="F39" i="50"/>
  <c r="K44" i="50"/>
  <c r="C82" i="2"/>
  <c r="C51" i="2"/>
  <c r="F42" i="50"/>
  <c r="C47" i="2"/>
  <c r="K41" i="50"/>
  <c r="C83" i="2"/>
  <c r="I34" i="50"/>
  <c r="G34" i="50"/>
  <c r="C338" i="50"/>
  <c r="E145" i="50"/>
  <c r="C48" i="2"/>
  <c r="C66" i="2"/>
  <c r="C72" i="2"/>
  <c r="I36" i="50"/>
  <c r="E217" i="50"/>
  <c r="F36" i="50"/>
  <c r="C63" i="2"/>
  <c r="C49" i="2"/>
  <c r="C52" i="2"/>
  <c r="C53" i="2"/>
  <c r="K42" i="50"/>
  <c r="C84" i="2"/>
  <c r="D360" i="50"/>
  <c r="G360" i="50"/>
  <c r="K39" i="50"/>
  <c r="C46" i="2"/>
  <c r="D358" i="50"/>
  <c r="G358" i="50"/>
  <c r="C44" i="2"/>
  <c r="I37" i="50"/>
  <c r="E246" i="50"/>
  <c r="C43" i="2"/>
  <c r="C38" i="2"/>
  <c r="C40" i="2"/>
  <c r="C39" i="2"/>
  <c r="E255" i="50"/>
  <c r="F255" i="50"/>
  <c r="E254" i="50"/>
  <c r="F254" i="50"/>
  <c r="E256" i="50"/>
  <c r="F256" i="50"/>
  <c r="E225" i="50"/>
  <c r="F225" i="50"/>
  <c r="E222" i="50"/>
  <c r="F222" i="50"/>
  <c r="E218" i="50"/>
  <c r="F218" i="50"/>
  <c r="E221" i="50"/>
  <c r="F221" i="50"/>
  <c r="E224" i="50"/>
  <c r="F224" i="50"/>
  <c r="E223" i="50"/>
  <c r="F223" i="50"/>
  <c r="E220" i="50"/>
  <c r="F220" i="50"/>
  <c r="E219" i="50"/>
  <c r="F219" i="50"/>
  <c r="E227" i="50"/>
  <c r="F227" i="50"/>
  <c r="E226" i="50"/>
  <c r="F226" i="50"/>
  <c r="E250" i="50"/>
  <c r="F250" i="50"/>
  <c r="E249" i="50"/>
  <c r="F249" i="50"/>
  <c r="E248" i="50"/>
  <c r="F248" i="50"/>
  <c r="E253" i="50"/>
  <c r="F253" i="50"/>
  <c r="E252" i="50"/>
  <c r="F252" i="50"/>
  <c r="E251" i="50"/>
  <c r="F251" i="50"/>
  <c r="E247" i="50"/>
  <c r="F247" i="50"/>
  <c r="P226" i="52"/>
  <c r="Q227" i="52"/>
  <c r="R227" i="52"/>
  <c r="P251" i="52"/>
  <c r="Q311" i="52"/>
  <c r="R311" i="52"/>
  <c r="X311" i="52"/>
  <c r="X325" i="52"/>
  <c r="C23" i="52"/>
  <c r="C24" i="52"/>
  <c r="E12" i="2"/>
  <c r="P280" i="52"/>
  <c r="X280" i="52"/>
  <c r="D357" i="50"/>
  <c r="G357" i="50"/>
  <c r="D369" i="50"/>
  <c r="E369" i="50"/>
  <c r="D371" i="50"/>
  <c r="E371" i="50"/>
  <c r="F34" i="50"/>
  <c r="G40" i="79"/>
  <c r="G49" i="50"/>
  <c r="C70" i="2"/>
  <c r="C113" i="2"/>
  <c r="C67" i="2"/>
  <c r="C80" i="2"/>
  <c r="F360" i="50"/>
  <c r="E360" i="50"/>
  <c r="D359" i="50"/>
  <c r="G359" i="50"/>
  <c r="C69" i="2"/>
  <c r="L255" i="50"/>
  <c r="S254" i="50"/>
  <c r="K255" i="50"/>
  <c r="L256" i="50"/>
  <c r="S255" i="50"/>
  <c r="K256" i="50"/>
  <c r="L254" i="50"/>
  <c r="S253" i="50"/>
  <c r="K254" i="50"/>
  <c r="P227" i="52"/>
  <c r="P228" i="52"/>
  <c r="Q229" i="52"/>
  <c r="P229" i="52"/>
  <c r="Q230" i="52"/>
  <c r="P230" i="52"/>
  <c r="Q231" i="52"/>
  <c r="P231" i="52"/>
  <c r="Q232" i="52"/>
  <c r="P232" i="52"/>
  <c r="P311" i="52"/>
  <c r="P312" i="52"/>
  <c r="Q313" i="52"/>
  <c r="P313" i="52"/>
  <c r="Q314" i="52"/>
  <c r="P314" i="52"/>
  <c r="Q315" i="52"/>
  <c r="P315" i="52"/>
  <c r="Q316" i="52"/>
  <c r="P316" i="52"/>
  <c r="Q317" i="52"/>
  <c r="P317" i="52"/>
  <c r="Q252" i="52"/>
  <c r="R252" i="52"/>
  <c r="X252" i="52"/>
  <c r="Q281" i="52"/>
  <c r="R281" i="52"/>
  <c r="X223" i="52"/>
  <c r="X326" i="52"/>
  <c r="L218" i="50"/>
  <c r="S217" i="50"/>
  <c r="K218" i="50"/>
  <c r="G368" i="50"/>
  <c r="I357" i="50"/>
  <c r="H357" i="50"/>
  <c r="G371" i="50"/>
  <c r="I360" i="50"/>
  <c r="H360" i="50"/>
  <c r="F371" i="50"/>
  <c r="G370" i="50"/>
  <c r="I359" i="50"/>
  <c r="H359" i="50"/>
  <c r="G369" i="50"/>
  <c r="H358" i="50"/>
  <c r="I358" i="50"/>
  <c r="D368" i="50"/>
  <c r="D364" i="50"/>
  <c r="D379" i="50"/>
  <c r="F369" i="50"/>
  <c r="G378" i="50"/>
  <c r="G364" i="50"/>
  <c r="G375" i="50"/>
  <c r="C92" i="2"/>
  <c r="C41" i="2"/>
  <c r="C56" i="2"/>
  <c r="M254" i="50"/>
  <c r="O254" i="50"/>
  <c r="T256" i="50"/>
  <c r="T255" i="50"/>
  <c r="M255" i="50"/>
  <c r="M256" i="50"/>
  <c r="P281" i="52"/>
  <c r="Q282" i="52"/>
  <c r="R282" i="52"/>
  <c r="Q233" i="52"/>
  <c r="P233" i="52"/>
  <c r="Q234" i="52"/>
  <c r="P234" i="52"/>
  <c r="Q235" i="52"/>
  <c r="P235" i="52"/>
  <c r="Q236" i="52"/>
  <c r="P236" i="52"/>
  <c r="Q237" i="52"/>
  <c r="P237" i="52"/>
  <c r="Q318" i="52"/>
  <c r="P318" i="52"/>
  <c r="Q319" i="52"/>
  <c r="P319" i="52"/>
  <c r="Q320" i="52"/>
  <c r="P320" i="52"/>
  <c r="Q321" i="52"/>
  <c r="P321" i="52"/>
  <c r="Q322" i="52"/>
  <c r="P322" i="52"/>
  <c r="P252" i="52"/>
  <c r="M218" i="50"/>
  <c r="T217" i="50"/>
  <c r="X217" i="50"/>
  <c r="X281" i="52"/>
  <c r="X224" i="52"/>
  <c r="I368" i="50"/>
  <c r="H368" i="50"/>
  <c r="H369" i="50"/>
  <c r="I369" i="50"/>
  <c r="I371" i="50"/>
  <c r="H371" i="50"/>
  <c r="H370" i="50"/>
  <c r="I370" i="50"/>
  <c r="G365" i="50"/>
  <c r="G379" i="50"/>
  <c r="X254" i="52"/>
  <c r="I49" i="50"/>
  <c r="E275" i="50"/>
  <c r="E284" i="50"/>
  <c r="F284" i="50"/>
  <c r="E283" i="50"/>
  <c r="F283" i="50"/>
  <c r="E285" i="50"/>
  <c r="F285" i="50"/>
  <c r="O256" i="50"/>
  <c r="O255" i="50"/>
  <c r="E280" i="50"/>
  <c r="F280" i="50"/>
  <c r="E276" i="50"/>
  <c r="F276" i="50"/>
  <c r="E279" i="50"/>
  <c r="F279" i="50"/>
  <c r="E282" i="50"/>
  <c r="F282" i="50"/>
  <c r="E281" i="50"/>
  <c r="F281" i="50"/>
  <c r="E278" i="50"/>
  <c r="F278" i="50"/>
  <c r="E277" i="50"/>
  <c r="F277" i="50"/>
  <c r="Q323" i="52"/>
  <c r="P323" i="52"/>
  <c r="Q324" i="52"/>
  <c r="P324" i="52"/>
  <c r="P282" i="52"/>
  <c r="P283" i="52"/>
  <c r="Q284" i="52"/>
  <c r="P284" i="52"/>
  <c r="Q285" i="52"/>
  <c r="P285" i="52"/>
  <c r="Q286" i="52"/>
  <c r="P286" i="52"/>
  <c r="Q287" i="52"/>
  <c r="P287" i="52"/>
  <c r="Q253" i="52"/>
  <c r="R253" i="52"/>
  <c r="X253" i="52"/>
  <c r="X267" i="52"/>
  <c r="Q218" i="50"/>
  <c r="R218" i="50"/>
  <c r="O218" i="50"/>
  <c r="L252" i="50"/>
  <c r="S251" i="50"/>
  <c r="K252" i="50"/>
  <c r="E304" i="50"/>
  <c r="K49" i="50"/>
  <c r="E314" i="50"/>
  <c r="F314" i="50"/>
  <c r="E313" i="50"/>
  <c r="F313" i="50"/>
  <c r="E312" i="50"/>
  <c r="F312" i="50"/>
  <c r="L284" i="50"/>
  <c r="S283" i="50"/>
  <c r="K284" i="50"/>
  <c r="L283" i="50"/>
  <c r="S282" i="50"/>
  <c r="K283" i="50"/>
  <c r="L285" i="50"/>
  <c r="S284" i="50"/>
  <c r="K285" i="50"/>
  <c r="E308" i="50"/>
  <c r="F308" i="50"/>
  <c r="E307" i="50"/>
  <c r="F307" i="50"/>
  <c r="E306" i="50"/>
  <c r="F306" i="50"/>
  <c r="E311" i="50"/>
  <c r="F311" i="50"/>
  <c r="E310" i="50"/>
  <c r="F310" i="50"/>
  <c r="E309" i="50"/>
  <c r="F309" i="50"/>
  <c r="E305" i="50"/>
  <c r="F305" i="50"/>
  <c r="X268" i="52"/>
  <c r="Q288" i="52"/>
  <c r="P288" i="52"/>
  <c r="P253" i="52"/>
  <c r="P254" i="52"/>
  <c r="Q255" i="52"/>
  <c r="P255" i="52"/>
  <c r="Q256" i="52"/>
  <c r="P256" i="52"/>
  <c r="Q257" i="52"/>
  <c r="P257" i="52"/>
  <c r="M252" i="50"/>
  <c r="P218" i="50"/>
  <c r="X282" i="52"/>
  <c r="X296" i="52"/>
  <c r="L282" i="50"/>
  <c r="S281" i="50"/>
  <c r="K282" i="50"/>
  <c r="L281" i="50"/>
  <c r="S280" i="50"/>
  <c r="K281" i="50"/>
  <c r="X225" i="52"/>
  <c r="L249" i="50"/>
  <c r="S248" i="50"/>
  <c r="K249" i="50"/>
  <c r="L221" i="50"/>
  <c r="S220" i="50"/>
  <c r="K221" i="50"/>
  <c r="L220" i="50"/>
  <c r="S219" i="50"/>
  <c r="K220" i="50"/>
  <c r="L253" i="50"/>
  <c r="S252" i="50"/>
  <c r="K253" i="50"/>
  <c r="L226" i="50"/>
  <c r="S225" i="50"/>
  <c r="K226" i="50"/>
  <c r="L225" i="50"/>
  <c r="S224" i="50"/>
  <c r="K225" i="50"/>
  <c r="L251" i="50"/>
  <c r="K251" i="50"/>
  <c r="L224" i="50"/>
  <c r="S223" i="50"/>
  <c r="K224" i="50"/>
  <c r="L248" i="50"/>
  <c r="S247" i="50"/>
  <c r="K248" i="50"/>
  <c r="L223" i="50"/>
  <c r="S222" i="50"/>
  <c r="K223" i="50"/>
  <c r="L247" i="50"/>
  <c r="S246" i="50"/>
  <c r="K247" i="50"/>
  <c r="L222" i="50"/>
  <c r="S221" i="50"/>
  <c r="K222" i="50"/>
  <c r="L219" i="50"/>
  <c r="K219" i="50"/>
  <c r="L250" i="50"/>
  <c r="S249" i="50"/>
  <c r="K250" i="50"/>
  <c r="L227" i="50"/>
  <c r="S226" i="50"/>
  <c r="K227" i="50"/>
  <c r="J49" i="50"/>
  <c r="M285" i="50"/>
  <c r="O285" i="50"/>
  <c r="L313" i="50"/>
  <c r="S312" i="50"/>
  <c r="K313" i="50"/>
  <c r="L312" i="50"/>
  <c r="S311" i="50"/>
  <c r="K312" i="50"/>
  <c r="L314" i="50"/>
  <c r="S313" i="50"/>
  <c r="K314" i="50"/>
  <c r="T284" i="50"/>
  <c r="T285" i="50"/>
  <c r="M284" i="50"/>
  <c r="M283" i="50"/>
  <c r="Q258" i="52"/>
  <c r="P258" i="52"/>
  <c r="Q259" i="52"/>
  <c r="P259" i="52"/>
  <c r="Q260" i="52"/>
  <c r="P260" i="52"/>
  <c r="Q261" i="52"/>
  <c r="P261" i="52"/>
  <c r="Q289" i="52"/>
  <c r="P289" i="52"/>
  <c r="Q290" i="52"/>
  <c r="P290" i="52"/>
  <c r="O252" i="50"/>
  <c r="M250" i="50"/>
  <c r="M223" i="50"/>
  <c r="M225" i="50"/>
  <c r="M221" i="50"/>
  <c r="M281" i="50"/>
  <c r="M219" i="50"/>
  <c r="M226" i="50"/>
  <c r="M249" i="50"/>
  <c r="M282" i="50"/>
  <c r="M227" i="50"/>
  <c r="M247" i="50"/>
  <c r="M251" i="50"/>
  <c r="M220" i="50"/>
  <c r="O220" i="50"/>
  <c r="M248" i="50"/>
  <c r="M222" i="50"/>
  <c r="M224" i="50"/>
  <c r="M253" i="50"/>
  <c r="T246" i="50"/>
  <c r="S218" i="50"/>
  <c r="T218" i="50"/>
  <c r="X218" i="50"/>
  <c r="S250" i="50"/>
  <c r="T250" i="50"/>
  <c r="X297" i="52"/>
  <c r="T223" i="50"/>
  <c r="T249" i="50"/>
  <c r="T247" i="50"/>
  <c r="T220" i="50"/>
  <c r="T282" i="50"/>
  <c r="T283" i="50"/>
  <c r="X226" i="52"/>
  <c r="T221" i="50"/>
  <c r="T224" i="50"/>
  <c r="T252" i="50"/>
  <c r="L306" i="50"/>
  <c r="S305" i="50"/>
  <c r="K306" i="50"/>
  <c r="L305" i="50"/>
  <c r="S304" i="50"/>
  <c r="K305" i="50"/>
  <c r="T222" i="50"/>
  <c r="L309" i="50"/>
  <c r="S308" i="50"/>
  <c r="K309" i="50"/>
  <c r="L311" i="50"/>
  <c r="S310" i="50"/>
  <c r="K311" i="50"/>
  <c r="T225" i="50"/>
  <c r="T248" i="50"/>
  <c r="L308" i="50"/>
  <c r="S307" i="50"/>
  <c r="K308" i="50"/>
  <c r="L307" i="50"/>
  <c r="S306" i="50"/>
  <c r="K307" i="50"/>
  <c r="L310" i="50"/>
  <c r="S309" i="50"/>
  <c r="K310" i="50"/>
  <c r="T226" i="50"/>
  <c r="F49" i="50"/>
  <c r="C22" i="50"/>
  <c r="C10" i="2"/>
  <c r="M314" i="50"/>
  <c r="O314" i="50"/>
  <c r="T313" i="50"/>
  <c r="T314" i="50"/>
  <c r="M313" i="50"/>
  <c r="M312" i="50"/>
  <c r="O284" i="50"/>
  <c r="O283" i="50"/>
  <c r="Q291" i="52"/>
  <c r="P291" i="52"/>
  <c r="Q292" i="52"/>
  <c r="P292" i="52"/>
  <c r="Q262" i="52"/>
  <c r="P262" i="52"/>
  <c r="Q263" i="52"/>
  <c r="P263" i="52"/>
  <c r="Q264" i="52"/>
  <c r="P264" i="52"/>
  <c r="Q265" i="52"/>
  <c r="P265" i="52"/>
  <c r="Q266" i="52"/>
  <c r="P266" i="52"/>
  <c r="O253" i="50"/>
  <c r="O247" i="50"/>
  <c r="O222" i="50"/>
  <c r="O249" i="50"/>
  <c r="O251" i="50"/>
  <c r="Q219" i="50"/>
  <c r="R219" i="50"/>
  <c r="M310" i="50"/>
  <c r="M311" i="50"/>
  <c r="M306" i="50"/>
  <c r="M305" i="50"/>
  <c r="M308" i="50"/>
  <c r="M307" i="50"/>
  <c r="M309" i="50"/>
  <c r="O309" i="50"/>
  <c r="O227" i="50"/>
  <c r="T219" i="50"/>
  <c r="T304" i="50"/>
  <c r="T251" i="50"/>
  <c r="Q247" i="50"/>
  <c r="R247" i="50"/>
  <c r="T309" i="50"/>
  <c r="O219" i="50"/>
  <c r="T307" i="50"/>
  <c r="T305" i="50"/>
  <c r="O281" i="50"/>
  <c r="O282" i="50"/>
  <c r="X227" i="52"/>
  <c r="X238" i="52"/>
  <c r="T310" i="50"/>
  <c r="L280" i="50"/>
  <c r="S279" i="50"/>
  <c r="K280" i="50"/>
  <c r="O221" i="50"/>
  <c r="L278" i="50"/>
  <c r="S277" i="50"/>
  <c r="K278" i="50"/>
  <c r="T306" i="50"/>
  <c r="T308" i="50"/>
  <c r="T227" i="50"/>
  <c r="T228" i="50"/>
  <c r="L277" i="50"/>
  <c r="S276" i="50"/>
  <c r="K277" i="50"/>
  <c r="O225" i="50"/>
  <c r="T253" i="50"/>
  <c r="T254" i="50"/>
  <c r="L279" i="50"/>
  <c r="S278" i="50"/>
  <c r="K279" i="50"/>
  <c r="O224" i="50"/>
  <c r="L276" i="50"/>
  <c r="S275" i="50"/>
  <c r="K276" i="50"/>
  <c r="O248" i="50"/>
  <c r="O223" i="50"/>
  <c r="O250" i="50"/>
  <c r="O226" i="50"/>
  <c r="O313" i="50"/>
  <c r="O312" i="50"/>
  <c r="Q293" i="52"/>
  <c r="P293" i="52"/>
  <c r="Q294" i="52"/>
  <c r="P294" i="52"/>
  <c r="Q295" i="52"/>
  <c r="P295" i="52"/>
  <c r="O305" i="50"/>
  <c r="O311" i="50"/>
  <c r="P219" i="50"/>
  <c r="Q220" i="50"/>
  <c r="R220" i="50"/>
  <c r="O307" i="50"/>
  <c r="M280" i="50"/>
  <c r="M279" i="50"/>
  <c r="M276" i="50"/>
  <c r="M277" i="50"/>
  <c r="M278" i="50"/>
  <c r="T275" i="50"/>
  <c r="P247" i="50"/>
  <c r="Q248" i="50"/>
  <c r="R248" i="50"/>
  <c r="Q305" i="50"/>
  <c r="T278" i="50"/>
  <c r="T276" i="50"/>
  <c r="X239" i="52"/>
  <c r="C209" i="52"/>
  <c r="O308" i="50"/>
  <c r="O310" i="50"/>
  <c r="T311" i="50"/>
  <c r="T312" i="50"/>
  <c r="O306" i="50"/>
  <c r="T277" i="50"/>
  <c r="T279" i="50"/>
  <c r="P305" i="50"/>
  <c r="Q306" i="50"/>
  <c r="R306" i="50"/>
  <c r="R305" i="50"/>
  <c r="O280" i="50"/>
  <c r="O276" i="50"/>
  <c r="O278" i="50"/>
  <c r="Q276" i="50"/>
  <c r="R276" i="50"/>
  <c r="P248" i="50"/>
  <c r="Q249" i="50"/>
  <c r="R249" i="50"/>
  <c r="O277" i="50"/>
  <c r="O279" i="50"/>
  <c r="P220" i="50"/>
  <c r="T280" i="50"/>
  <c r="T281" i="50"/>
  <c r="C21" i="50"/>
  <c r="H31" i="50"/>
  <c r="H30" i="50"/>
  <c r="X275" i="50"/>
  <c r="X246" i="50"/>
  <c r="H38" i="50"/>
  <c r="H39" i="50"/>
  <c r="H35" i="50"/>
  <c r="H48" i="50"/>
  <c r="H47" i="50"/>
  <c r="H36" i="50"/>
  <c r="H46" i="50"/>
  <c r="H45" i="50"/>
  <c r="H41" i="50"/>
  <c r="H32" i="50"/>
  <c r="H43" i="50"/>
  <c r="H42" i="50"/>
  <c r="H37" i="50"/>
  <c r="H44" i="50"/>
  <c r="H40" i="50"/>
  <c r="H33" i="50"/>
  <c r="H34" i="50"/>
  <c r="C9" i="2"/>
  <c r="P276" i="50"/>
  <c r="Q277" i="50"/>
  <c r="R277" i="50"/>
  <c r="P249" i="50"/>
  <c r="P306" i="50"/>
  <c r="Q307" i="50"/>
  <c r="R307" i="50"/>
  <c r="Q221" i="50"/>
  <c r="R221" i="50"/>
  <c r="D370" i="50"/>
  <c r="E370" i="50"/>
  <c r="X276" i="50"/>
  <c r="X304" i="50"/>
  <c r="H49" i="50"/>
  <c r="P277" i="50"/>
  <c r="Q278" i="50"/>
  <c r="R278" i="50"/>
  <c r="Q250" i="50"/>
  <c r="R250" i="50"/>
  <c r="P307" i="50"/>
  <c r="P221" i="50"/>
  <c r="D375" i="50"/>
  <c r="F370" i="50"/>
  <c r="X305" i="50"/>
  <c r="F358" i="50"/>
  <c r="E358" i="50"/>
  <c r="E361" i="50"/>
  <c r="P250" i="50"/>
  <c r="Q251" i="50"/>
  <c r="R251" i="50"/>
  <c r="Q308" i="50"/>
  <c r="R308" i="50"/>
  <c r="Q222" i="50"/>
  <c r="R222" i="50"/>
  <c r="P278" i="50"/>
  <c r="D365" i="50"/>
  <c r="X277" i="50"/>
  <c r="C208" i="50"/>
  <c r="F368" i="50"/>
  <c r="E368" i="50"/>
  <c r="E359" i="50"/>
  <c r="F359" i="50"/>
  <c r="F357" i="50"/>
  <c r="E357" i="50"/>
  <c r="P251" i="50"/>
  <c r="Q252" i="50"/>
  <c r="R252" i="50"/>
  <c r="P308" i="50"/>
  <c r="P222" i="50"/>
  <c r="Q279" i="50"/>
  <c r="R279" i="50"/>
  <c r="X306" i="50"/>
  <c r="D378" i="50"/>
  <c r="C207" i="50"/>
  <c r="P252" i="50"/>
  <c r="Q253" i="50"/>
  <c r="R253" i="50"/>
  <c r="Q309" i="50"/>
  <c r="R309" i="50"/>
  <c r="Q223" i="50"/>
  <c r="R223" i="50"/>
  <c r="P279" i="50"/>
  <c r="X252" i="50"/>
  <c r="X278" i="50"/>
  <c r="X307" i="50"/>
  <c r="P309" i="50"/>
  <c r="P253" i="50"/>
  <c r="P223" i="50"/>
  <c r="Q280" i="50"/>
  <c r="R280" i="50"/>
  <c r="X279" i="50"/>
  <c r="X308" i="50"/>
  <c r="Q254" i="50"/>
  <c r="R254" i="50"/>
  <c r="Q310" i="50"/>
  <c r="R310" i="50"/>
  <c r="P280" i="50"/>
  <c r="Q224" i="50"/>
  <c r="R224" i="50"/>
  <c r="X280" i="50"/>
  <c r="X228" i="50"/>
  <c r="X257" i="50"/>
  <c r="X247" i="50"/>
  <c r="X249" i="50"/>
  <c r="X251" i="50"/>
  <c r="P254" i="50"/>
  <c r="Q255" i="50"/>
  <c r="R255" i="50"/>
  <c r="X255" i="50"/>
  <c r="P310" i="50"/>
  <c r="Q281" i="50"/>
  <c r="P224" i="50"/>
  <c r="X309" i="50"/>
  <c r="X254" i="50"/>
  <c r="X253" i="50"/>
  <c r="X248" i="50"/>
  <c r="X250" i="50"/>
  <c r="P255" i="50"/>
  <c r="Q256" i="50"/>
  <c r="R256" i="50"/>
  <c r="X256" i="50"/>
  <c r="R281" i="50"/>
  <c r="X281" i="50"/>
  <c r="P281" i="50"/>
  <c r="Q282" i="50"/>
  <c r="Q311" i="50"/>
  <c r="R311" i="50"/>
  <c r="Q225" i="50"/>
  <c r="R225" i="50"/>
  <c r="X267" i="50"/>
  <c r="X268" i="50"/>
  <c r="P256" i="50"/>
  <c r="R282" i="50"/>
  <c r="X282" i="50"/>
  <c r="P225" i="50"/>
  <c r="Q226" i="50"/>
  <c r="P311" i="50"/>
  <c r="P282" i="50"/>
  <c r="X311" i="50"/>
  <c r="X310" i="50"/>
  <c r="Q257" i="50"/>
  <c r="P257" i="50"/>
  <c r="Q258" i="50"/>
  <c r="P258" i="50"/>
  <c r="Q259" i="50"/>
  <c r="P259" i="50"/>
  <c r="Q260" i="50"/>
  <c r="P260" i="50"/>
  <c r="Q312" i="50"/>
  <c r="R312" i="50"/>
  <c r="X312" i="50"/>
  <c r="Q283" i="50"/>
  <c r="R283" i="50"/>
  <c r="X283" i="50"/>
  <c r="R226" i="50"/>
  <c r="X226" i="50"/>
  <c r="P226" i="50"/>
  <c r="P283" i="50"/>
  <c r="Q284" i="50"/>
  <c r="R284" i="50"/>
  <c r="X284" i="50"/>
  <c r="P312" i="50"/>
  <c r="Q313" i="50"/>
  <c r="Q261" i="50"/>
  <c r="P261" i="50"/>
  <c r="Q227" i="50"/>
  <c r="P284" i="50"/>
  <c r="Q285" i="50"/>
  <c r="R285" i="50"/>
  <c r="X285" i="50"/>
  <c r="X297" i="50"/>
  <c r="P313" i="50"/>
  <c r="Q314" i="50"/>
  <c r="R313" i="50"/>
  <c r="X313" i="50"/>
  <c r="R227" i="50"/>
  <c r="X227" i="50"/>
  <c r="Q262" i="50"/>
  <c r="P262" i="50"/>
  <c r="P227" i="50"/>
  <c r="P228" i="50"/>
  <c r="X223" i="50"/>
  <c r="P314" i="50"/>
  <c r="R314" i="50"/>
  <c r="X314" i="50"/>
  <c r="X325" i="50"/>
  <c r="C23" i="50"/>
  <c r="C24" i="50"/>
  <c r="C12" i="2"/>
  <c r="P285" i="50"/>
  <c r="X296" i="50"/>
  <c r="Q263" i="50"/>
  <c r="P263" i="50"/>
  <c r="Q229" i="50"/>
  <c r="P229" i="50"/>
  <c r="X224" i="50"/>
  <c r="Q315" i="50"/>
  <c r="P315" i="50"/>
  <c r="Q316" i="50"/>
  <c r="P316" i="50"/>
  <c r="Q317" i="50"/>
  <c r="P317" i="50"/>
  <c r="Q318" i="50"/>
  <c r="P318" i="50"/>
  <c r="Q319" i="50"/>
  <c r="P319" i="50"/>
  <c r="Q320" i="50"/>
  <c r="P320" i="50"/>
  <c r="Q321" i="50"/>
  <c r="P321" i="50"/>
  <c r="Q286" i="50"/>
  <c r="P286" i="50"/>
  <c r="Q287" i="50"/>
  <c r="P287" i="50"/>
  <c r="Q288" i="50"/>
  <c r="P288" i="50"/>
  <c r="Q289" i="50"/>
  <c r="P289" i="50"/>
  <c r="Q290" i="50"/>
  <c r="P290" i="50"/>
  <c r="X326" i="50"/>
  <c r="Q264" i="50"/>
  <c r="P264" i="50"/>
  <c r="Q230" i="50"/>
  <c r="P230" i="50"/>
  <c r="X225" i="50"/>
  <c r="Q265" i="50"/>
  <c r="P265" i="50"/>
  <c r="Q231" i="50"/>
  <c r="P231" i="50"/>
  <c r="Q322" i="50"/>
  <c r="P322" i="50"/>
  <c r="Q291" i="50"/>
  <c r="P291" i="50"/>
  <c r="Q292" i="50"/>
  <c r="P292" i="50"/>
  <c r="Q266" i="50"/>
  <c r="P266" i="50"/>
  <c r="Q323" i="50"/>
  <c r="P323" i="50"/>
  <c r="Q232" i="50"/>
  <c r="P232" i="50"/>
  <c r="B123" i="2"/>
  <c r="B124" i="2"/>
  <c r="B125" i="2"/>
  <c r="B126" i="2"/>
  <c r="B127" i="2"/>
  <c r="B128" i="2"/>
  <c r="B129" i="2"/>
  <c r="B130" i="2"/>
  <c r="B131" i="2"/>
  <c r="B122" i="2"/>
  <c r="B121" i="2"/>
  <c r="B116" i="2"/>
  <c r="B117" i="2"/>
  <c r="B118" i="2"/>
  <c r="B119" i="2"/>
  <c r="B120" i="2"/>
  <c r="B115" i="2"/>
  <c r="B114" i="2"/>
  <c r="B111" i="2"/>
  <c r="B112" i="2"/>
  <c r="Q233" i="50"/>
  <c r="P233" i="50"/>
  <c r="Q324" i="50"/>
  <c r="P324" i="50"/>
  <c r="Q293" i="50"/>
  <c r="P293" i="50"/>
  <c r="E136" i="2"/>
  <c r="F136" i="2"/>
  <c r="G136" i="2"/>
  <c r="Q234" i="50"/>
  <c r="P234" i="50"/>
  <c r="Q294" i="50"/>
  <c r="P294" i="50"/>
  <c r="H106" i="2"/>
  <c r="Q295" i="50"/>
  <c r="P295" i="50"/>
  <c r="Q235" i="50"/>
  <c r="P235" i="50"/>
  <c r="W12" i="2"/>
  <c r="Q236" i="50"/>
  <c r="P236" i="50"/>
  <c r="W13" i="2"/>
  <c r="D131" i="2"/>
  <c r="Q237" i="50"/>
  <c r="P237" i="50"/>
  <c r="D117" i="2"/>
  <c r="D130" i="2"/>
  <c r="D109" i="2"/>
  <c r="D110" i="2"/>
  <c r="D106" i="2"/>
  <c r="D115" i="2"/>
  <c r="D108" i="2"/>
  <c r="D121" i="2"/>
  <c r="D114" i="2"/>
  <c r="D125" i="2"/>
  <c r="D120" i="2"/>
  <c r="D128" i="2"/>
  <c r="D116" i="2"/>
  <c r="D127" i="2"/>
  <c r="D124" i="2"/>
  <c r="D123" i="2"/>
  <c r="D122" i="2"/>
  <c r="D126" i="2"/>
  <c r="D107" i="2"/>
  <c r="H131" i="2"/>
  <c r="W17" i="2"/>
  <c r="D129" i="2"/>
  <c r="D111" i="2"/>
  <c r="H110" i="2"/>
  <c r="C108" i="2"/>
  <c r="H117" i="2"/>
  <c r="H130" i="2"/>
  <c r="H125" i="2"/>
  <c r="H115" i="2"/>
  <c r="H120" i="2"/>
  <c r="H128" i="2"/>
  <c r="H116" i="2"/>
  <c r="H114" i="2"/>
  <c r="C114" i="2"/>
  <c r="C127" i="2"/>
  <c r="C120" i="2"/>
  <c r="C122" i="2"/>
  <c r="C121" i="2"/>
  <c r="C124" i="2"/>
  <c r="C117" i="2"/>
  <c r="H124" i="2"/>
  <c r="C125" i="2"/>
  <c r="H126" i="2"/>
  <c r="H127" i="2"/>
  <c r="H121" i="2"/>
  <c r="H122" i="2"/>
  <c r="D119" i="2"/>
  <c r="D118" i="2"/>
  <c r="C116" i="2"/>
  <c r="H109" i="2"/>
  <c r="H107" i="2"/>
  <c r="C123" i="2"/>
  <c r="C110" i="2"/>
  <c r="H108" i="2"/>
  <c r="C109" i="2"/>
  <c r="D136" i="2"/>
  <c r="H129" i="2"/>
  <c r="H111" i="2"/>
  <c r="H119" i="2"/>
  <c r="H118" i="2"/>
  <c r="G134" i="2"/>
  <c r="H136" i="2"/>
  <c r="F134" i="2"/>
  <c r="E134" i="2"/>
  <c r="C128" i="2"/>
  <c r="C126" i="2"/>
  <c r="C106" i="2"/>
  <c r="C107" i="2"/>
  <c r="C115" i="2"/>
  <c r="C131" i="2"/>
  <c r="C130" i="2"/>
  <c r="C119" i="2"/>
  <c r="C112" i="2"/>
  <c r="C129" i="2"/>
  <c r="C118" i="2"/>
  <c r="C111" i="2"/>
  <c r="C136" i="2"/>
  <c r="X221" i="50"/>
  <c r="X222" i="50"/>
  <c r="X220" i="50"/>
  <c r="X219" i="50"/>
  <c r="X238" i="50"/>
  <c r="X239" i="50"/>
  <c r="C209" i="50"/>
  <c r="E56" i="2"/>
  <c r="D56" i="2"/>
  <c r="C11" i="2"/>
  <c r="C138" i="2"/>
  <c r="D138" i="2"/>
  <c r="E11" i="2"/>
  <c r="H138" i="2"/>
</calcChain>
</file>

<file path=xl/comments1.xml><?xml version="1.0" encoding="utf-8"?>
<comments xmlns="http://schemas.openxmlformats.org/spreadsheetml/2006/main">
  <authors>
    <author>Doug Powell</author>
  </authors>
  <commentList>
    <comment ref="W21" authorId="0" shapeId="0">
      <text>
        <r>
          <rPr>
            <b/>
            <sz val="9"/>
            <color indexed="81"/>
            <rFont val="Tahoma"/>
            <family val="2"/>
          </rPr>
          <t>Doug Powell:</t>
        </r>
        <r>
          <rPr>
            <sz val="9"/>
            <color indexed="81"/>
            <rFont val="Tahoma"/>
            <family val="2"/>
          </rPr>
          <t xml:space="preserve">
Completed Manually</t>
        </r>
      </text>
    </comment>
  </commentList>
</comments>
</file>

<file path=xl/comments2.xml><?xml version="1.0" encoding="utf-8"?>
<comments xmlns="http://schemas.openxmlformats.org/spreadsheetml/2006/main">
  <authors>
    <author>Doug Powell</author>
  </authors>
  <commentList>
    <comment ref="C8" authorId="0" shapeId="0">
      <text>
        <r>
          <rPr>
            <b/>
            <sz val="9"/>
            <color indexed="81"/>
            <rFont val="Tahoma"/>
            <family val="2"/>
          </rPr>
          <t>Doug Powell:</t>
        </r>
        <r>
          <rPr>
            <sz val="9"/>
            <color indexed="81"/>
            <rFont val="Tahoma"/>
            <family val="2"/>
          </rPr>
          <t xml:space="preserve">
http://am.suntech-power.com/images/stories/pdf/datasheets/
jun2012/STP240_Wde_Poly_35mmFrame.pdf
http://www.suniva.com/documents/MV%20Series%
20MVP%2060%20cell%2006%2021%2012.pdf
Module Knockdown Factors (module vs lab cell efficiency)
0.84 Sunpower from 24 to 20.2
.88 for Sayno Hit Cell
.88 Suntech Pluto average cell (17) to Pluto module (14.8)</t>
        </r>
      </text>
    </comment>
    <comment ref="C10" authorId="0" shapeId="0">
      <text>
        <r>
          <rPr>
            <b/>
            <sz val="9"/>
            <color indexed="81"/>
            <rFont val="Tahoma"/>
            <family val="2"/>
          </rPr>
          <t xml:space="preserve">Doug Powell:
</t>
        </r>
        <r>
          <rPr>
            <sz val="9"/>
            <color indexed="81"/>
            <rFont val="Tahoma"/>
            <family val="2"/>
          </rPr>
          <t>Centrotherm from poly:
2,7000 t to 107 million wafers at 180 um  =45%
2,7000 t to 124 million wafers at 170 um  =45%
http://www.gaccsouth.com/fileadmin/ahk_atlanta/Bilder_Houston/Bilder/Texas_Renewables/05_Centrotherm_Faller.ppt_ohne_extra_slides.pdf_web.pdf</t>
        </r>
        <r>
          <rPr>
            <b/>
            <sz val="9"/>
            <color indexed="81"/>
            <rFont val="Tahoma"/>
            <family val="2"/>
          </rPr>
          <t xml:space="preserve">
</t>
        </r>
        <r>
          <rPr>
            <sz val="9"/>
            <color indexed="81"/>
            <rFont val="Tahoma"/>
            <family val="2"/>
          </rPr>
          <t>Applied from ingot</t>
        </r>
        <r>
          <rPr>
            <b/>
            <sz val="9"/>
            <color indexed="81"/>
            <rFont val="Tahoma"/>
            <family val="2"/>
          </rPr>
          <t xml:space="preserve">
</t>
        </r>
        <r>
          <rPr>
            <sz val="9"/>
            <color indexed="81"/>
            <rFont val="Tahoma"/>
            <family val="2"/>
          </rPr>
          <t xml:space="preserve">Total material yield of silicon ingot squaring, sawing etc.  50 - 55% 
http://www.appliedmaterials.com/sites/default/files/wafering_economics_whitepaper.pdf
</t>
        </r>
      </text>
    </comment>
    <comment ref="C12" authorId="0" shapeId="0">
      <text>
        <r>
          <rPr>
            <b/>
            <sz val="9"/>
            <color indexed="81"/>
            <rFont val="Tahoma"/>
            <family val="2"/>
          </rPr>
          <t xml:space="preserve">Doug Powell:
</t>
        </r>
        <r>
          <rPr>
            <sz val="9"/>
            <color indexed="81"/>
            <rFont val="Tahoma"/>
            <family val="2"/>
          </rPr>
          <t xml:space="preserve">Approximate average of median wage for job code 51-2022, "Electrical and Electronic Equipment Assemblers" and 51-9141 "Semiconductor Processors" in the U.S. Department of Labor Bureau of Labor Statistics, May 2011 National Industry-Specific Occupational Employment and Wage Estimates: NAICS 334400 - Semiconductor and Other Electronic Component Manufacturing, 2011.
</t>
        </r>
      </text>
    </comment>
    <comment ref="C13" authorId="0" shapeId="0">
      <text>
        <r>
          <rPr>
            <b/>
            <sz val="9"/>
            <color indexed="81"/>
            <rFont val="Tahoma"/>
            <family val="2"/>
          </rPr>
          <t xml:space="preserve">Doug Powell:
</t>
        </r>
        <r>
          <rPr>
            <sz val="9"/>
            <color indexed="81"/>
            <rFont val="Tahoma"/>
            <family val="2"/>
          </rPr>
          <t xml:space="preserve">Approximate average of median wage for job code 51-4012 "Computer Numerically Controlled Machine Tool Programmers, Metal and Plastic" in the U.S. Department of Labor Bureau of Labor Statistics, May 2011 National Industry-Specific Occupational Employment and Wage Estimates: NAICS 334400 - Semiconductor and Other Electronic Component Manufacturing, 2011.
</t>
        </r>
      </text>
    </comment>
    <comment ref="C14" authorId="0" shapeId="0">
      <text>
        <r>
          <rPr>
            <b/>
            <sz val="9"/>
            <color indexed="81"/>
            <rFont val="Tahoma"/>
            <family val="2"/>
          </rPr>
          <t xml:space="preserve">Doug Powell:
</t>
        </r>
        <r>
          <rPr>
            <sz val="9"/>
            <color indexed="81"/>
            <rFont val="Tahoma"/>
            <family val="2"/>
          </rPr>
          <t xml:space="preserve">Approximate average of median wage for job code 51-1011 "First-Line Supervisors of Production and Operating Workers" in the U.S. Department of Labor Bureau of Labor Statistics, May 2011 National Industry-Specific Occupational Employment and Wage Estimates: NAICS 334400 - Semiconductor and Other Electronic Component Manufacturing, 2011.
</t>
        </r>
      </text>
    </comment>
    <comment ref="C15" authorId="0" shapeId="0">
      <text>
        <r>
          <rPr>
            <b/>
            <sz val="9"/>
            <color indexed="81"/>
            <rFont val="Tahoma"/>
            <family val="2"/>
          </rPr>
          <t xml:space="preserve">Doug Powell:
</t>
        </r>
        <r>
          <rPr>
            <sz val="9"/>
            <color indexed="81"/>
            <rFont val="Tahoma"/>
            <family val="2"/>
          </rPr>
          <t xml:space="preserve">Base pay times 1.325 for US
http://web.mit.edu/e-club/hadzima/how-much-does-an-employee-cost.html
</t>
        </r>
      </text>
    </comment>
    <comment ref="C16" authorId="0" shapeId="0">
      <text>
        <r>
          <rPr>
            <b/>
            <sz val="9"/>
            <color indexed="81"/>
            <rFont val="Tahoma"/>
            <family val="2"/>
          </rPr>
          <t>Doug Powell:</t>
        </r>
        <r>
          <rPr>
            <sz val="9"/>
            <color indexed="81"/>
            <rFont val="Tahoma"/>
            <family val="2"/>
          </rPr>
          <t xml:space="preserve">
2011 Industrial Average from 
U.S. EIA, Electric Power Monthly February 2012 (data to December) 
Table 5.6.B</t>
        </r>
      </text>
    </comment>
    <comment ref="C18" authorId="0" shapeId="0">
      <text>
        <r>
          <rPr>
            <b/>
            <sz val="9"/>
            <color indexed="81"/>
            <rFont val="Tahoma"/>
            <family val="2"/>
          </rPr>
          <t>Doug Powell:</t>
        </r>
        <r>
          <rPr>
            <sz val="9"/>
            <color indexed="81"/>
            <rFont val="Tahoma"/>
            <family val="2"/>
          </rPr>
          <t xml:space="preserve">
ITRPV Roadmap</t>
        </r>
      </text>
    </comment>
    <comment ref="C25" authorId="0" shapeId="0">
      <text>
        <r>
          <rPr>
            <b/>
            <sz val="9"/>
            <color indexed="81"/>
            <rFont val="Tahoma"/>
            <family val="2"/>
          </rPr>
          <t>Doug Powell:</t>
        </r>
        <r>
          <rPr>
            <sz val="9"/>
            <color indexed="81"/>
            <rFont val="Tahoma"/>
            <family val="2"/>
          </rPr>
          <t xml:space="preserve">
Includes Breakage</t>
        </r>
      </text>
    </comment>
    <comment ref="L28" authorId="0" shapeId="0">
      <text>
        <r>
          <rPr>
            <b/>
            <sz val="9"/>
            <color indexed="81"/>
            <rFont val="Tahoma"/>
            <family val="2"/>
          </rPr>
          <t>Doug Powell:</t>
        </r>
        <r>
          <rPr>
            <sz val="9"/>
            <color indexed="81"/>
            <rFont val="Tahoma"/>
            <family val="2"/>
          </rPr>
          <t xml:space="preserve">
Pre-multiplier</t>
        </r>
      </text>
    </comment>
    <comment ref="D29" authorId="0" shapeId="0">
      <text>
        <r>
          <rPr>
            <b/>
            <sz val="9"/>
            <color indexed="81"/>
            <rFont val="Tahoma"/>
            <family val="2"/>
          </rPr>
          <t>Doug Powell:</t>
        </r>
        <r>
          <rPr>
            <sz val="9"/>
            <color indexed="81"/>
            <rFont val="Tahoma"/>
            <family val="2"/>
          </rPr>
          <t xml:space="preserve">
Pre-multiplier</t>
        </r>
      </text>
    </comment>
    <comment ref="F29" authorId="0" shapeId="0">
      <text>
        <r>
          <rPr>
            <b/>
            <sz val="9"/>
            <color indexed="81"/>
            <rFont val="Tahoma"/>
            <family val="2"/>
          </rPr>
          <t>Doug Powell:</t>
        </r>
        <r>
          <rPr>
            <sz val="9"/>
            <color indexed="81"/>
            <rFont val="Tahoma"/>
            <family val="2"/>
          </rPr>
          <t xml:space="preserve">
Note that some of theses costs are not naturally area dependent, e.g. JB and Cable.</t>
        </r>
      </text>
    </comment>
    <comment ref="E31" authorId="0" shapeId="0">
      <text>
        <r>
          <rPr>
            <b/>
            <sz val="9"/>
            <color indexed="81"/>
            <rFont val="Tahoma"/>
            <family val="2"/>
          </rPr>
          <t>Doug Powell:</t>
        </r>
        <r>
          <rPr>
            <sz val="9"/>
            <color indexed="81"/>
            <rFont val="Tahoma"/>
            <family val="2"/>
          </rPr>
          <t xml:space="preserve">
Modify with Capex Multiplier in Depreciation box in order to fully reflect change in DCF analysis.</t>
        </r>
      </text>
    </comment>
    <comment ref="C43" authorId="0" shapeId="0">
      <text>
        <r>
          <rPr>
            <b/>
            <sz val="9"/>
            <color indexed="81"/>
            <rFont val="Tahoma"/>
            <family val="2"/>
          </rPr>
          <t>Doug Powell:</t>
        </r>
        <r>
          <rPr>
            <sz val="9"/>
            <color indexed="81"/>
            <rFont val="Tahoma"/>
            <family val="2"/>
          </rPr>
          <t xml:space="preserve">
Based off GTM PV Bill of Materials Excerpt, in March 2011 PV news.
Adjusted down to 20% of original value from looking at 
J. Herron, "Looking under the hood: Equipment makers disclose cost analyses, showing room for improvement as module makers search for profits," PHOTON International, vol. 5, pp. 90-98, 2012
Then doubled.  Final answer aligns with J. Berwind, "PV manufacturing materials: Technological and process-related options for cost reduction," Photovoltaics International, vol. 1st Quarter, 2012.</t>
        </r>
      </text>
    </comment>
    <comment ref="C55" authorId="0" shapeId="0">
      <text>
        <r>
          <rPr>
            <b/>
            <sz val="9"/>
            <color indexed="81"/>
            <rFont val="Tahoma"/>
            <family val="2"/>
          </rPr>
          <t xml:space="preserve">Doug Powell:
</t>
        </r>
        <r>
          <rPr>
            <sz val="9"/>
            <color indexed="81"/>
            <rFont val="Tahoma"/>
            <family val="2"/>
          </rPr>
          <t>156 mm wafer</t>
        </r>
      </text>
    </comment>
    <comment ref="C56" authorId="0" shapeId="0">
      <text>
        <r>
          <rPr>
            <b/>
            <sz val="9"/>
            <color indexed="81"/>
            <rFont val="Tahoma"/>
            <family val="2"/>
          </rPr>
          <t>Doug Powell:</t>
        </r>
        <r>
          <rPr>
            <sz val="9"/>
            <color indexed="81"/>
            <rFont val="Tahoma"/>
            <family val="2"/>
          </rPr>
          <t xml:space="preserve">
89% for six inch square multi. 
http://www.gaccsouth.com/fileadmin/ahk_atlanta/Bilder_Houston/Bilder/Texas_Renewables/05_Centrotherm_Faller.ppt_ohne_extra_slides.pdf_web.pdf</t>
        </r>
      </text>
    </comment>
    <comment ref="B68" authorId="0" shapeId="0">
      <text>
        <r>
          <rPr>
            <b/>
            <sz val="9"/>
            <color indexed="81"/>
            <rFont val="Tahoma"/>
            <family val="2"/>
          </rPr>
          <t>Doug Powell:</t>
        </r>
        <r>
          <rPr>
            <sz val="9"/>
            <color indexed="81"/>
            <rFont val="Tahoma"/>
            <family val="2"/>
          </rPr>
          <t xml:space="preserve">
at 100% yield and uptime
</t>
        </r>
      </text>
    </comment>
    <comment ref="C68" authorId="0" shapeId="0">
      <text>
        <r>
          <rPr>
            <b/>
            <sz val="9"/>
            <color indexed="81"/>
            <rFont val="Tahoma"/>
            <family val="2"/>
          </rPr>
          <t>Doug Powell:</t>
        </r>
        <r>
          <rPr>
            <sz val="9"/>
            <color indexed="81"/>
            <rFont val="Tahoma"/>
            <family val="2"/>
          </rPr>
          <t xml:space="preserve">
A. Kreutzmann and M. Schmela, Photon International, 2008, 12, 84-92.
From stated throughput of 347 MW/yr with assumed uptime of 95% and net yield of 92%</t>
        </r>
      </text>
    </comment>
    <comment ref="C69" authorId="0" shapeId="0">
      <text>
        <r>
          <rPr>
            <b/>
            <sz val="9"/>
            <color indexed="81"/>
            <rFont val="Tahoma"/>
            <family val="2"/>
          </rPr>
          <t>Doug Powell:</t>
        </r>
        <r>
          <rPr>
            <sz val="9"/>
            <color indexed="81"/>
            <rFont val="Tahoma"/>
            <family val="2"/>
          </rPr>
          <t xml:space="preserve">
A. Kreutzmann and M. Schmela, Photon International, 2008, 12, 84-92.
217 W from 1.6 m^2
</t>
        </r>
      </text>
    </comment>
    <comment ref="B70" authorId="0" shapeId="0">
      <text>
        <r>
          <rPr>
            <b/>
            <sz val="9"/>
            <color indexed="81"/>
            <rFont val="Tahoma"/>
            <family val="2"/>
          </rPr>
          <t>Doug Powell:</t>
        </r>
        <r>
          <rPr>
            <sz val="9"/>
            <color indexed="81"/>
            <rFont val="Tahoma"/>
            <family val="2"/>
          </rPr>
          <t xml:space="preserve">
at 100% yield and uptime
</t>
        </r>
      </text>
    </comment>
    <comment ref="B73" authorId="0" shapeId="0">
      <text>
        <r>
          <rPr>
            <b/>
            <sz val="9"/>
            <color indexed="81"/>
            <rFont val="Tahoma"/>
            <family val="2"/>
          </rPr>
          <t>Doug Powell:</t>
        </r>
        <r>
          <rPr>
            <sz val="9"/>
            <color indexed="81"/>
            <rFont val="Tahoma"/>
            <family val="2"/>
          </rPr>
          <t xml:space="preserve">
With actual yield and uptime</t>
        </r>
      </text>
    </comment>
    <comment ref="C73" authorId="0" shapeId="0">
      <text>
        <r>
          <rPr>
            <b/>
            <sz val="9"/>
            <color indexed="81"/>
            <rFont val="Tahoma"/>
            <family val="2"/>
          </rPr>
          <t>Doug Powell:</t>
        </r>
        <r>
          <rPr>
            <sz val="9"/>
            <color indexed="81"/>
            <rFont val="Tahoma"/>
            <family val="2"/>
          </rPr>
          <t xml:space="preserve">
Assume infinite buffers between steps</t>
        </r>
      </text>
    </comment>
    <comment ref="C75"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6"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7" authorId="0" shapeId="0">
      <text>
        <r>
          <rPr>
            <b/>
            <sz val="9"/>
            <color indexed="81"/>
            <rFont val="Tahoma"/>
            <family val="2"/>
          </rPr>
          <t>Doug Powell:</t>
        </r>
        <r>
          <rPr>
            <sz val="9"/>
            <color indexed="81"/>
            <rFont val="Tahoma"/>
            <family val="2"/>
          </rPr>
          <t xml:space="preserve">
From personal communication. 
5 years from J. Herron, "Looking under the hood: Equipment makers disclose cost analyses, showing room for improvement as module makers search for profits", Photon International, vol. 5, pp. 90-98, 2012.</t>
        </r>
      </text>
    </comment>
    <comment ref="C78"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9"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80" authorId="0" shapeId="0">
      <text>
        <r>
          <rPr>
            <b/>
            <sz val="9"/>
            <color indexed="81"/>
            <rFont val="Tahoma"/>
            <family val="2"/>
          </rPr>
          <t>Doug Powell:</t>
        </r>
        <r>
          <rPr>
            <sz val="9"/>
            <color indexed="81"/>
            <rFont val="Tahoma"/>
            <family val="2"/>
          </rPr>
          <t xml:space="preserve">
Multiplier on all Capex</t>
        </r>
      </text>
    </comment>
    <comment ref="C82"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2012 assuming constant dollars = 0.8, but to decouple the effect of efficiency, the weighted average efficiency in the roadmap was calculated (2009 was again backwards extrapolated).  When the effects of efficiency were canceled, the resulting savings form 2009 to 2012 are 0.87. Additionally a factor of 0.7 was applied as we received feedback of our estimates being too high for ingot casting. 
In S.K. Chunduri, “The bigger, the better: Market survey on crystal growth equipment,” PHOTON International, 6 , 2012, 158 – 179 the depreciation expense of crystallization is approximately 1.5 times the cost of the electricity for ingot and the crucible.
</t>
        </r>
      </text>
    </comment>
    <comment ref="C83"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2012 assuming constant dollars = 0.8, but to decouple the effect of efficiency, the weighted average efficiency in the roadmap was calculated (2009 was again backwards extrapolated).  When the effects of efficiency were canceled, the resulting savings form 2009 to 2012 are 0.87. Additionally a factor of 0.9 was applied.</t>
        </r>
      </text>
    </comment>
    <comment ref="C84"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2012 assuming constant dollars = 0.8, but to decouple the effect of efficiency, the weighted average efficiency in the roadmap was calculated (2009 was again backwards extrapolated).  When the effects of efficiency were canceled, the resulting savings form 2009 to 2012 are 0.87. Additionally a factor of 0.9 was applied.</t>
        </r>
      </text>
    </comment>
    <comment ref="C85"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2012 assuming constant dollars = 0.8, but to decouple the effect of efficiency, the weighted average efficiency in the roadmap was calculated (2009 was again backwards extrapolated).  When the effects of efficiency were canceled, the resulting savings form 2009 to 2012 are 0.87. Additionally a factor of 0.9 was applied. 
This result was still much higher than expected by the evidence presented in the Intertech PV Webinar, "Competitive Manufacturing of Crystalline Silicon PV Modules in the US", given by Roger G. Little of Spire, and the data presented in J. Herron, "Looking under the hood: Equipment makers disclose cost analyses, showing room for improvement as module makers search for profits", Photon International, vol. 5, pp. 90-98, 2012.  Therefore, the value was further adjusted down to reach an equipment cost of 0.11 $/Wp/yr.</t>
        </r>
      </text>
    </comment>
    <comment ref="C89"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89" authorId="0" shapeId="0">
      <text>
        <r>
          <rPr>
            <b/>
            <sz val="9"/>
            <color indexed="81"/>
            <rFont val="Tahoma"/>
            <family val="2"/>
          </rPr>
          <t>Doug Powell:</t>
        </r>
        <r>
          <rPr>
            <sz val="9"/>
            <color indexed="81"/>
            <rFont val="Tahoma"/>
            <family val="2"/>
          </rPr>
          <t xml:space="preserve">
For completing sensitivity analysis</t>
        </r>
      </text>
    </comment>
    <comment ref="C90"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91" authorId="0" shapeId="0">
      <text>
        <r>
          <rPr>
            <b/>
            <sz val="9"/>
            <color indexed="81"/>
            <rFont val="Tahoma"/>
            <family val="2"/>
          </rPr>
          <t>Doug Powell:</t>
        </r>
        <r>
          <rPr>
            <sz val="9"/>
            <color indexed="81"/>
            <rFont val="Tahoma"/>
            <family val="2"/>
          </rPr>
          <t xml:space="preserve">
For completing sensitivity analysis</t>
        </r>
      </text>
    </comment>
    <comment ref="C100" authorId="0" shapeId="0">
      <text>
        <r>
          <rPr>
            <b/>
            <sz val="9"/>
            <color indexed="81"/>
            <rFont val="Tahoma"/>
            <family val="2"/>
          </rPr>
          <t>Doug Powell:</t>
        </r>
        <r>
          <rPr>
            <sz val="9"/>
            <color indexed="81"/>
            <rFont val="Tahoma"/>
            <family val="2"/>
          </rPr>
          <t xml:space="preserve">
A. Kreutzmann and M. Schmela, Photon International, 2008, 12, 84-92.</t>
        </r>
      </text>
    </comment>
    <comment ref="D100" authorId="0" shapeId="0">
      <text>
        <r>
          <rPr>
            <b/>
            <sz val="9"/>
            <color indexed="81"/>
            <rFont val="Tahoma"/>
            <family val="2"/>
          </rPr>
          <t>Doug Powell:</t>
        </r>
        <r>
          <rPr>
            <sz val="9"/>
            <color indexed="81"/>
            <rFont val="Tahoma"/>
            <family val="2"/>
          </rPr>
          <t xml:space="preserve">
A. Kreutzmann and M. Schmela, Photon International, 2008, 12, 84-92.</t>
        </r>
      </text>
    </comment>
    <comment ref="E100"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1" authorId="0" shapeId="0">
      <text>
        <r>
          <rPr>
            <b/>
            <sz val="9"/>
            <color indexed="81"/>
            <rFont val="Tahoma"/>
            <family val="2"/>
          </rPr>
          <t>Doug Powell:</t>
        </r>
        <r>
          <rPr>
            <sz val="9"/>
            <color indexed="81"/>
            <rFont val="Tahoma"/>
            <family val="2"/>
          </rPr>
          <t xml:space="preserve">
A. Kreutzmann and M. Schmela, Photon International, 2008, 12, 84-92.</t>
        </r>
      </text>
    </comment>
    <comment ref="D101" authorId="0" shapeId="0">
      <text>
        <r>
          <rPr>
            <b/>
            <sz val="9"/>
            <color indexed="81"/>
            <rFont val="Tahoma"/>
            <family val="2"/>
          </rPr>
          <t>Doug Powell:</t>
        </r>
        <r>
          <rPr>
            <sz val="9"/>
            <color indexed="81"/>
            <rFont val="Tahoma"/>
            <family val="2"/>
          </rPr>
          <t xml:space="preserve">
A. Kreutzmann and M. Schmela, Photon International, 2008, 12, 84-92.</t>
        </r>
      </text>
    </comment>
    <comment ref="E101"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2" authorId="0" shapeId="0">
      <text>
        <r>
          <rPr>
            <b/>
            <sz val="9"/>
            <color indexed="81"/>
            <rFont val="Tahoma"/>
            <family val="2"/>
          </rPr>
          <t>Doug Powell:</t>
        </r>
        <r>
          <rPr>
            <sz val="9"/>
            <color indexed="81"/>
            <rFont val="Tahoma"/>
            <family val="2"/>
          </rPr>
          <t xml:space="preserve">
A. Kreutzmann and M. Schmela, Photon International, 2008, 12, 84-92.
Adjusted down to more closely match expectations we have observed</t>
        </r>
      </text>
    </comment>
    <comment ref="D102" authorId="0" shapeId="0">
      <text>
        <r>
          <rPr>
            <b/>
            <sz val="9"/>
            <color indexed="81"/>
            <rFont val="Tahoma"/>
            <family val="2"/>
          </rPr>
          <t>Doug Powell:</t>
        </r>
        <r>
          <rPr>
            <sz val="9"/>
            <color indexed="81"/>
            <rFont val="Tahoma"/>
            <family val="2"/>
          </rPr>
          <t xml:space="preserve">
A. Kreutzmann and M. Schmela, Photon International, 2008, 12, 84-92.</t>
        </r>
      </text>
    </comment>
    <comment ref="E102"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3" authorId="0" shapeId="0">
      <text>
        <r>
          <rPr>
            <b/>
            <sz val="9"/>
            <color indexed="81"/>
            <rFont val="Tahoma"/>
            <family val="2"/>
          </rPr>
          <t>Doug Powell:</t>
        </r>
        <r>
          <rPr>
            <sz val="9"/>
            <color indexed="81"/>
            <rFont val="Tahoma"/>
            <family val="2"/>
          </rPr>
          <t xml:space="preserve">
A. Kreutzmann and M. Schmela, Photon International, 2008, 12, 84-92.
Adjusted down to more closely match expectations we have observed</t>
        </r>
      </text>
    </comment>
    <comment ref="D103" authorId="0" shapeId="0">
      <text>
        <r>
          <rPr>
            <b/>
            <sz val="9"/>
            <color indexed="81"/>
            <rFont val="Tahoma"/>
            <family val="2"/>
          </rPr>
          <t>Doug Powell:</t>
        </r>
        <r>
          <rPr>
            <sz val="9"/>
            <color indexed="81"/>
            <rFont val="Tahoma"/>
            <family val="2"/>
          </rPr>
          <t xml:space="preserve">
A. Kreutzmann and M. Schmela, Photon International, 2008, 12, 84-92.</t>
        </r>
      </text>
    </comment>
    <comment ref="E103"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7" authorId="0" shapeId="0">
      <text>
        <r>
          <rPr>
            <b/>
            <sz val="9"/>
            <color indexed="81"/>
            <rFont val="Tahoma"/>
            <family val="2"/>
          </rPr>
          <t>Doug Powell:</t>
        </r>
        <r>
          <rPr>
            <sz val="9"/>
            <color indexed="81"/>
            <rFont val="Tahoma"/>
            <family val="2"/>
          </rPr>
          <t xml:space="preserve">
From looking at GT Solar DSS 650</t>
        </r>
      </text>
    </comment>
    <comment ref="C108" authorId="0" shapeId="0">
      <text>
        <r>
          <rPr>
            <b/>
            <sz val="9"/>
            <color indexed="81"/>
            <rFont val="Tahoma"/>
            <family val="2"/>
          </rPr>
          <t>Doug Powell:</t>
        </r>
        <r>
          <rPr>
            <sz val="9"/>
            <color indexed="81"/>
            <rFont val="Tahoma"/>
            <family val="2"/>
          </rPr>
          <t xml:space="preserve">
A. Kreutzmann and M. Schmela, Photon International, 2008, 12, 84-92, gen 5 crucible cost $1850, 
Alibaba cost in 5/2012 for only listed supplier for gen 4 = ~750 for gen 5 = ~850
http://www.alibaba.com/trade/search?SearchText=gen+crucible&amp;Country=&amp;IndexArea=product_en&amp;fsb=y
Assume 1.5 times cost for Alibaba supplier for more mainstream supplier estimate, i.e. Ceradyne, to create crucible cost vs. Ingot mass curve</t>
        </r>
      </text>
    </comment>
    <comment ref="C114" authorId="0" shapeId="0">
      <text>
        <r>
          <rPr>
            <b/>
            <sz val="9"/>
            <color indexed="81"/>
            <rFont val="Tahoma"/>
            <family val="2"/>
          </rPr>
          <t>Doug Powell:</t>
        </r>
        <r>
          <rPr>
            <sz val="9"/>
            <color indexed="81"/>
            <rFont val="Tahoma"/>
            <family val="2"/>
          </rPr>
          <t xml:space="preserve">
Based on estimated 2012 price of 76,800 RMB / tonne for Bekaert: M. Bakker, "Adjusting to new sawing wire reality - downgrade to HOLD," ABN AMRO Bank N.V., June 2011. and calculated price of 55,000 RMB / tonne from: Xingda International Holdings Limited, "Annual Report 2011," 2012.  while assuming a wire density of  about 11000 km/tonne and .1568 USD/RMB.
This is below two earlier estimates:
1.28 $/km for standard wire -Berwid, "PV Manufacturing materials: Technological and process-related options for cost reduction" PVI 2012, First Quarter
1.5 to 2.0 $/km for standard wire, $200 for diamond wire. S.K. Chunduri, "Diamond Wire - The Die has been cast", Photon international 5 (2011)</t>
        </r>
      </text>
    </comment>
    <comment ref="C115"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6"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9"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20" authorId="0" shapeId="0">
      <text>
        <r>
          <rPr>
            <b/>
            <sz val="9"/>
            <color indexed="81"/>
            <rFont val="Tahoma"/>
            <family val="2"/>
          </rPr>
          <t>Doug Powell:</t>
        </r>
        <r>
          <rPr>
            <sz val="9"/>
            <color indexed="81"/>
            <rFont val="Tahoma"/>
            <family val="2"/>
          </rPr>
          <t xml:space="preserve">
Not the same as total material yield because a significant amount is lost in squaring and bricking the ingot</t>
        </r>
      </text>
    </comment>
    <comment ref="C128" authorId="0" shapeId="0">
      <text>
        <r>
          <rPr>
            <b/>
            <sz val="9"/>
            <color indexed="81"/>
            <rFont val="Tahoma"/>
            <family val="2"/>
          </rPr>
          <t>Doug Powell:</t>
        </r>
        <r>
          <rPr>
            <sz val="9"/>
            <color indexed="81"/>
            <rFont val="Tahoma"/>
            <family val="2"/>
          </rPr>
          <t xml:space="preserve">
"Together with our customers, we race for grid parity" Ask the Experts with Bekaert Group in Power &amp; Energy Solutions
0.137 kg/wafer for 120 </t>
        </r>
        <r>
          <rPr>
            <sz val="9"/>
            <color indexed="81"/>
            <rFont val="Calibri"/>
            <family val="2"/>
          </rPr>
          <t>μ</t>
        </r>
        <r>
          <rPr>
            <sz val="9"/>
            <color indexed="81"/>
            <rFont val="Tahoma"/>
            <family val="2"/>
          </rPr>
          <t>m wire
.091 kg/wafer for 80 μm wire</t>
        </r>
      </text>
    </comment>
    <comment ref="C129" authorId="0" shapeId="0">
      <text>
        <r>
          <rPr>
            <b/>
            <sz val="9"/>
            <color indexed="81"/>
            <rFont val="Tahoma"/>
            <family val="2"/>
          </rPr>
          <t>Doug Powell:</t>
        </r>
        <r>
          <rPr>
            <sz val="9"/>
            <color indexed="81"/>
            <rFont val="Tahoma"/>
            <family val="2"/>
          </rPr>
          <t xml:space="preserve">
Slurry cost is roughly estimated from the proportion of slurry cost to wire cost 8/6 = 1.33 reported by Applied Materials, "Wafer Wire Sawing Economics and Total Cost of Ownership Optimization", 2011
The resulting per wafer cost is less than the 0.16 $/wafer reported by Berwid, "PV Manufacturing materials: Technological and process-related options for cost reduction" PVI 2012, First Quarter</t>
        </r>
      </text>
    </comment>
    <comment ref="C135" authorId="0" shapeId="0">
      <text>
        <r>
          <rPr>
            <b/>
            <sz val="9"/>
            <color indexed="81"/>
            <rFont val="Tahoma"/>
            <family val="2"/>
          </rPr>
          <t>Doug Powell:</t>
        </r>
        <r>
          <rPr>
            <sz val="9"/>
            <color indexed="81"/>
            <rFont val="Tahoma"/>
            <family val="2"/>
          </rPr>
          <t xml:space="preserve">
A. Kreutzmann and M. Schmela, Photon International, 2008, 12, 84-92.
217 W/1.6m^2 module</t>
        </r>
      </text>
    </comment>
    <comment ref="C136" authorId="0" shapeId="0">
      <text>
        <r>
          <rPr>
            <b/>
            <sz val="9"/>
            <color indexed="81"/>
            <rFont val="Tahoma"/>
            <family val="2"/>
          </rPr>
          <t>Doug Powell:</t>
        </r>
        <r>
          <rPr>
            <sz val="9"/>
            <color indexed="81"/>
            <rFont val="Tahoma"/>
            <family val="2"/>
          </rPr>
          <t xml:space="preserve">
A. Kreutzmann and M. Schmela, Photon International, 2008, 12, 84-92.</t>
        </r>
      </text>
    </comment>
    <comment ref="C137" authorId="0" shapeId="0">
      <text>
        <r>
          <rPr>
            <b/>
            <sz val="9"/>
            <color indexed="81"/>
            <rFont val="Tahoma"/>
            <family val="2"/>
          </rPr>
          <t>Doug Powell:</t>
        </r>
        <r>
          <rPr>
            <sz val="9"/>
            <color indexed="81"/>
            <rFont val="Tahoma"/>
            <family val="2"/>
          </rPr>
          <t xml:space="preserve">
A. Kreutzmann and M. Schmela, Photon International, 2008, 12, 84-92.
</t>
        </r>
      </text>
    </comment>
    <comment ref="C138" authorId="0" shapeId="0">
      <text>
        <r>
          <rPr>
            <b/>
            <sz val="9"/>
            <color indexed="81"/>
            <rFont val="Tahoma"/>
            <family val="2"/>
          </rPr>
          <t>Doug Powell:</t>
        </r>
        <r>
          <rPr>
            <sz val="9"/>
            <color indexed="81"/>
            <rFont val="Tahoma"/>
            <family val="2"/>
          </rPr>
          <t xml:space="preserve">
A. Kreutzmann and M. Schmela, Photon International, 2008, 12, 84-92.
</t>
        </r>
      </text>
    </comment>
    <comment ref="C139" authorId="0" shapeId="0">
      <text>
        <r>
          <rPr>
            <b/>
            <sz val="9"/>
            <color indexed="81"/>
            <rFont val="Tahoma"/>
            <family val="2"/>
          </rPr>
          <t>Doug Powell:</t>
        </r>
        <r>
          <rPr>
            <sz val="9"/>
            <color indexed="81"/>
            <rFont val="Tahoma"/>
            <family val="2"/>
          </rPr>
          <t xml:space="preserve">
A. Kreutzmann and M. Schmela, Photon International, 2008, 12, 84-92.
</t>
        </r>
      </text>
    </comment>
    <comment ref="B147" authorId="0" shapeId="0">
      <text>
        <r>
          <rPr>
            <b/>
            <sz val="9"/>
            <color indexed="81"/>
            <rFont val="Tahoma"/>
            <family val="2"/>
          </rPr>
          <t>Doug Powell:</t>
        </r>
        <r>
          <rPr>
            <sz val="9"/>
            <color indexed="81"/>
            <rFont val="Tahoma"/>
            <family val="2"/>
          </rPr>
          <t xml:space="preserve">
The impact of yield loss is calculated in each cost category</t>
        </r>
      </text>
    </comment>
    <comment ref="C148" authorId="0" shapeId="0">
      <text>
        <r>
          <rPr>
            <b/>
            <sz val="9"/>
            <color indexed="81"/>
            <rFont val="Tahoma"/>
            <family val="2"/>
          </rPr>
          <t>Doug Powell:</t>
        </r>
        <r>
          <rPr>
            <sz val="9"/>
            <color indexed="81"/>
            <rFont val="Tahoma"/>
            <family val="2"/>
          </rPr>
          <t xml:space="preserve">
Applied Materials Wafering Economics Whitepaper, minimum of 95% quality yield</t>
        </r>
      </text>
    </comment>
    <comment ref="C149"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0"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4" authorId="0" shapeId="0">
      <text>
        <r>
          <rPr>
            <b/>
            <sz val="9"/>
            <color indexed="81"/>
            <rFont val="Tahoma"/>
            <family val="2"/>
          </rPr>
          <t>Doug Powell:</t>
        </r>
        <r>
          <rPr>
            <sz val="9"/>
            <color indexed="81"/>
            <rFont val="Tahoma"/>
            <family val="2"/>
          </rPr>
          <t xml:space="preserve">
http://answers.yahoo.com/question/index?qid=20110405132256AALC8wK</t>
        </r>
      </text>
    </comment>
    <comment ref="C155" authorId="0" shapeId="0">
      <text>
        <r>
          <rPr>
            <b/>
            <sz val="9"/>
            <color indexed="81"/>
            <rFont val="Tahoma"/>
            <family val="2"/>
          </rPr>
          <t>Doug Powell:</t>
        </r>
        <r>
          <rPr>
            <sz val="9"/>
            <color indexed="81"/>
            <rFont val="Tahoma"/>
            <family val="2"/>
          </rPr>
          <t xml:space="preserve">
3 sheets per to also account for shrink wrap
</t>
        </r>
      </text>
    </comment>
    <comment ref="C161"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162" authorId="0" shapeId="0">
      <text>
        <r>
          <rPr>
            <b/>
            <sz val="9"/>
            <color indexed="81"/>
            <rFont val="Tahoma"/>
            <family val="2"/>
          </rPr>
          <t>Doug Powell:</t>
        </r>
        <r>
          <rPr>
            <sz val="9"/>
            <color indexed="81"/>
            <rFont val="Tahoma"/>
            <family val="2"/>
          </rPr>
          <t xml:space="preserve">
2012 target on 
Crystalline Silicon PV Technology and Manufacturing (CTM) Group, "International technology roadmap for photovoltaics: Results 2011," SEMI PV Group, 2012.</t>
        </r>
      </text>
    </comment>
    <comment ref="C16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65" authorId="0" shapeId="0">
      <text>
        <r>
          <rPr>
            <b/>
            <sz val="9"/>
            <color indexed="81"/>
            <rFont val="Tahoma"/>
            <family val="2"/>
          </rPr>
          <t>Doug Powell:</t>
        </r>
        <r>
          <rPr>
            <sz val="9"/>
            <color indexed="81"/>
            <rFont val="Tahoma"/>
            <family val="2"/>
          </rPr>
          <t xml:space="preserve">
http://www.targray.com/documents/Al_Paste_for_Solar_Cells.pdf,
In line with S. Kim et al., "Aluminum Pastes (Lead-Free/Low-Bow) for Thin Wafers", IEEE 31st Photovoltaic Specialists Conference and Exhibition, Jan. 3-7, Orlando, Florida, USA</t>
        </r>
      </text>
    </comment>
    <comment ref="C17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81" authorId="0" shapeId="0">
      <text>
        <r>
          <rPr>
            <b/>
            <sz val="9"/>
            <color indexed="81"/>
            <rFont val="Tahoma"/>
            <family val="2"/>
          </rPr>
          <t>Doug Powell:</t>
        </r>
        <r>
          <rPr>
            <sz val="9"/>
            <color indexed="81"/>
            <rFont val="Tahoma"/>
            <family val="2"/>
          </rPr>
          <t xml:space="preserve">
From browsing:
http://www.alibaba.com/trade/search?SearchText=solar+frame+price&amp;IndexArea=product_en&amp;fsb=y 
Agrees well with GTM PV Bill of Materials Excerpt, in March 2011 PV news, estimate for 2010:
Based on perimeter $15/1.6m^2 module assuming 1.6 x 1 module</t>
        </r>
      </text>
    </comment>
    <comment ref="D181" authorId="0" shapeId="0">
      <text>
        <r>
          <rPr>
            <b/>
            <sz val="9"/>
            <color indexed="81"/>
            <rFont val="Tahoma"/>
            <family val="2"/>
          </rPr>
          <t>Doug Powell:</t>
        </r>
        <r>
          <rPr>
            <sz val="9"/>
            <color indexed="81"/>
            <rFont val="Tahoma"/>
            <family val="2"/>
          </rPr>
          <t xml:space="preserve">
Scales with Perimeter, assumes 1m base.</t>
        </r>
      </text>
    </comment>
    <comment ref="C183" authorId="0" shapeId="0">
      <text>
        <r>
          <rPr>
            <b/>
            <sz val="9"/>
            <color indexed="81"/>
            <rFont val="Tahoma"/>
            <family val="2"/>
          </rPr>
          <t>Doug Powell:</t>
        </r>
        <r>
          <rPr>
            <sz val="9"/>
            <color indexed="81"/>
            <rFont val="Tahoma"/>
            <family val="2"/>
          </rPr>
          <t xml:space="preserve">
From browsing:
http://www.alibaba.com/trade/search?SearchText=solar+backsheet&amp;IndexArea=Products&amp;fsb=y on July 4th 2012 and July 30th 2012
A little lower than
GTM PV Bill of Materials Excerpt, in March 2011 PV news, estimate for 2010:
$11.5/1.6m^2 module
</t>
        </r>
      </text>
    </comment>
    <comment ref="C184" authorId="0" shapeId="0">
      <text>
        <r>
          <rPr>
            <b/>
            <sz val="9"/>
            <color indexed="81"/>
            <rFont val="Tahoma"/>
            <family val="2"/>
          </rPr>
          <t>Doug Powell:</t>
        </r>
        <r>
          <rPr>
            <sz val="9"/>
            <color indexed="81"/>
            <rFont val="Tahoma"/>
            <family val="2"/>
          </rPr>
          <t xml:space="preserve">
From browsing:
http://www.alibaba.com/trade/search?SearchText=solar+eva&amp;IndexArea=Products&amp;fsb=y 
on July 4th 2012
GTM PV Bill of Materials Excerpt, in March 2011 PV news, estimate for 2010:
$9/1.6m^2 module,
but 2 sheets so
$9/3.2m^2 of material</t>
        </r>
      </text>
    </comment>
    <comment ref="C185" authorId="0" shapeId="0">
      <text>
        <r>
          <rPr>
            <b/>
            <sz val="9"/>
            <color indexed="81"/>
            <rFont val="Tahoma"/>
            <family val="2"/>
          </rPr>
          <t>Doug Powell:</t>
        </r>
        <r>
          <rPr>
            <sz val="9"/>
            <color indexed="81"/>
            <rFont val="Tahoma"/>
            <family val="2"/>
          </rPr>
          <t xml:space="preserve">
From browsing:
http://www.alibaba.com/showroom/solar-glass-price.html 
on July 4th 2012 and July 30th 2012.
Is a bit lower than  GTM PV Bill of Materials Excerpt, in March 2011 PV news, estimate for 2010:
$17/1.6m^2 module</t>
        </r>
      </text>
    </comment>
    <comment ref="C186" authorId="0" shapeId="0">
      <text>
        <r>
          <rPr>
            <b/>
            <sz val="9"/>
            <color indexed="81"/>
            <rFont val="Tahoma"/>
            <family val="2"/>
          </rPr>
          <t>Doug Powell:</t>
        </r>
        <r>
          <rPr>
            <sz val="9"/>
            <color indexed="81"/>
            <rFont val="Tahoma"/>
            <family val="2"/>
          </rPr>
          <t xml:space="preserve">
Calculated from plots in GTM PV Bill of Materials Excerpt, in March 2011 PV news, estimate for 2010:
$7.5/1.6m^2 module</t>
        </r>
      </text>
    </comment>
    <comment ref="C188" authorId="0" shapeId="0">
      <text>
        <r>
          <rPr>
            <b/>
            <sz val="9"/>
            <color indexed="81"/>
            <rFont val="Tahoma"/>
            <family val="2"/>
          </rPr>
          <t>Doug Powell:</t>
        </r>
        <r>
          <rPr>
            <sz val="9"/>
            <color indexed="81"/>
            <rFont val="Tahoma"/>
            <family val="2"/>
          </rPr>
          <t xml:space="preserve">
From browsing:
http://www.alibaba.com/trade/search?SearchText=solar+junction+box+price&amp;IndexArea=product_en&amp;fsb=y
on July 4th 2012 and July 30th 2012</t>
        </r>
      </text>
    </comment>
    <comment ref="C191" authorId="0" shapeId="0">
      <text>
        <r>
          <rPr>
            <b/>
            <sz val="9"/>
            <color indexed="81"/>
            <rFont val="Tahoma"/>
            <family val="2"/>
          </rPr>
          <t>Doug Powell:</t>
        </r>
        <r>
          <rPr>
            <sz val="9"/>
            <color indexed="81"/>
            <rFont val="Tahoma"/>
            <family val="2"/>
          </rPr>
          <t xml:space="preserve">
40 ft HC container
http://am.suntech-power.com/images/stories/pdf/datasheets/july2011/stp280_24vd_ulh4%20connector.pdf</t>
        </r>
      </text>
    </comment>
    <comment ref="B197" authorId="0" shapeId="0">
      <text>
        <r>
          <rPr>
            <b/>
            <sz val="9"/>
            <color indexed="81"/>
            <rFont val="Tahoma"/>
            <family val="2"/>
          </rPr>
          <t>Doug Powell:</t>
        </r>
        <r>
          <rPr>
            <sz val="9"/>
            <color indexed="81"/>
            <rFont val="Tahoma"/>
            <family val="2"/>
          </rPr>
          <t xml:space="preserve">
Following methodology of
A. Goodrich, et al., "A wafer-based monocrystalline silicon photovoltaics road map: Utilizing known technical improvement opportunities for further reductions in manufacturing costs," Solar Energy Materials &amp; Solar Cells, submitted
with formulation from 
R.D. Boehme, (2012, May 22). "Chapter 7: Capital budgeting cash flows," [Online]. Available: www.rdboehme.com/MBA_CF/Chapter07_emba.ppt 
and
D.A. Volkman, (2012, Oct 25). "Project Cash Flow Analysis," [Online]. Available: http://cba.unomaha.edu/faculty/dvolkman/WEB/bsad8360/embacashflow.ppt</t>
        </r>
      </text>
    </comment>
    <comment ref="C198" authorId="0" shapeId="0">
      <text>
        <r>
          <rPr>
            <b/>
            <sz val="9"/>
            <color indexed="81"/>
            <rFont val="Tahoma"/>
            <family val="2"/>
          </rPr>
          <t>Doug Powell:</t>
        </r>
        <r>
          <rPr>
            <sz val="9"/>
            <color indexed="81"/>
            <rFont val="Tahoma"/>
            <family val="2"/>
          </rPr>
          <t xml:space="preserve">
This variable cancels in MSP and IRR calculations</t>
        </r>
      </text>
    </comment>
    <comment ref="C199" authorId="0" shapeId="0">
      <text>
        <r>
          <rPr>
            <b/>
            <sz val="9"/>
            <color indexed="81"/>
            <rFont val="Tahoma"/>
            <family val="2"/>
          </rPr>
          <t>Doug Powell:</t>
        </r>
        <r>
          <rPr>
            <sz val="9"/>
            <color indexed="81"/>
            <rFont val="Tahoma"/>
            <family val="2"/>
          </rPr>
          <t xml:space="preserve">
From CPI, 12 month non-seasonally adjusted, 2.2% for October 2012.</t>
        </r>
      </text>
    </comment>
    <comment ref="C200" authorId="0" shapeId="0">
      <text>
        <r>
          <rPr>
            <b/>
            <sz val="9"/>
            <color indexed="81"/>
            <rFont val="Tahoma"/>
            <family val="2"/>
          </rPr>
          <t>Doug Powell:</t>
        </r>
        <r>
          <rPr>
            <sz val="9"/>
            <color indexed="81"/>
            <rFont val="Tahoma"/>
            <family val="2"/>
          </rPr>
          <t xml:space="preserve">
From CPI, 12 month non-seasonally adjusted, 2.2% for October 2012.</t>
        </r>
      </text>
    </comment>
    <comment ref="C201" authorId="0" shapeId="0">
      <text>
        <r>
          <rPr>
            <b/>
            <sz val="9"/>
            <color indexed="81"/>
            <rFont val="Tahoma"/>
            <family val="2"/>
          </rPr>
          <t>Doug Powell:</t>
        </r>
        <r>
          <rPr>
            <sz val="9"/>
            <color indexed="81"/>
            <rFont val="Tahoma"/>
            <family val="2"/>
          </rPr>
          <t xml:space="preserve">
Assumed value</t>
        </r>
      </text>
    </comment>
    <comment ref="C202" authorId="0" shapeId="0">
      <text>
        <r>
          <rPr>
            <b/>
            <sz val="9"/>
            <color indexed="81"/>
            <rFont val="Tahoma"/>
            <family val="2"/>
          </rPr>
          <t>Doug Powell:</t>
        </r>
        <r>
          <rPr>
            <sz val="9"/>
            <color indexed="81"/>
            <rFont val="Tahoma"/>
            <family val="2"/>
          </rPr>
          <t xml:space="preserve">
P. Dittmer, "U.S. Corporations suffer high effective tax rates by international standards," Tax Foundation, 2011.
and
C.P. Stickney and R.L. Weil, Financial accounting: An introduction to concepts, methods, and uses: Thomson South-Western, pp. 488, 2007.</t>
        </r>
      </text>
    </comment>
    <comment ref="C203"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C204"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B212" authorId="0" shapeId="0">
      <text>
        <r>
          <rPr>
            <b/>
            <sz val="9"/>
            <color indexed="81"/>
            <rFont val="Tahoma"/>
            <family val="2"/>
          </rPr>
          <t>Doug Powell:</t>
        </r>
        <r>
          <rPr>
            <sz val="9"/>
            <color indexed="81"/>
            <rFont val="Tahoma"/>
            <family val="2"/>
          </rPr>
          <t xml:space="preserve">
Separate DCF to account for different depreciation periods</t>
        </r>
      </text>
    </comment>
    <comment ref="G216"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16"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16" authorId="0" shapeId="0">
      <text>
        <r>
          <rPr>
            <b/>
            <sz val="9"/>
            <color indexed="81"/>
            <rFont val="Tahoma"/>
            <family val="2"/>
          </rPr>
          <t>Doug Powell:</t>
        </r>
        <r>
          <rPr>
            <sz val="9"/>
            <color indexed="81"/>
            <rFont val="Tahoma"/>
            <family val="2"/>
          </rPr>
          <t xml:space="preserve">
Includes selling, G&amp;A, and R&amp;D</t>
        </r>
      </text>
    </comment>
    <comment ref="N216" authorId="0" shapeId="0">
      <text>
        <r>
          <rPr>
            <b/>
            <sz val="9"/>
            <color indexed="81"/>
            <rFont val="Tahoma"/>
            <family val="2"/>
          </rPr>
          <t>Doug Powell:</t>
        </r>
        <r>
          <rPr>
            <sz val="9"/>
            <color indexed="81"/>
            <rFont val="Tahoma"/>
            <family val="2"/>
          </rPr>
          <t xml:space="preserve">
To consider tax implications of the salvage operation.</t>
        </r>
      </text>
    </comment>
    <comment ref="O216" authorId="0" shapeId="0">
      <text>
        <r>
          <rPr>
            <b/>
            <sz val="9"/>
            <color indexed="81"/>
            <rFont val="Tahoma"/>
            <family val="2"/>
          </rPr>
          <t>Doug Powell:</t>
        </r>
        <r>
          <rPr>
            <sz val="9"/>
            <color indexed="81"/>
            <rFont val="Tahoma"/>
            <family val="2"/>
          </rPr>
          <t xml:space="preserve">
Net Operating Loss
</t>
        </r>
      </text>
    </comment>
    <comment ref="P216" authorId="0" shapeId="0">
      <text>
        <r>
          <rPr>
            <b/>
            <sz val="9"/>
            <color indexed="81"/>
            <rFont val="Tahoma"/>
            <family val="2"/>
          </rPr>
          <t>Doug Powell:</t>
        </r>
        <r>
          <rPr>
            <sz val="9"/>
            <color indexed="81"/>
            <rFont val="Tahoma"/>
            <family val="2"/>
          </rPr>
          <t xml:space="preserve">
At end of  year. Unlimited Carry Forward</t>
        </r>
      </text>
    </comment>
    <comment ref="R216" authorId="0" shapeId="0">
      <text>
        <r>
          <rPr>
            <b/>
            <sz val="9"/>
            <color indexed="81"/>
            <rFont val="Tahoma"/>
            <family val="2"/>
          </rPr>
          <t>Doug Powell:</t>
        </r>
        <r>
          <rPr>
            <sz val="9"/>
            <color indexed="81"/>
            <rFont val="Tahoma"/>
            <family val="2"/>
          </rPr>
          <t xml:space="preserve">
Uses effective tax rate in conjunction with NOL</t>
        </r>
      </text>
    </comment>
    <comment ref="S216"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16"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16"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16" authorId="0" shapeId="0">
      <text>
        <r>
          <rPr>
            <b/>
            <sz val="9"/>
            <color indexed="81"/>
            <rFont val="Tahoma"/>
            <family val="2"/>
          </rPr>
          <t>Doug Powell:</t>
        </r>
        <r>
          <rPr>
            <sz val="9"/>
            <color indexed="81"/>
            <rFont val="Tahoma"/>
            <family val="2"/>
          </rPr>
          <t xml:space="preserve">
For the tax basis of salvaging the facility</t>
        </r>
      </text>
    </comment>
    <comment ref="G245"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45"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45" authorId="0" shapeId="0">
      <text>
        <r>
          <rPr>
            <b/>
            <sz val="9"/>
            <color indexed="81"/>
            <rFont val="Tahoma"/>
            <family val="2"/>
          </rPr>
          <t>Doug Powell:</t>
        </r>
        <r>
          <rPr>
            <sz val="9"/>
            <color indexed="81"/>
            <rFont val="Tahoma"/>
            <family val="2"/>
          </rPr>
          <t xml:space="preserve">
Includes selling, G&amp;A, and R&amp;D</t>
        </r>
      </text>
    </comment>
    <comment ref="N245" authorId="0" shapeId="0">
      <text>
        <r>
          <rPr>
            <b/>
            <sz val="9"/>
            <color indexed="81"/>
            <rFont val="Tahoma"/>
            <family val="2"/>
          </rPr>
          <t>Doug Powell:</t>
        </r>
        <r>
          <rPr>
            <sz val="9"/>
            <color indexed="81"/>
            <rFont val="Tahoma"/>
            <family val="2"/>
          </rPr>
          <t xml:space="preserve">
To consider tax implications of the salvage operation.</t>
        </r>
      </text>
    </comment>
    <comment ref="O245" authorId="0" shapeId="0">
      <text>
        <r>
          <rPr>
            <b/>
            <sz val="9"/>
            <color indexed="81"/>
            <rFont val="Tahoma"/>
            <family val="2"/>
          </rPr>
          <t>Doug Powell:</t>
        </r>
        <r>
          <rPr>
            <sz val="9"/>
            <color indexed="81"/>
            <rFont val="Tahoma"/>
            <family val="2"/>
          </rPr>
          <t xml:space="preserve">
Net Operating Loss
</t>
        </r>
      </text>
    </comment>
    <comment ref="P245" authorId="0" shapeId="0">
      <text>
        <r>
          <rPr>
            <b/>
            <sz val="9"/>
            <color indexed="81"/>
            <rFont val="Tahoma"/>
            <family val="2"/>
          </rPr>
          <t>Doug Powell:</t>
        </r>
        <r>
          <rPr>
            <sz val="9"/>
            <color indexed="81"/>
            <rFont val="Tahoma"/>
            <family val="2"/>
          </rPr>
          <t xml:space="preserve">
At end of  year. Unlimited Carry Forward</t>
        </r>
      </text>
    </comment>
    <comment ref="R245" authorId="0" shapeId="0">
      <text>
        <r>
          <rPr>
            <b/>
            <sz val="9"/>
            <color indexed="81"/>
            <rFont val="Tahoma"/>
            <family val="2"/>
          </rPr>
          <t>Doug Powell:</t>
        </r>
        <r>
          <rPr>
            <sz val="9"/>
            <color indexed="81"/>
            <rFont val="Tahoma"/>
            <family val="2"/>
          </rPr>
          <t xml:space="preserve">
Uses effective tax rate in conjunction with NOL</t>
        </r>
      </text>
    </comment>
    <comment ref="S245"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45"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45"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45" authorId="0" shapeId="0">
      <text>
        <r>
          <rPr>
            <b/>
            <sz val="9"/>
            <color indexed="81"/>
            <rFont val="Tahoma"/>
            <family val="2"/>
          </rPr>
          <t>Doug Powell:</t>
        </r>
        <r>
          <rPr>
            <sz val="9"/>
            <color indexed="81"/>
            <rFont val="Tahoma"/>
            <family val="2"/>
          </rPr>
          <t xml:space="preserve">
For the tax basis of salvaging the facility</t>
        </r>
      </text>
    </comment>
    <comment ref="G274"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74"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74" authorId="0" shapeId="0">
      <text>
        <r>
          <rPr>
            <b/>
            <sz val="9"/>
            <color indexed="81"/>
            <rFont val="Tahoma"/>
            <family val="2"/>
          </rPr>
          <t>Doug Powell:</t>
        </r>
        <r>
          <rPr>
            <sz val="9"/>
            <color indexed="81"/>
            <rFont val="Tahoma"/>
            <family val="2"/>
          </rPr>
          <t xml:space="preserve">
Includes selling, G&amp;A, and R&amp;D</t>
        </r>
      </text>
    </comment>
    <comment ref="N274" authorId="0" shapeId="0">
      <text>
        <r>
          <rPr>
            <b/>
            <sz val="9"/>
            <color indexed="81"/>
            <rFont val="Tahoma"/>
            <family val="2"/>
          </rPr>
          <t>Doug Powell:</t>
        </r>
        <r>
          <rPr>
            <sz val="9"/>
            <color indexed="81"/>
            <rFont val="Tahoma"/>
            <family val="2"/>
          </rPr>
          <t xml:space="preserve">
To consider tax implications of the salvage operation.</t>
        </r>
      </text>
    </comment>
    <comment ref="O274" authorId="0" shapeId="0">
      <text>
        <r>
          <rPr>
            <b/>
            <sz val="9"/>
            <color indexed="81"/>
            <rFont val="Tahoma"/>
            <family val="2"/>
          </rPr>
          <t>Doug Powell:</t>
        </r>
        <r>
          <rPr>
            <sz val="9"/>
            <color indexed="81"/>
            <rFont val="Tahoma"/>
            <family val="2"/>
          </rPr>
          <t xml:space="preserve">
Net Operating Loss
</t>
        </r>
      </text>
    </comment>
    <comment ref="P274" authorId="0" shapeId="0">
      <text>
        <r>
          <rPr>
            <b/>
            <sz val="9"/>
            <color indexed="81"/>
            <rFont val="Tahoma"/>
            <family val="2"/>
          </rPr>
          <t>Doug Powell:</t>
        </r>
        <r>
          <rPr>
            <sz val="9"/>
            <color indexed="81"/>
            <rFont val="Tahoma"/>
            <family val="2"/>
          </rPr>
          <t xml:space="preserve">
At end of  year. Unlimited Carry Forward</t>
        </r>
      </text>
    </comment>
    <comment ref="R274" authorId="0" shapeId="0">
      <text>
        <r>
          <rPr>
            <b/>
            <sz val="9"/>
            <color indexed="81"/>
            <rFont val="Tahoma"/>
            <family val="2"/>
          </rPr>
          <t>Doug Powell:</t>
        </r>
        <r>
          <rPr>
            <sz val="9"/>
            <color indexed="81"/>
            <rFont val="Tahoma"/>
            <family val="2"/>
          </rPr>
          <t xml:space="preserve">
Uses effective tax rate in conjunction with NOL</t>
        </r>
      </text>
    </comment>
    <comment ref="S274"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74"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74"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74" authorId="0" shapeId="0">
      <text>
        <r>
          <rPr>
            <b/>
            <sz val="9"/>
            <color indexed="81"/>
            <rFont val="Tahoma"/>
            <family val="2"/>
          </rPr>
          <t>Doug Powell:</t>
        </r>
        <r>
          <rPr>
            <sz val="9"/>
            <color indexed="81"/>
            <rFont val="Tahoma"/>
            <family val="2"/>
          </rPr>
          <t xml:space="preserve">
For the tax basis of salvaging the facility</t>
        </r>
      </text>
    </comment>
    <comment ref="G303"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303"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303" authorId="0" shapeId="0">
      <text>
        <r>
          <rPr>
            <b/>
            <sz val="9"/>
            <color indexed="81"/>
            <rFont val="Tahoma"/>
            <family val="2"/>
          </rPr>
          <t>Doug Powell:</t>
        </r>
        <r>
          <rPr>
            <sz val="9"/>
            <color indexed="81"/>
            <rFont val="Tahoma"/>
            <family val="2"/>
          </rPr>
          <t xml:space="preserve">
Includes selling, G&amp;A, and R&amp;D</t>
        </r>
      </text>
    </comment>
    <comment ref="N303" authorId="0" shapeId="0">
      <text>
        <r>
          <rPr>
            <b/>
            <sz val="9"/>
            <color indexed="81"/>
            <rFont val="Tahoma"/>
            <family val="2"/>
          </rPr>
          <t>Doug Powell:</t>
        </r>
        <r>
          <rPr>
            <sz val="9"/>
            <color indexed="81"/>
            <rFont val="Tahoma"/>
            <family val="2"/>
          </rPr>
          <t xml:space="preserve">
To consider tax implications of the salvage operation.</t>
        </r>
      </text>
    </comment>
    <comment ref="O303" authorId="0" shapeId="0">
      <text>
        <r>
          <rPr>
            <b/>
            <sz val="9"/>
            <color indexed="81"/>
            <rFont val="Tahoma"/>
            <family val="2"/>
          </rPr>
          <t>Doug Powell:</t>
        </r>
        <r>
          <rPr>
            <sz val="9"/>
            <color indexed="81"/>
            <rFont val="Tahoma"/>
            <family val="2"/>
          </rPr>
          <t xml:space="preserve">
Net Operating Loss
</t>
        </r>
      </text>
    </comment>
    <comment ref="P303" authorId="0" shapeId="0">
      <text>
        <r>
          <rPr>
            <b/>
            <sz val="9"/>
            <color indexed="81"/>
            <rFont val="Tahoma"/>
            <family val="2"/>
          </rPr>
          <t>Doug Powell:</t>
        </r>
        <r>
          <rPr>
            <sz val="9"/>
            <color indexed="81"/>
            <rFont val="Tahoma"/>
            <family val="2"/>
          </rPr>
          <t xml:space="preserve">
At end of  year. Unlimited Carry Forward</t>
        </r>
      </text>
    </comment>
    <comment ref="R303" authorId="0" shapeId="0">
      <text>
        <r>
          <rPr>
            <b/>
            <sz val="9"/>
            <color indexed="81"/>
            <rFont val="Tahoma"/>
            <family val="2"/>
          </rPr>
          <t>Doug Powell:</t>
        </r>
        <r>
          <rPr>
            <sz val="9"/>
            <color indexed="81"/>
            <rFont val="Tahoma"/>
            <family val="2"/>
          </rPr>
          <t xml:space="preserve">
Uses effective tax rate in conjunction with NOL</t>
        </r>
      </text>
    </comment>
    <comment ref="S303"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303"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303"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303" authorId="0" shapeId="0">
      <text>
        <r>
          <rPr>
            <b/>
            <sz val="9"/>
            <color indexed="81"/>
            <rFont val="Tahoma"/>
            <family val="2"/>
          </rPr>
          <t>Doug Powell:</t>
        </r>
        <r>
          <rPr>
            <sz val="9"/>
            <color indexed="81"/>
            <rFont val="Tahoma"/>
            <family val="2"/>
          </rPr>
          <t xml:space="preserve">
For the tax basis of salvaging the facility</t>
        </r>
      </text>
    </comment>
    <comment ref="C330" authorId="0" shapeId="0">
      <text>
        <r>
          <rPr>
            <b/>
            <sz val="9"/>
            <color indexed="81"/>
            <rFont val="Tahoma"/>
            <family val="2"/>
          </rPr>
          <t>Doug Powell:</t>
        </r>
        <r>
          <rPr>
            <sz val="9"/>
            <color indexed="81"/>
            <rFont val="Tahoma"/>
            <family val="2"/>
          </rPr>
          <t xml:space="preserve">
Assumed for income statement, with input from A. Goodrich's work</t>
        </r>
      </text>
    </comment>
    <comment ref="C331" authorId="0" shapeId="0">
      <text>
        <r>
          <rPr>
            <b/>
            <sz val="9"/>
            <color indexed="81"/>
            <rFont val="Tahoma"/>
            <family val="2"/>
          </rPr>
          <t>Doug Powell:</t>
        </r>
        <r>
          <rPr>
            <sz val="9"/>
            <color indexed="81"/>
            <rFont val="Tahoma"/>
            <family val="2"/>
          </rPr>
          <t xml:space="preserve">
Assumed for income statement</t>
        </r>
      </text>
    </comment>
    <comment ref="C332" authorId="0" shapeId="0">
      <text>
        <r>
          <rPr>
            <b/>
            <sz val="9"/>
            <color indexed="81"/>
            <rFont val="Tahoma"/>
            <family val="2"/>
          </rPr>
          <t>Doug Powell:</t>
        </r>
        <r>
          <rPr>
            <sz val="9"/>
            <color indexed="81"/>
            <rFont val="Tahoma"/>
            <family val="2"/>
          </rPr>
          <t xml:space="preserve">
Assumed for income statement</t>
        </r>
      </text>
    </comment>
    <comment ref="F355" authorId="0" shapeId="0">
      <text>
        <r>
          <rPr>
            <b/>
            <sz val="9"/>
            <color indexed="81"/>
            <rFont val="Tahoma"/>
            <family val="2"/>
          </rPr>
          <t>Doug Powell:</t>
        </r>
        <r>
          <rPr>
            <sz val="9"/>
            <color indexed="81"/>
            <rFont val="Tahoma"/>
            <family val="2"/>
          </rPr>
          <t xml:space="preserve">
Assuming Operating expenses are fixed</t>
        </r>
      </text>
    </comment>
    <comment ref="I355" authorId="0" shapeId="0">
      <text>
        <r>
          <rPr>
            <b/>
            <sz val="9"/>
            <color indexed="81"/>
            <rFont val="Tahoma"/>
            <family val="2"/>
          </rPr>
          <t>Doug Powell:</t>
        </r>
        <r>
          <rPr>
            <sz val="9"/>
            <color indexed="81"/>
            <rFont val="Tahoma"/>
            <family val="2"/>
          </rPr>
          <t xml:space="preserve">
Assuming Operating expenses are fixed</t>
        </r>
      </text>
    </comment>
    <comment ref="C378"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 ref="C379"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List>
</comments>
</file>

<file path=xl/comments3.xml><?xml version="1.0" encoding="utf-8"?>
<comments xmlns="http://schemas.openxmlformats.org/spreadsheetml/2006/main">
  <authors>
    <author>Doug Powell</author>
  </authors>
  <commentList>
    <comment ref="C8" authorId="0" shapeId="0">
      <text>
        <r>
          <rPr>
            <b/>
            <sz val="9"/>
            <color indexed="81"/>
            <rFont val="Tahoma"/>
            <family val="2"/>
          </rPr>
          <t>Doug Powell:</t>
        </r>
        <r>
          <rPr>
            <sz val="9"/>
            <color indexed="81"/>
            <rFont val="Tahoma"/>
            <family val="2"/>
          </rPr>
          <t xml:space="preserve">
ITRPV Roadmap 20% cells from pseudo-mono, and improved AR glass and encapsulation technologies to improve module knockdown by 98.5/96 = 2.5 % to .88*1.025=.9. 20*.9 app. 18%
Module Knockdown Factors (module vs lab cell efficiency)
0.84 Sunpower from 24 to 20.2
.88 for Sayno Hit Cell
.88 Suntech Pluto average cell (17) to Pluto module (14.8)</t>
        </r>
      </text>
    </comment>
    <comment ref="C10" authorId="0" shapeId="0">
      <text>
        <r>
          <rPr>
            <b/>
            <sz val="9"/>
            <color indexed="81"/>
            <rFont val="Tahoma"/>
            <family val="2"/>
          </rPr>
          <t xml:space="preserve">Doug Powell:
</t>
        </r>
        <r>
          <rPr>
            <sz val="9"/>
            <color indexed="81"/>
            <rFont val="Tahoma"/>
            <family val="2"/>
          </rPr>
          <t>Centrotherm from poly:
2,7000 t to 107 million wafers at 180 um  =45%
2,7000 t to 124 million wafers at 170 um  =45%
http://www.gaccsouth.com/fileadmin/ahk_atlanta/Bilder_Houston/Bilder/Texas_Renewables/05_Centrotherm_Faller.ppt_ohne_extra_slides.pdf_web.pdf</t>
        </r>
        <r>
          <rPr>
            <b/>
            <sz val="9"/>
            <color indexed="81"/>
            <rFont val="Tahoma"/>
            <family val="2"/>
          </rPr>
          <t xml:space="preserve">
</t>
        </r>
        <r>
          <rPr>
            <sz val="9"/>
            <color indexed="81"/>
            <rFont val="Tahoma"/>
            <family val="2"/>
          </rPr>
          <t>Applied from ingot</t>
        </r>
        <r>
          <rPr>
            <b/>
            <sz val="9"/>
            <color indexed="81"/>
            <rFont val="Tahoma"/>
            <family val="2"/>
          </rPr>
          <t xml:space="preserve">
</t>
        </r>
        <r>
          <rPr>
            <sz val="9"/>
            <color indexed="81"/>
            <rFont val="Tahoma"/>
            <family val="2"/>
          </rPr>
          <t xml:space="preserve">Total material yield of silicon ingot squaring, sawing etc.  50 - 55% 
http://www.appliedmaterials.com/sites/default/files/wafering_economics_whitepaper.pdf
</t>
        </r>
      </text>
    </comment>
    <comment ref="C12" authorId="0" shapeId="0">
      <text>
        <r>
          <rPr>
            <b/>
            <sz val="9"/>
            <color indexed="81"/>
            <rFont val="Tahoma"/>
            <family val="2"/>
          </rPr>
          <t xml:space="preserve">Doug Powell:
</t>
        </r>
        <r>
          <rPr>
            <sz val="9"/>
            <color indexed="81"/>
            <rFont val="Tahoma"/>
            <family val="2"/>
          </rPr>
          <t xml:space="preserve">Approximate average of median wage for job code 51-2022, "Electrical and Electronic Equipment Assemblers" and 51-9141 "Semiconductor Processors" in the U.S. Department of Labor Bureau of Labor Statistics, May 2011 National Industry-Specific Occupational Employment and Wage Estimates: NAICS 334400 - Semiconductor and Other Electronic Component Manufacturing, 2011.
</t>
        </r>
      </text>
    </comment>
    <comment ref="C13" authorId="0" shapeId="0">
      <text>
        <r>
          <rPr>
            <b/>
            <sz val="9"/>
            <color indexed="81"/>
            <rFont val="Tahoma"/>
            <family val="2"/>
          </rPr>
          <t xml:space="preserve">Doug Powell:
</t>
        </r>
        <r>
          <rPr>
            <sz val="9"/>
            <color indexed="81"/>
            <rFont val="Tahoma"/>
            <family val="2"/>
          </rPr>
          <t xml:space="preserve">Approximate average of median wage for job code 51-4012 "Computer Numerically Controlled Machine Tool Programmers, Metal and Plastic" in the U.S. Department of Labor Bureau of Labor Statistics, May 2011 National Industry-Specific Occupational Employment and Wage Estimates: NAICS 334400 - Semiconductor and Other Electronic Component Manufacturing, 2011.
</t>
        </r>
      </text>
    </comment>
    <comment ref="C14" authorId="0" shapeId="0">
      <text>
        <r>
          <rPr>
            <b/>
            <sz val="9"/>
            <color indexed="81"/>
            <rFont val="Tahoma"/>
            <family val="2"/>
          </rPr>
          <t xml:space="preserve">Doug Powell:
</t>
        </r>
        <r>
          <rPr>
            <sz val="9"/>
            <color indexed="81"/>
            <rFont val="Tahoma"/>
            <family val="2"/>
          </rPr>
          <t xml:space="preserve">Approximate average of median wage for job code 51-1011 "First-Line Supervisors of Production and Operating Workers" in the U.S. Department of Labor Bureau of Labor Statistics, May 2011 National Industry-Specific Occupational Employment and Wage Estimates: NAICS 334400 - Semiconductor and Other Electronic Component Manufacturing, 2011.
</t>
        </r>
      </text>
    </comment>
    <comment ref="C15" authorId="0" shapeId="0">
      <text>
        <r>
          <rPr>
            <b/>
            <sz val="9"/>
            <color indexed="81"/>
            <rFont val="Tahoma"/>
            <family val="2"/>
          </rPr>
          <t xml:space="preserve">Doug Powell:
</t>
        </r>
        <r>
          <rPr>
            <sz val="9"/>
            <color indexed="81"/>
            <rFont val="Tahoma"/>
            <family val="2"/>
          </rPr>
          <t xml:space="preserve">Base pay times 1.325 for US
http://web.mit.edu/e-club/hadzima/how-much-does-an-employee-cost.html
</t>
        </r>
      </text>
    </comment>
    <comment ref="C16" authorId="0" shapeId="0">
      <text>
        <r>
          <rPr>
            <b/>
            <sz val="9"/>
            <color indexed="81"/>
            <rFont val="Tahoma"/>
            <family val="2"/>
          </rPr>
          <t>Doug Powell:</t>
        </r>
        <r>
          <rPr>
            <sz val="9"/>
            <color indexed="81"/>
            <rFont val="Tahoma"/>
            <family val="2"/>
          </rPr>
          <t xml:space="preserve">
2011 Industrial Average from 
U.S. EIA, Electric Power Monthly February 2012 (data to December) 
Table 5.6.B</t>
        </r>
      </text>
    </comment>
    <comment ref="C18" authorId="0" shapeId="0">
      <text>
        <r>
          <rPr>
            <b/>
            <sz val="9"/>
            <color indexed="81"/>
            <rFont val="Tahoma"/>
            <family val="2"/>
          </rPr>
          <t>Doug Powell:</t>
        </r>
        <r>
          <rPr>
            <sz val="9"/>
            <color indexed="81"/>
            <rFont val="Tahoma"/>
            <family val="2"/>
          </rPr>
          <t xml:space="preserve">
ITRPV Roadmap</t>
        </r>
      </text>
    </comment>
    <comment ref="C25" authorId="0" shapeId="0">
      <text>
        <r>
          <rPr>
            <b/>
            <sz val="9"/>
            <color indexed="81"/>
            <rFont val="Tahoma"/>
            <family val="2"/>
          </rPr>
          <t>Doug Powell:</t>
        </r>
        <r>
          <rPr>
            <sz val="9"/>
            <color indexed="81"/>
            <rFont val="Tahoma"/>
            <family val="2"/>
          </rPr>
          <t xml:space="preserve">
Includes Breakage</t>
        </r>
      </text>
    </comment>
    <comment ref="L28" authorId="0" shapeId="0">
      <text>
        <r>
          <rPr>
            <b/>
            <sz val="9"/>
            <color indexed="81"/>
            <rFont val="Tahoma"/>
            <family val="2"/>
          </rPr>
          <t>Doug Powell:</t>
        </r>
        <r>
          <rPr>
            <sz val="9"/>
            <color indexed="81"/>
            <rFont val="Tahoma"/>
            <family val="2"/>
          </rPr>
          <t xml:space="preserve">
Pre-multiplier</t>
        </r>
      </text>
    </comment>
    <comment ref="D29" authorId="0" shapeId="0">
      <text>
        <r>
          <rPr>
            <b/>
            <sz val="9"/>
            <color indexed="81"/>
            <rFont val="Tahoma"/>
            <family val="2"/>
          </rPr>
          <t>Doug Powell:</t>
        </r>
        <r>
          <rPr>
            <sz val="9"/>
            <color indexed="81"/>
            <rFont val="Tahoma"/>
            <family val="2"/>
          </rPr>
          <t xml:space="preserve">
Pre-multiplier</t>
        </r>
      </text>
    </comment>
    <comment ref="F29" authorId="0" shapeId="0">
      <text>
        <r>
          <rPr>
            <b/>
            <sz val="9"/>
            <color indexed="81"/>
            <rFont val="Tahoma"/>
            <family val="2"/>
          </rPr>
          <t>Doug Powell:</t>
        </r>
        <r>
          <rPr>
            <sz val="9"/>
            <color indexed="81"/>
            <rFont val="Tahoma"/>
            <family val="2"/>
          </rPr>
          <t xml:space="preserve">
Note that some of theses costs are not naturally area dependent, e.g. JB and Cable.</t>
        </r>
      </text>
    </comment>
    <comment ref="E31" authorId="0" shapeId="0">
      <text>
        <r>
          <rPr>
            <b/>
            <sz val="9"/>
            <color indexed="81"/>
            <rFont val="Tahoma"/>
            <family val="2"/>
          </rPr>
          <t>Doug Powell:</t>
        </r>
        <r>
          <rPr>
            <sz val="9"/>
            <color indexed="81"/>
            <rFont val="Tahoma"/>
            <family val="2"/>
          </rPr>
          <t xml:space="preserve">
Modify with Capex Multiplier in Depreciation box in order to fully reflect change in DCF analysis.</t>
        </r>
      </text>
    </comment>
    <comment ref="C43" authorId="0" shapeId="0">
      <text>
        <r>
          <rPr>
            <b/>
            <sz val="9"/>
            <color indexed="81"/>
            <rFont val="Tahoma"/>
            <family val="2"/>
          </rPr>
          <t>Doug Powell:</t>
        </r>
        <r>
          <rPr>
            <sz val="9"/>
            <color indexed="81"/>
            <rFont val="Tahoma"/>
            <family val="2"/>
          </rPr>
          <t xml:space="preserve">
Based off GTM PV Bill of Materials Excerpt, in March 2011 PV news.
Adjusted down to 20% of original value from looking at 
J. Herron, "Looking under the hood: Equipment makers disclose cost analyses, showing room for improvement as module makers search for profits," PHOTON International, vol. 5, pp. 90-98, 2012
Then doubled.  Final answer aligns with J. Berwind, "PV manufacturing materials: Technological and process-related options for cost reduction," Photovoltaics International, vol. 1st Quarter, 2012.</t>
        </r>
      </text>
    </comment>
    <comment ref="C55" authorId="0" shapeId="0">
      <text>
        <r>
          <rPr>
            <b/>
            <sz val="9"/>
            <color indexed="81"/>
            <rFont val="Tahoma"/>
            <family val="2"/>
          </rPr>
          <t xml:space="preserve">Doug Powell:
</t>
        </r>
        <r>
          <rPr>
            <sz val="9"/>
            <color indexed="81"/>
            <rFont val="Tahoma"/>
            <family val="2"/>
          </rPr>
          <t>156 mm wafer</t>
        </r>
      </text>
    </comment>
    <comment ref="C56" authorId="0" shapeId="0">
      <text>
        <r>
          <rPr>
            <b/>
            <sz val="9"/>
            <color indexed="81"/>
            <rFont val="Tahoma"/>
            <family val="2"/>
          </rPr>
          <t>Doug Powell:</t>
        </r>
        <r>
          <rPr>
            <sz val="9"/>
            <color indexed="81"/>
            <rFont val="Tahoma"/>
            <family val="2"/>
          </rPr>
          <t xml:space="preserve">
89% for six inch square multi. 
http://www.gaccsouth.com/fileadmin/ahk_atlanta/Bilder_Houston/Bilder/Texas_Renewables/05_Centrotherm_Faller.ppt_ohne_extra_slides.pdf_web.pdf</t>
        </r>
      </text>
    </comment>
    <comment ref="B68" authorId="0" shapeId="0">
      <text>
        <r>
          <rPr>
            <b/>
            <sz val="9"/>
            <color indexed="81"/>
            <rFont val="Tahoma"/>
            <family val="2"/>
          </rPr>
          <t>Doug Powell:</t>
        </r>
        <r>
          <rPr>
            <sz val="9"/>
            <color indexed="81"/>
            <rFont val="Tahoma"/>
            <family val="2"/>
          </rPr>
          <t xml:space="preserve">
at 100% yield and uptime
</t>
        </r>
      </text>
    </comment>
    <comment ref="C68" authorId="0" shapeId="0">
      <text>
        <r>
          <rPr>
            <b/>
            <sz val="9"/>
            <color indexed="81"/>
            <rFont val="Tahoma"/>
            <family val="2"/>
          </rPr>
          <t>Doug Powell:</t>
        </r>
        <r>
          <rPr>
            <sz val="9"/>
            <color indexed="81"/>
            <rFont val="Tahoma"/>
            <family val="2"/>
          </rPr>
          <t xml:space="preserve">
A. Kreutzmann and M. Schmela, Photon International, 2008, 12, 84-92.
From stated throughput of 347 MW/yr with assumed uptime of 95% and net yield of 92%</t>
        </r>
      </text>
    </comment>
    <comment ref="C69" authorId="0" shapeId="0">
      <text>
        <r>
          <rPr>
            <b/>
            <sz val="9"/>
            <color indexed="81"/>
            <rFont val="Tahoma"/>
            <family val="2"/>
          </rPr>
          <t>Doug Powell:</t>
        </r>
        <r>
          <rPr>
            <sz val="9"/>
            <color indexed="81"/>
            <rFont val="Tahoma"/>
            <family val="2"/>
          </rPr>
          <t xml:space="preserve">
A. Kreutzmann and M. Schmela, Photon International, 2008, 12, 84-92.
217 W from 1.6 m^2
</t>
        </r>
      </text>
    </comment>
    <comment ref="B70" authorId="0" shapeId="0">
      <text>
        <r>
          <rPr>
            <b/>
            <sz val="9"/>
            <color indexed="81"/>
            <rFont val="Tahoma"/>
            <family val="2"/>
          </rPr>
          <t>Doug Powell:</t>
        </r>
        <r>
          <rPr>
            <sz val="9"/>
            <color indexed="81"/>
            <rFont val="Tahoma"/>
            <family val="2"/>
          </rPr>
          <t xml:space="preserve">
at 100% yield and uptime
</t>
        </r>
      </text>
    </comment>
    <comment ref="B73" authorId="0" shapeId="0">
      <text>
        <r>
          <rPr>
            <b/>
            <sz val="9"/>
            <color indexed="81"/>
            <rFont val="Tahoma"/>
            <family val="2"/>
          </rPr>
          <t>Doug Powell:</t>
        </r>
        <r>
          <rPr>
            <sz val="9"/>
            <color indexed="81"/>
            <rFont val="Tahoma"/>
            <family val="2"/>
          </rPr>
          <t xml:space="preserve">
With actual yield and uptime</t>
        </r>
      </text>
    </comment>
    <comment ref="C73" authorId="0" shapeId="0">
      <text>
        <r>
          <rPr>
            <b/>
            <sz val="9"/>
            <color indexed="81"/>
            <rFont val="Tahoma"/>
            <family val="2"/>
          </rPr>
          <t>Doug Powell:</t>
        </r>
        <r>
          <rPr>
            <sz val="9"/>
            <color indexed="81"/>
            <rFont val="Tahoma"/>
            <family val="2"/>
          </rPr>
          <t xml:space="preserve">
Assume infinite buffers between steps</t>
        </r>
      </text>
    </comment>
    <comment ref="C75"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6"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7" authorId="0" shapeId="0">
      <text>
        <r>
          <rPr>
            <b/>
            <sz val="9"/>
            <color indexed="81"/>
            <rFont val="Tahoma"/>
            <family val="2"/>
          </rPr>
          <t>Doug Powell:</t>
        </r>
        <r>
          <rPr>
            <sz val="9"/>
            <color indexed="81"/>
            <rFont val="Tahoma"/>
            <family val="2"/>
          </rPr>
          <t xml:space="preserve">
From personal communication. 
5 years from J. Herron, "Looking under the hood: Equipment makers disclose cost analyses, showing room for improvement as module makers search for profits", Photon International, vol. 5, pp. 90-98, 2012.</t>
        </r>
      </text>
    </comment>
    <comment ref="C78"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9"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82"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0.7 was applied as we received feedback of our estimates being too high for ingot casting. 
In S.K. Chunduri, “The bigger, the better: Market survey on crystal growth equipment,” PHOTON International, 6 , 2012, 158 – 179 the depreciation expense of crystallization is approximately 1.5 times the cost of the electricity for ingot and the crucible.</t>
        </r>
      </text>
    </comment>
    <comment ref="C83"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t>
        </r>
      </text>
    </comment>
    <comment ref="C84"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t>
        </r>
      </text>
    </comment>
    <comment ref="C85"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
The result in 2012 was still much higher than expected by the evidence presented in the Intertech PV Webinar, "Competitive Manufacturing of Crystalline Silicon PV Modules in the US", given by Roger G. Little of Spire, and the data presented in J. Herron, "Looking under the hood: Equipment makers disclose cost analyses, showing room for improvement as module makers search for profits", Photon International, vol. 5, pp. 90-98, 2012.  Therefore, the value was further adjusted down with the multiplier determined for the standard mc-Si case.</t>
        </r>
      </text>
    </comment>
    <comment ref="C89"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89" authorId="0" shapeId="0">
      <text>
        <r>
          <rPr>
            <b/>
            <sz val="9"/>
            <color indexed="81"/>
            <rFont val="Tahoma"/>
            <family val="2"/>
          </rPr>
          <t>Doug Powell:</t>
        </r>
        <r>
          <rPr>
            <sz val="9"/>
            <color indexed="81"/>
            <rFont val="Tahoma"/>
            <family val="2"/>
          </rPr>
          <t xml:space="preserve">
For completing sensitivity analysis</t>
        </r>
      </text>
    </comment>
    <comment ref="C90"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91" authorId="0" shapeId="0">
      <text>
        <r>
          <rPr>
            <b/>
            <sz val="9"/>
            <color indexed="81"/>
            <rFont val="Tahoma"/>
            <family val="2"/>
          </rPr>
          <t>Doug Powell:</t>
        </r>
        <r>
          <rPr>
            <sz val="9"/>
            <color indexed="81"/>
            <rFont val="Tahoma"/>
            <family val="2"/>
          </rPr>
          <t xml:space="preserve">
For completing sensitivity analysis</t>
        </r>
      </text>
    </comment>
    <comment ref="C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D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E100"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D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E101"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D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E102"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D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E103"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7" authorId="0" shapeId="0">
      <text>
        <r>
          <rPr>
            <b/>
            <sz val="9"/>
            <color indexed="81"/>
            <rFont val="Tahoma"/>
            <family val="2"/>
          </rPr>
          <t>Doug Powell:</t>
        </r>
        <r>
          <rPr>
            <sz val="9"/>
            <color indexed="81"/>
            <rFont val="Tahoma"/>
            <family val="2"/>
          </rPr>
          <t xml:space="preserve">
1000 kg gen 6 from ITRPV PV Roadmap </t>
        </r>
      </text>
    </comment>
    <comment ref="C108" authorId="0" shapeId="0">
      <text>
        <r>
          <rPr>
            <b/>
            <sz val="9"/>
            <color indexed="81"/>
            <rFont val="Tahoma"/>
            <family val="2"/>
          </rPr>
          <t>Doug Powell:</t>
        </r>
        <r>
          <rPr>
            <sz val="9"/>
            <color indexed="81"/>
            <rFont val="Tahoma"/>
            <family val="2"/>
          </rPr>
          <t xml:space="preserve">
A. Kreutzmann and M. Schmela, Photon International, 2008, 12, 84-92, gen 5 crucible cost $1850, 
Alibaba cost in 5/2012 for only listed supplier for gen 4 = ~750 for gen 5 = ~850
http://www.alibaba.com/trade/search?SearchText=gen+crucible&amp;Country=&amp;IndexArea=product_en&amp;fsb=y
Assume 1.5 times cost for Alibaba supplier for more mainstream supplier estimate, i.e. Ceradyne, to create crucible cost vs. Ingot mass curve</t>
        </r>
      </text>
    </comment>
    <comment ref="C114" authorId="0" shapeId="0">
      <text>
        <r>
          <rPr>
            <b/>
            <sz val="9"/>
            <color indexed="81"/>
            <rFont val="Tahoma"/>
            <family val="2"/>
          </rPr>
          <t>Doug Powell:</t>
        </r>
        <r>
          <rPr>
            <sz val="9"/>
            <color indexed="81"/>
            <rFont val="Tahoma"/>
            <family val="2"/>
          </rPr>
          <t xml:space="preserve">
Based on estimated 2012 price of 76,800 RMB / tonne for Bekaert: M. Bakker, "Adjusting to new sawing wire reality - downgrade to HOLD," ABN AMRO Bank N.V., June 2011. and calculated price of 55,000 RMB / tonne from: Xingda International Holdings Limited, "Annual Report 2011," 2012.  while assuming a wire density of  about 11000 km/tonne and .1568 USD/RMB.
This is below two earlier estimates:
1.28 $/km for standard wire -Berwid, "PV Manufacturing materials: Technological and process-related options for cost reduction" PVI 2012, First Quarter
1.5 to 2.0 $/km for standard wire, $200 for diamond wire. S.K. Chunduri, "Diamond Wire - The Die has been cast", Photon international 5 (2011)</t>
        </r>
      </text>
    </comment>
    <comment ref="C115"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6"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9"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20" authorId="0" shapeId="0">
      <text>
        <r>
          <rPr>
            <b/>
            <sz val="9"/>
            <color indexed="81"/>
            <rFont val="Tahoma"/>
            <family val="2"/>
          </rPr>
          <t>Doug Powell:</t>
        </r>
        <r>
          <rPr>
            <sz val="9"/>
            <color indexed="81"/>
            <rFont val="Tahoma"/>
            <family val="2"/>
          </rPr>
          <t xml:space="preserve">
Not the same as total material yield because a significant amount is lost in squaring and bricking the ingot</t>
        </r>
      </text>
    </comment>
    <comment ref="C128" authorId="0" shapeId="0">
      <text>
        <r>
          <rPr>
            <b/>
            <sz val="9"/>
            <color indexed="81"/>
            <rFont val="Tahoma"/>
            <family val="2"/>
          </rPr>
          <t>Doug Powell:</t>
        </r>
        <r>
          <rPr>
            <sz val="9"/>
            <color indexed="81"/>
            <rFont val="Tahoma"/>
            <family val="2"/>
          </rPr>
          <t xml:space="preserve">
"Together with our customers, we race for grid parity" Ask the Experts with Bekaert Group in Power &amp; Energy Solutions
0.137 kg/wafer for 120 </t>
        </r>
        <r>
          <rPr>
            <sz val="9"/>
            <color indexed="81"/>
            <rFont val="Calibri"/>
            <family val="2"/>
          </rPr>
          <t>μ</t>
        </r>
        <r>
          <rPr>
            <sz val="9"/>
            <color indexed="81"/>
            <rFont val="Tahoma"/>
            <family val="2"/>
          </rPr>
          <t>m wire
.091 kg/wafer for 80 μm wire</t>
        </r>
      </text>
    </comment>
    <comment ref="C129" authorId="0" shapeId="0">
      <text>
        <r>
          <rPr>
            <b/>
            <sz val="9"/>
            <color indexed="81"/>
            <rFont val="Tahoma"/>
            <family val="2"/>
          </rPr>
          <t>Doug Powell:</t>
        </r>
        <r>
          <rPr>
            <sz val="9"/>
            <color indexed="81"/>
            <rFont val="Tahoma"/>
            <family val="2"/>
          </rPr>
          <t xml:space="preserve">
Slurry cost is roughly estimated from the proportion of slurry cost to wire cost 8/6 = 1.33 reported by Applied Materials, "Wafer Wire Sawing Economics and Total Cost of Ownership Optimization", 2011
The resulting per wafer cost is less than the 0.16 $/wafer reported by Berwid, "PV Manufacturing materials: Technological and process-related options for cost reduction" PVI 2012, First Quarter</t>
        </r>
      </text>
    </comment>
    <comment ref="C135" authorId="0" shapeId="0">
      <text>
        <r>
          <rPr>
            <b/>
            <sz val="9"/>
            <color indexed="81"/>
            <rFont val="Tahoma"/>
            <family val="2"/>
          </rPr>
          <t>Doug Powell:</t>
        </r>
        <r>
          <rPr>
            <sz val="9"/>
            <color indexed="81"/>
            <rFont val="Tahoma"/>
            <family val="2"/>
          </rPr>
          <t xml:space="preserve">
A. Kreutzmann and M. Schmela, Photon International, 2008, 12, 84-92.
217 W/1.6m^2 module</t>
        </r>
      </text>
    </comment>
    <comment ref="C136" authorId="0" shapeId="0">
      <text>
        <r>
          <rPr>
            <b/>
            <sz val="9"/>
            <color indexed="81"/>
            <rFont val="Tahoma"/>
            <family val="2"/>
          </rPr>
          <t>Doug Powell:</t>
        </r>
        <r>
          <rPr>
            <sz val="9"/>
            <color indexed="81"/>
            <rFont val="Tahoma"/>
            <family val="2"/>
          </rPr>
          <t xml:space="preserve">
A. Kreutzmann and M. Schmela, Photon International, 2008, 12, 84-92.</t>
        </r>
      </text>
    </comment>
    <comment ref="C137" authorId="0" shapeId="0">
      <text>
        <r>
          <rPr>
            <b/>
            <sz val="9"/>
            <color indexed="81"/>
            <rFont val="Tahoma"/>
            <family val="2"/>
          </rPr>
          <t>Doug Powell:</t>
        </r>
        <r>
          <rPr>
            <sz val="9"/>
            <color indexed="81"/>
            <rFont val="Tahoma"/>
            <family val="2"/>
          </rPr>
          <t xml:space="preserve">
A. Kreutzmann and M. Schmela, Photon International, 2008, 12, 84-92.
</t>
        </r>
      </text>
    </comment>
    <comment ref="C138" authorId="0" shapeId="0">
      <text>
        <r>
          <rPr>
            <b/>
            <sz val="9"/>
            <color indexed="81"/>
            <rFont val="Tahoma"/>
            <family val="2"/>
          </rPr>
          <t>Doug Powell:</t>
        </r>
        <r>
          <rPr>
            <sz val="9"/>
            <color indexed="81"/>
            <rFont val="Tahoma"/>
            <family val="2"/>
          </rPr>
          <t xml:space="preserve">
A. Kreutzmann and M. Schmela, Photon International, 2008, 12, 84-92.
</t>
        </r>
      </text>
    </comment>
    <comment ref="C139" authorId="0" shapeId="0">
      <text>
        <r>
          <rPr>
            <b/>
            <sz val="9"/>
            <color indexed="81"/>
            <rFont val="Tahoma"/>
            <family val="2"/>
          </rPr>
          <t>Doug Powell:</t>
        </r>
        <r>
          <rPr>
            <sz val="9"/>
            <color indexed="81"/>
            <rFont val="Tahoma"/>
            <family val="2"/>
          </rPr>
          <t xml:space="preserve">
A. Kreutzmann and M. Schmela, Photon International, 2008, 12, 84-92.
</t>
        </r>
      </text>
    </comment>
    <comment ref="B147" authorId="0" shapeId="0">
      <text>
        <r>
          <rPr>
            <b/>
            <sz val="9"/>
            <color indexed="81"/>
            <rFont val="Tahoma"/>
            <family val="2"/>
          </rPr>
          <t>Doug Powell:</t>
        </r>
        <r>
          <rPr>
            <sz val="9"/>
            <color indexed="81"/>
            <rFont val="Tahoma"/>
            <family val="2"/>
          </rPr>
          <t xml:space="preserve">
The impact of yield loss is calculated in each cost category</t>
        </r>
      </text>
    </comment>
    <comment ref="C148" authorId="0" shapeId="0">
      <text>
        <r>
          <rPr>
            <b/>
            <sz val="9"/>
            <color indexed="81"/>
            <rFont val="Tahoma"/>
            <family val="2"/>
          </rPr>
          <t>Doug Powell:</t>
        </r>
        <r>
          <rPr>
            <sz val="9"/>
            <color indexed="81"/>
            <rFont val="Tahoma"/>
            <family val="2"/>
          </rPr>
          <t xml:space="preserve">
Applied Materials Wafering Economics Whitepaper, minimum of 95% quality yield</t>
        </r>
      </text>
    </comment>
    <comment ref="C149"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0"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4" authorId="0" shapeId="0">
      <text>
        <r>
          <rPr>
            <b/>
            <sz val="9"/>
            <color indexed="81"/>
            <rFont val="Tahoma"/>
            <family val="2"/>
          </rPr>
          <t>Doug Powell:</t>
        </r>
        <r>
          <rPr>
            <sz val="9"/>
            <color indexed="81"/>
            <rFont val="Tahoma"/>
            <family val="2"/>
          </rPr>
          <t xml:space="preserve">
http://answers.yahoo.com/question/index?qid=20110405132256AALC8wK</t>
        </r>
      </text>
    </comment>
    <comment ref="C155" authorId="0" shapeId="0">
      <text>
        <r>
          <rPr>
            <b/>
            <sz val="9"/>
            <color indexed="81"/>
            <rFont val="Tahoma"/>
            <family val="2"/>
          </rPr>
          <t>Doug Powell:</t>
        </r>
        <r>
          <rPr>
            <sz val="9"/>
            <color indexed="81"/>
            <rFont val="Tahoma"/>
            <family val="2"/>
          </rPr>
          <t xml:space="preserve">
3 sheets per to also account for shrink wrap
</t>
        </r>
      </text>
    </comment>
    <comment ref="C161" authorId="0" shapeId="0">
      <text>
        <r>
          <rPr>
            <b/>
            <sz val="9"/>
            <color indexed="81"/>
            <rFont val="Tahoma"/>
            <family val="2"/>
          </rPr>
          <t>Doug Powell:</t>
        </r>
        <r>
          <rPr>
            <sz val="9"/>
            <color indexed="81"/>
            <rFont val="Tahoma"/>
            <family val="2"/>
          </rPr>
          <t xml:space="preserve">
Based on 75% of paste cost being silver in J. Herron, Photon International, 8, 2011, 100-105
So Ni/Cu material is 25% of silver paste.
Silver paste price from: J. Herron, "Looking under the hood: Equipment makers disclose cost analyses, showing room for improvement as module makers search for profits", Photon International, vol. 5, pp. 90-98, 2012</t>
        </r>
      </text>
    </comment>
    <comment ref="B162" authorId="0" shapeId="0">
      <text>
        <r>
          <rPr>
            <b/>
            <sz val="9"/>
            <color indexed="81"/>
            <rFont val="Tahoma"/>
            <family val="2"/>
          </rPr>
          <t>Doug Powell:</t>
        </r>
        <r>
          <rPr>
            <sz val="9"/>
            <color indexed="81"/>
            <rFont val="Tahoma"/>
            <family val="2"/>
          </rPr>
          <t xml:space="preserve">
Assumes same use as silver paste in 2012</t>
        </r>
      </text>
    </comment>
    <comment ref="C162" authorId="0" shapeId="0">
      <text>
        <r>
          <rPr>
            <b/>
            <sz val="9"/>
            <color indexed="81"/>
            <rFont val="Tahoma"/>
            <family val="2"/>
          </rPr>
          <t>Doug Powell:</t>
        </r>
        <r>
          <rPr>
            <sz val="9"/>
            <color indexed="81"/>
            <rFont val="Tahoma"/>
            <family val="2"/>
          </rPr>
          <t xml:space="preserve">
2012 target on 
Crystalline Silicon PV Technology and Manufacturing (CTM) Group, "International technology roadmap for photovoltaics: Results 2011," SEMI PV Group, 2012.</t>
        </r>
      </text>
    </comment>
    <comment ref="C16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65" authorId="0" shapeId="0">
      <text>
        <r>
          <rPr>
            <b/>
            <sz val="9"/>
            <color indexed="81"/>
            <rFont val="Tahoma"/>
            <family val="2"/>
          </rPr>
          <t>Doug Powell:</t>
        </r>
        <r>
          <rPr>
            <sz val="9"/>
            <color indexed="81"/>
            <rFont val="Tahoma"/>
            <family val="2"/>
          </rPr>
          <t xml:space="preserve">
http://www.targray.com/documents/Al_Paste_for_Solar_Cells.pdf,
In line with S. Kim et al., "Aluminum Pastes (Lead-Free/Low-Bow) for Thin Wafers", IEEE 31st Photovoltaic Specialists Conference and Exhibition, Jan. 3-7, Orlando, Florida, USA</t>
        </r>
      </text>
    </comment>
    <comment ref="C17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81" authorId="0" shapeId="0">
      <text>
        <r>
          <rPr>
            <b/>
            <sz val="9"/>
            <color indexed="81"/>
            <rFont val="Tahoma"/>
            <family val="2"/>
          </rPr>
          <t>Doug Powell:</t>
        </r>
        <r>
          <rPr>
            <sz val="9"/>
            <color indexed="81"/>
            <rFont val="Tahoma"/>
            <family val="2"/>
          </rPr>
          <t xml:space="preserve">
From browsing:
http://www.alibaba.com/trade/search?SearchText=solar+frame+price&amp;IndexArea=product_en&amp;fsb=y 
Agrees well with GTM PV Bill of Materials Excerpt, in March 2011 PV news, estimate for 2010:
Based on perimeter $15/1.6m^2 module assuming 1.6 x 1 module</t>
        </r>
      </text>
    </comment>
    <comment ref="D181" authorId="0" shapeId="0">
      <text>
        <r>
          <rPr>
            <b/>
            <sz val="9"/>
            <color indexed="81"/>
            <rFont val="Tahoma"/>
            <family val="2"/>
          </rPr>
          <t>Doug Powell:</t>
        </r>
        <r>
          <rPr>
            <sz val="9"/>
            <color indexed="81"/>
            <rFont val="Tahoma"/>
            <family val="2"/>
          </rPr>
          <t xml:space="preserve">
Scales with Perimeter, assumes 1m base.</t>
        </r>
      </text>
    </comment>
    <comment ref="C183" authorId="0" shapeId="0">
      <text>
        <r>
          <rPr>
            <b/>
            <sz val="9"/>
            <color indexed="81"/>
            <rFont val="Tahoma"/>
            <family val="2"/>
          </rPr>
          <t>Doug Powell:</t>
        </r>
        <r>
          <rPr>
            <sz val="9"/>
            <color indexed="81"/>
            <rFont val="Tahoma"/>
            <family val="2"/>
          </rPr>
          <t xml:space="preserve">
From browsing:
http://www.alibaba.com/trade/search?SearchText=solar+backsheet&amp;IndexArea=Products&amp;fsb=y on July 4th 2012 and July 30th 2012
A little lower than
GTM PV Bill of Materials Excerpt, in March 2011 PV news, estimate for 2010:
$11.5/1.6m^2 module
</t>
        </r>
      </text>
    </comment>
    <comment ref="C184" authorId="0" shapeId="0">
      <text>
        <r>
          <rPr>
            <b/>
            <sz val="9"/>
            <color indexed="81"/>
            <rFont val="Tahoma"/>
            <family val="2"/>
          </rPr>
          <t>Doug Powell:</t>
        </r>
        <r>
          <rPr>
            <sz val="9"/>
            <color indexed="81"/>
            <rFont val="Tahoma"/>
            <family val="2"/>
          </rPr>
          <t xml:space="preserve">
From browsing:
http://www.alibaba.com/trade/search?SearchText=solar+eva&amp;IndexArea=Products&amp;fsb=y 
on July 4th 2012
GTM PV Bill of Materials Excerpt, in March 2011 PV news, estimate for 2010:
$9/1.6m^2 module,
but 2 sheets so
$9/3.2m^2 of material</t>
        </r>
      </text>
    </comment>
    <comment ref="C185" authorId="0" shapeId="0">
      <text>
        <r>
          <rPr>
            <b/>
            <sz val="9"/>
            <color indexed="81"/>
            <rFont val="Tahoma"/>
            <family val="2"/>
          </rPr>
          <t>Doug Powell:</t>
        </r>
        <r>
          <rPr>
            <sz val="9"/>
            <color indexed="81"/>
            <rFont val="Tahoma"/>
            <family val="2"/>
          </rPr>
          <t xml:space="preserve">
From browsing:
http://www.alibaba.com/showroom/solar-glass-price.html 
on July 4th 2012 and July 30th 2012.
Is a bit lower than  GTM PV Bill of Materials Excerpt, in March 2011 PV news, estimate for 2010:
$17/1.6m^2 module</t>
        </r>
      </text>
    </comment>
    <comment ref="C186" authorId="0" shapeId="0">
      <text>
        <r>
          <rPr>
            <b/>
            <sz val="9"/>
            <color indexed="81"/>
            <rFont val="Tahoma"/>
            <family val="2"/>
          </rPr>
          <t>Doug Powell:</t>
        </r>
        <r>
          <rPr>
            <sz val="9"/>
            <color indexed="81"/>
            <rFont val="Tahoma"/>
            <family val="2"/>
          </rPr>
          <t xml:space="preserve">
Calculated from plots in GTM PV Bill of Materials Excerpt, in March 2011 PV news, estimate for 2010:
$7.5/1.6m^2 module</t>
        </r>
      </text>
    </comment>
    <comment ref="C188" authorId="0" shapeId="0">
      <text>
        <r>
          <rPr>
            <b/>
            <sz val="9"/>
            <color indexed="81"/>
            <rFont val="Tahoma"/>
            <family val="2"/>
          </rPr>
          <t>Doug Powell:</t>
        </r>
        <r>
          <rPr>
            <sz val="9"/>
            <color indexed="81"/>
            <rFont val="Tahoma"/>
            <family val="2"/>
          </rPr>
          <t xml:space="preserve">
From browsing:
http://www.alibaba.com/trade/search?SearchText=solar+junction+box+price&amp;IndexArea=product_en&amp;fsb=y
on July 4th 2012 and July 30th 2012</t>
        </r>
      </text>
    </comment>
    <comment ref="C191" authorId="0" shapeId="0">
      <text>
        <r>
          <rPr>
            <b/>
            <sz val="9"/>
            <color indexed="81"/>
            <rFont val="Tahoma"/>
            <family val="2"/>
          </rPr>
          <t>Doug Powell:</t>
        </r>
        <r>
          <rPr>
            <sz val="9"/>
            <color indexed="81"/>
            <rFont val="Tahoma"/>
            <family val="2"/>
          </rPr>
          <t xml:space="preserve">
40 ft HC container
http://am.suntech-power.com/images/stories/pdf/datasheets/july2011/stp280_24vd_ulh4%20connector.pdf</t>
        </r>
      </text>
    </comment>
    <comment ref="B197" authorId="0" shapeId="0">
      <text>
        <r>
          <rPr>
            <b/>
            <sz val="9"/>
            <color indexed="81"/>
            <rFont val="Tahoma"/>
            <family val="2"/>
          </rPr>
          <t>Doug Powell:</t>
        </r>
        <r>
          <rPr>
            <sz val="9"/>
            <color indexed="81"/>
            <rFont val="Tahoma"/>
            <family val="2"/>
          </rPr>
          <t xml:space="preserve">
Following methodology of
A. Goodrich, et al., "A wafer-based monocrystalline silicon photovoltaics road map: Utilizing known technical improvement opportunities for further reductions in manufacturing costs," Solar Energy Materials &amp; Solar Cells, submitted
with formulation from 
R.D. Boehme, (2012, May 22). "Chapter 7: Capital budgeting cash flows," [Online]. Available: www.rdboehme.com/MBA_CF/Chapter07_emba.ppt 
and
D.A. Volkman, (2012, Oct 25). "Project Cash Flow Analysis," [Online]. Available: http://cba.unomaha.edu/faculty/dvolkman/WEB/bsad8360/embacashflow.ppt</t>
        </r>
      </text>
    </comment>
    <comment ref="C198" authorId="0" shapeId="0">
      <text>
        <r>
          <rPr>
            <b/>
            <sz val="9"/>
            <color indexed="81"/>
            <rFont val="Tahoma"/>
            <family val="2"/>
          </rPr>
          <t>Doug Powell:</t>
        </r>
        <r>
          <rPr>
            <sz val="9"/>
            <color indexed="81"/>
            <rFont val="Tahoma"/>
            <family val="2"/>
          </rPr>
          <t xml:space="preserve">
This variable cancels in MSP and IRR calculations</t>
        </r>
      </text>
    </comment>
    <comment ref="C199" authorId="0" shapeId="0">
      <text>
        <r>
          <rPr>
            <b/>
            <sz val="9"/>
            <color indexed="81"/>
            <rFont val="Tahoma"/>
            <family val="2"/>
          </rPr>
          <t>Doug Powell:</t>
        </r>
        <r>
          <rPr>
            <sz val="9"/>
            <color indexed="81"/>
            <rFont val="Tahoma"/>
            <family val="2"/>
          </rPr>
          <t xml:space="preserve">
From CPI, 12 month non-seasonally adjusted, 2.2% for October 2012.</t>
        </r>
      </text>
    </comment>
    <comment ref="C200" authorId="0" shapeId="0">
      <text>
        <r>
          <rPr>
            <b/>
            <sz val="9"/>
            <color indexed="81"/>
            <rFont val="Tahoma"/>
            <family val="2"/>
          </rPr>
          <t>Doug Powell:</t>
        </r>
        <r>
          <rPr>
            <sz val="9"/>
            <color indexed="81"/>
            <rFont val="Tahoma"/>
            <family val="2"/>
          </rPr>
          <t xml:space="preserve">
From CPI, 12 month non-seasonally adjusted, 2.2% for October 2012.</t>
        </r>
      </text>
    </comment>
    <comment ref="C201" authorId="0" shapeId="0">
      <text>
        <r>
          <rPr>
            <b/>
            <sz val="9"/>
            <color indexed="81"/>
            <rFont val="Tahoma"/>
            <family val="2"/>
          </rPr>
          <t>Doug Powell:</t>
        </r>
        <r>
          <rPr>
            <sz val="9"/>
            <color indexed="81"/>
            <rFont val="Tahoma"/>
            <family val="2"/>
          </rPr>
          <t xml:space="preserve">
Assumed value</t>
        </r>
      </text>
    </comment>
    <comment ref="C202" authorId="0" shapeId="0">
      <text>
        <r>
          <rPr>
            <b/>
            <sz val="9"/>
            <color indexed="81"/>
            <rFont val="Tahoma"/>
            <family val="2"/>
          </rPr>
          <t>Doug Powell:</t>
        </r>
        <r>
          <rPr>
            <sz val="9"/>
            <color indexed="81"/>
            <rFont val="Tahoma"/>
            <family val="2"/>
          </rPr>
          <t xml:space="preserve">
P. Dittmer, "U.S. Corporations suffer high effective tax rates by international standards," Tax Foundation, 2011.
and
C.P. Stickney and R.L. Weil, Financial accounting: An introduction to concepts, methods, and uses: Thomson South-Western, pp. 488, 2007.</t>
        </r>
      </text>
    </comment>
    <comment ref="C203"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C204"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B212" authorId="0" shapeId="0">
      <text>
        <r>
          <rPr>
            <b/>
            <sz val="9"/>
            <color indexed="81"/>
            <rFont val="Tahoma"/>
            <family val="2"/>
          </rPr>
          <t>Doug Powell:</t>
        </r>
        <r>
          <rPr>
            <sz val="9"/>
            <color indexed="81"/>
            <rFont val="Tahoma"/>
            <family val="2"/>
          </rPr>
          <t xml:space="preserve">
Separate DCF to account for different depreciation periods</t>
        </r>
      </text>
    </comment>
    <comment ref="G216"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16"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16" authorId="0" shapeId="0">
      <text>
        <r>
          <rPr>
            <b/>
            <sz val="9"/>
            <color indexed="81"/>
            <rFont val="Tahoma"/>
            <family val="2"/>
          </rPr>
          <t>Doug Powell:</t>
        </r>
        <r>
          <rPr>
            <sz val="9"/>
            <color indexed="81"/>
            <rFont val="Tahoma"/>
            <family val="2"/>
          </rPr>
          <t xml:space="preserve">
Includes selling, G&amp;A, and R&amp;D</t>
        </r>
      </text>
    </comment>
    <comment ref="N216" authorId="0" shapeId="0">
      <text>
        <r>
          <rPr>
            <b/>
            <sz val="9"/>
            <color indexed="81"/>
            <rFont val="Tahoma"/>
            <family val="2"/>
          </rPr>
          <t>Doug Powell:</t>
        </r>
        <r>
          <rPr>
            <sz val="9"/>
            <color indexed="81"/>
            <rFont val="Tahoma"/>
            <family val="2"/>
          </rPr>
          <t xml:space="preserve">
To consider tax implications of the salvage operation.</t>
        </r>
      </text>
    </comment>
    <comment ref="O216" authorId="0" shapeId="0">
      <text>
        <r>
          <rPr>
            <b/>
            <sz val="9"/>
            <color indexed="81"/>
            <rFont val="Tahoma"/>
            <family val="2"/>
          </rPr>
          <t>Doug Powell:</t>
        </r>
        <r>
          <rPr>
            <sz val="9"/>
            <color indexed="81"/>
            <rFont val="Tahoma"/>
            <family val="2"/>
          </rPr>
          <t xml:space="preserve">
Net Operating Loss
</t>
        </r>
      </text>
    </comment>
    <comment ref="P216" authorId="0" shapeId="0">
      <text>
        <r>
          <rPr>
            <b/>
            <sz val="9"/>
            <color indexed="81"/>
            <rFont val="Tahoma"/>
            <family val="2"/>
          </rPr>
          <t>Doug Powell:</t>
        </r>
        <r>
          <rPr>
            <sz val="9"/>
            <color indexed="81"/>
            <rFont val="Tahoma"/>
            <family val="2"/>
          </rPr>
          <t xml:space="preserve">
At end of  year. Unlimited Carry Forward</t>
        </r>
      </text>
    </comment>
    <comment ref="R216" authorId="0" shapeId="0">
      <text>
        <r>
          <rPr>
            <b/>
            <sz val="9"/>
            <color indexed="81"/>
            <rFont val="Tahoma"/>
            <family val="2"/>
          </rPr>
          <t>Doug Powell:</t>
        </r>
        <r>
          <rPr>
            <sz val="9"/>
            <color indexed="81"/>
            <rFont val="Tahoma"/>
            <family val="2"/>
          </rPr>
          <t xml:space="preserve">
Uses effective tax rate in conjunction with NOL</t>
        </r>
      </text>
    </comment>
    <comment ref="S216"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16"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16"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16" authorId="0" shapeId="0">
      <text>
        <r>
          <rPr>
            <b/>
            <sz val="9"/>
            <color indexed="81"/>
            <rFont val="Tahoma"/>
            <family val="2"/>
          </rPr>
          <t>Doug Powell:</t>
        </r>
        <r>
          <rPr>
            <sz val="9"/>
            <color indexed="81"/>
            <rFont val="Tahoma"/>
            <family val="2"/>
          </rPr>
          <t xml:space="preserve">
For the tax basis of salvaging the facility</t>
        </r>
      </text>
    </comment>
    <comment ref="X239" authorId="0" shapeId="0">
      <text>
        <r>
          <rPr>
            <b/>
            <sz val="9"/>
            <color indexed="81"/>
            <rFont val="Tahoma"/>
            <family val="2"/>
          </rPr>
          <t>Doug Powell:</t>
        </r>
        <r>
          <rPr>
            <sz val="9"/>
            <color indexed="81"/>
            <rFont val="Tahoma"/>
            <family val="2"/>
          </rPr>
          <t xml:space="preserve">
IRR to compare to WACC</t>
        </r>
      </text>
    </comment>
    <comment ref="G245"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45"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45" authorId="0" shapeId="0">
      <text>
        <r>
          <rPr>
            <b/>
            <sz val="9"/>
            <color indexed="81"/>
            <rFont val="Tahoma"/>
            <family val="2"/>
          </rPr>
          <t>Doug Powell:</t>
        </r>
        <r>
          <rPr>
            <sz val="9"/>
            <color indexed="81"/>
            <rFont val="Tahoma"/>
            <family val="2"/>
          </rPr>
          <t xml:space="preserve">
Includes selling, G&amp;A, and R&amp;D</t>
        </r>
      </text>
    </comment>
    <comment ref="N245" authorId="0" shapeId="0">
      <text>
        <r>
          <rPr>
            <b/>
            <sz val="9"/>
            <color indexed="81"/>
            <rFont val="Tahoma"/>
            <family val="2"/>
          </rPr>
          <t>Doug Powell:</t>
        </r>
        <r>
          <rPr>
            <sz val="9"/>
            <color indexed="81"/>
            <rFont val="Tahoma"/>
            <family val="2"/>
          </rPr>
          <t xml:space="preserve">
To consider tax implications of the salvage operation.</t>
        </r>
      </text>
    </comment>
    <comment ref="O245" authorId="0" shapeId="0">
      <text>
        <r>
          <rPr>
            <b/>
            <sz val="9"/>
            <color indexed="81"/>
            <rFont val="Tahoma"/>
            <family val="2"/>
          </rPr>
          <t>Doug Powell:</t>
        </r>
        <r>
          <rPr>
            <sz val="9"/>
            <color indexed="81"/>
            <rFont val="Tahoma"/>
            <family val="2"/>
          </rPr>
          <t xml:space="preserve">
Net Operating Loss
</t>
        </r>
      </text>
    </comment>
    <comment ref="P245" authorId="0" shapeId="0">
      <text>
        <r>
          <rPr>
            <b/>
            <sz val="9"/>
            <color indexed="81"/>
            <rFont val="Tahoma"/>
            <family val="2"/>
          </rPr>
          <t>Doug Powell:</t>
        </r>
        <r>
          <rPr>
            <sz val="9"/>
            <color indexed="81"/>
            <rFont val="Tahoma"/>
            <family val="2"/>
          </rPr>
          <t xml:space="preserve">
At end of  year. Unlimited Carry Forward</t>
        </r>
      </text>
    </comment>
    <comment ref="R245" authorId="0" shapeId="0">
      <text>
        <r>
          <rPr>
            <b/>
            <sz val="9"/>
            <color indexed="81"/>
            <rFont val="Tahoma"/>
            <family val="2"/>
          </rPr>
          <t>Doug Powell:</t>
        </r>
        <r>
          <rPr>
            <sz val="9"/>
            <color indexed="81"/>
            <rFont val="Tahoma"/>
            <family val="2"/>
          </rPr>
          <t xml:space="preserve">
Uses effective tax rate in conjunction with NOL</t>
        </r>
      </text>
    </comment>
    <comment ref="S245"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45"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45"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45" authorId="0" shapeId="0">
      <text>
        <r>
          <rPr>
            <b/>
            <sz val="9"/>
            <color indexed="81"/>
            <rFont val="Tahoma"/>
            <family val="2"/>
          </rPr>
          <t>Doug Powell:</t>
        </r>
        <r>
          <rPr>
            <sz val="9"/>
            <color indexed="81"/>
            <rFont val="Tahoma"/>
            <family val="2"/>
          </rPr>
          <t xml:space="preserve">
For the tax basis of salvaging the facility</t>
        </r>
      </text>
    </comment>
    <comment ref="X268" authorId="0" shapeId="0">
      <text>
        <r>
          <rPr>
            <b/>
            <sz val="9"/>
            <color indexed="81"/>
            <rFont val="Tahoma"/>
            <family val="2"/>
          </rPr>
          <t>Doug Powell:</t>
        </r>
        <r>
          <rPr>
            <sz val="9"/>
            <color indexed="81"/>
            <rFont val="Tahoma"/>
            <family val="2"/>
          </rPr>
          <t xml:space="preserve">
IRR to compare to WACC</t>
        </r>
      </text>
    </comment>
    <comment ref="G274"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74"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74" authorId="0" shapeId="0">
      <text>
        <r>
          <rPr>
            <b/>
            <sz val="9"/>
            <color indexed="81"/>
            <rFont val="Tahoma"/>
            <family val="2"/>
          </rPr>
          <t>Doug Powell:</t>
        </r>
        <r>
          <rPr>
            <sz val="9"/>
            <color indexed="81"/>
            <rFont val="Tahoma"/>
            <family val="2"/>
          </rPr>
          <t xml:space="preserve">
Includes selling, G&amp;A, and R&amp;D</t>
        </r>
      </text>
    </comment>
    <comment ref="N274" authorId="0" shapeId="0">
      <text>
        <r>
          <rPr>
            <b/>
            <sz val="9"/>
            <color indexed="81"/>
            <rFont val="Tahoma"/>
            <family val="2"/>
          </rPr>
          <t>Doug Powell:</t>
        </r>
        <r>
          <rPr>
            <sz val="9"/>
            <color indexed="81"/>
            <rFont val="Tahoma"/>
            <family val="2"/>
          </rPr>
          <t xml:space="preserve">
To consider tax implications of the salvage operation.</t>
        </r>
      </text>
    </comment>
    <comment ref="O274" authorId="0" shapeId="0">
      <text>
        <r>
          <rPr>
            <b/>
            <sz val="9"/>
            <color indexed="81"/>
            <rFont val="Tahoma"/>
            <family val="2"/>
          </rPr>
          <t>Doug Powell:</t>
        </r>
        <r>
          <rPr>
            <sz val="9"/>
            <color indexed="81"/>
            <rFont val="Tahoma"/>
            <family val="2"/>
          </rPr>
          <t xml:space="preserve">
Net Operating Loss
</t>
        </r>
      </text>
    </comment>
    <comment ref="P274" authorId="0" shapeId="0">
      <text>
        <r>
          <rPr>
            <b/>
            <sz val="9"/>
            <color indexed="81"/>
            <rFont val="Tahoma"/>
            <family val="2"/>
          </rPr>
          <t>Doug Powell:</t>
        </r>
        <r>
          <rPr>
            <sz val="9"/>
            <color indexed="81"/>
            <rFont val="Tahoma"/>
            <family val="2"/>
          </rPr>
          <t xml:space="preserve">
At end of  year. Unlimited Carry Forward</t>
        </r>
      </text>
    </comment>
    <comment ref="R274" authorId="0" shapeId="0">
      <text>
        <r>
          <rPr>
            <b/>
            <sz val="9"/>
            <color indexed="81"/>
            <rFont val="Tahoma"/>
            <family val="2"/>
          </rPr>
          <t>Doug Powell:</t>
        </r>
        <r>
          <rPr>
            <sz val="9"/>
            <color indexed="81"/>
            <rFont val="Tahoma"/>
            <family val="2"/>
          </rPr>
          <t xml:space="preserve">
Uses effective tax rate in conjunction with NOL</t>
        </r>
      </text>
    </comment>
    <comment ref="S274"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74"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74"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74" authorId="0" shapeId="0">
      <text>
        <r>
          <rPr>
            <b/>
            <sz val="9"/>
            <color indexed="81"/>
            <rFont val="Tahoma"/>
            <family val="2"/>
          </rPr>
          <t>Doug Powell:</t>
        </r>
        <r>
          <rPr>
            <sz val="9"/>
            <color indexed="81"/>
            <rFont val="Tahoma"/>
            <family val="2"/>
          </rPr>
          <t xml:space="preserve">
For the tax basis of salvaging the facility</t>
        </r>
      </text>
    </comment>
    <comment ref="X297" authorId="0" shapeId="0">
      <text>
        <r>
          <rPr>
            <b/>
            <sz val="9"/>
            <color indexed="81"/>
            <rFont val="Tahoma"/>
            <family val="2"/>
          </rPr>
          <t>Doug Powell:</t>
        </r>
        <r>
          <rPr>
            <sz val="9"/>
            <color indexed="81"/>
            <rFont val="Tahoma"/>
            <family val="2"/>
          </rPr>
          <t xml:space="preserve">
IRR to compare to WACC</t>
        </r>
      </text>
    </comment>
    <comment ref="G303"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303"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303" authorId="0" shapeId="0">
      <text>
        <r>
          <rPr>
            <b/>
            <sz val="9"/>
            <color indexed="81"/>
            <rFont val="Tahoma"/>
            <family val="2"/>
          </rPr>
          <t>Doug Powell:</t>
        </r>
        <r>
          <rPr>
            <sz val="9"/>
            <color indexed="81"/>
            <rFont val="Tahoma"/>
            <family val="2"/>
          </rPr>
          <t xml:space="preserve">
Includes selling, G&amp;A, and R&amp;D</t>
        </r>
      </text>
    </comment>
    <comment ref="N303" authorId="0" shapeId="0">
      <text>
        <r>
          <rPr>
            <b/>
            <sz val="9"/>
            <color indexed="81"/>
            <rFont val="Tahoma"/>
            <family val="2"/>
          </rPr>
          <t>Doug Powell:</t>
        </r>
        <r>
          <rPr>
            <sz val="9"/>
            <color indexed="81"/>
            <rFont val="Tahoma"/>
            <family val="2"/>
          </rPr>
          <t xml:space="preserve">
To consider tax implications of the salvage operation.</t>
        </r>
      </text>
    </comment>
    <comment ref="O303" authorId="0" shapeId="0">
      <text>
        <r>
          <rPr>
            <b/>
            <sz val="9"/>
            <color indexed="81"/>
            <rFont val="Tahoma"/>
            <family val="2"/>
          </rPr>
          <t>Doug Powell:</t>
        </r>
        <r>
          <rPr>
            <sz val="9"/>
            <color indexed="81"/>
            <rFont val="Tahoma"/>
            <family val="2"/>
          </rPr>
          <t xml:space="preserve">
Net Operating Loss
</t>
        </r>
      </text>
    </comment>
    <comment ref="P303" authorId="0" shapeId="0">
      <text>
        <r>
          <rPr>
            <b/>
            <sz val="9"/>
            <color indexed="81"/>
            <rFont val="Tahoma"/>
            <family val="2"/>
          </rPr>
          <t>Doug Powell:</t>
        </r>
        <r>
          <rPr>
            <sz val="9"/>
            <color indexed="81"/>
            <rFont val="Tahoma"/>
            <family val="2"/>
          </rPr>
          <t xml:space="preserve">
At end of  year. Unlimited Carry Forward</t>
        </r>
      </text>
    </comment>
    <comment ref="R303" authorId="0" shapeId="0">
      <text>
        <r>
          <rPr>
            <b/>
            <sz val="9"/>
            <color indexed="81"/>
            <rFont val="Tahoma"/>
            <family val="2"/>
          </rPr>
          <t>Doug Powell:</t>
        </r>
        <r>
          <rPr>
            <sz val="9"/>
            <color indexed="81"/>
            <rFont val="Tahoma"/>
            <family val="2"/>
          </rPr>
          <t xml:space="preserve">
Uses effective tax rate in conjunction with NOL</t>
        </r>
      </text>
    </comment>
    <comment ref="S303"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303"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303"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303" authorId="0" shapeId="0">
      <text>
        <r>
          <rPr>
            <b/>
            <sz val="9"/>
            <color indexed="81"/>
            <rFont val="Tahoma"/>
            <family val="2"/>
          </rPr>
          <t>Doug Powell:</t>
        </r>
        <r>
          <rPr>
            <sz val="9"/>
            <color indexed="81"/>
            <rFont val="Tahoma"/>
            <family val="2"/>
          </rPr>
          <t xml:space="preserve">
For the tax basis of salvaging the facility</t>
        </r>
      </text>
    </comment>
    <comment ref="X326" authorId="0" shapeId="0">
      <text>
        <r>
          <rPr>
            <b/>
            <sz val="9"/>
            <color indexed="81"/>
            <rFont val="Tahoma"/>
            <family val="2"/>
          </rPr>
          <t>Doug Powell:</t>
        </r>
        <r>
          <rPr>
            <sz val="9"/>
            <color indexed="81"/>
            <rFont val="Tahoma"/>
            <family val="2"/>
          </rPr>
          <t xml:space="preserve">
IRR to compare to WACC</t>
        </r>
      </text>
    </comment>
    <comment ref="C330" authorId="0" shapeId="0">
      <text>
        <r>
          <rPr>
            <b/>
            <sz val="9"/>
            <color indexed="81"/>
            <rFont val="Tahoma"/>
            <family val="2"/>
          </rPr>
          <t>Doug Powell:</t>
        </r>
        <r>
          <rPr>
            <sz val="9"/>
            <color indexed="81"/>
            <rFont val="Tahoma"/>
            <family val="2"/>
          </rPr>
          <t xml:space="preserve">
Assumed for income statement, with input from A. Goodrich's work</t>
        </r>
      </text>
    </comment>
    <comment ref="C331" authorId="0" shapeId="0">
      <text>
        <r>
          <rPr>
            <b/>
            <sz val="9"/>
            <color indexed="81"/>
            <rFont val="Tahoma"/>
            <family val="2"/>
          </rPr>
          <t>Doug Powell:</t>
        </r>
        <r>
          <rPr>
            <sz val="9"/>
            <color indexed="81"/>
            <rFont val="Tahoma"/>
            <family val="2"/>
          </rPr>
          <t xml:space="preserve">
Assumed for income statement</t>
        </r>
      </text>
    </comment>
    <comment ref="C332" authorId="0" shapeId="0">
      <text>
        <r>
          <rPr>
            <b/>
            <sz val="9"/>
            <color indexed="81"/>
            <rFont val="Tahoma"/>
            <family val="2"/>
          </rPr>
          <t>Doug Powell:</t>
        </r>
        <r>
          <rPr>
            <sz val="9"/>
            <color indexed="81"/>
            <rFont val="Tahoma"/>
            <family val="2"/>
          </rPr>
          <t xml:space="preserve">
Assumed for income statement</t>
        </r>
      </text>
    </comment>
    <comment ref="F355" authorId="0" shapeId="0">
      <text>
        <r>
          <rPr>
            <b/>
            <sz val="9"/>
            <color indexed="81"/>
            <rFont val="Tahoma"/>
            <family val="2"/>
          </rPr>
          <t>Doug Powell:</t>
        </r>
        <r>
          <rPr>
            <sz val="9"/>
            <color indexed="81"/>
            <rFont val="Tahoma"/>
            <family val="2"/>
          </rPr>
          <t xml:space="preserve">
Assuming Operating expenses are fixed</t>
        </r>
      </text>
    </comment>
    <comment ref="I355" authorId="0" shapeId="0">
      <text>
        <r>
          <rPr>
            <b/>
            <sz val="9"/>
            <color indexed="81"/>
            <rFont val="Tahoma"/>
            <family val="2"/>
          </rPr>
          <t>Doug Powell:</t>
        </r>
        <r>
          <rPr>
            <sz val="9"/>
            <color indexed="81"/>
            <rFont val="Tahoma"/>
            <family val="2"/>
          </rPr>
          <t xml:space="preserve">
Assuming Operating expenses are fixed</t>
        </r>
      </text>
    </comment>
    <comment ref="C378"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 ref="C379"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List>
</comments>
</file>

<file path=xl/comments4.xml><?xml version="1.0" encoding="utf-8"?>
<comments xmlns="http://schemas.openxmlformats.org/spreadsheetml/2006/main">
  <authors>
    <author>Doug Powell</author>
  </authors>
  <commentList>
    <comment ref="C8" authorId="0" shapeId="0">
      <text>
        <r>
          <rPr>
            <b/>
            <sz val="9"/>
            <color indexed="81"/>
            <rFont val="Tahoma"/>
            <family val="2"/>
          </rPr>
          <t>Doug Powell:</t>
        </r>
        <r>
          <rPr>
            <sz val="9"/>
            <color indexed="81"/>
            <rFont val="Tahoma"/>
            <family val="2"/>
          </rPr>
          <t xml:space="preserve">
ITRPV Roadmap 23.5% cells from n-type mono, but 22.5 estimated from thin kerfless process with potentially larger concentration of defect. Improved AR glass and encapsulation technologies to improve module knockdown by 98.5/96 = 2.5 % to .88*1.025=.9. 22.5*.9 app. 20.5%
Module Knockdown Factors (module vs lab cell efficiency)
0.84 Sunpower from 24 to 20.2
.88 for Sayno Hit Cell
.88 Suntech Pluto average cell (17) to Pluto module (14.8)</t>
        </r>
      </text>
    </comment>
    <comment ref="C10" authorId="0" shapeId="0">
      <text>
        <r>
          <rPr>
            <b/>
            <sz val="9"/>
            <color indexed="81"/>
            <rFont val="Tahoma"/>
            <family val="2"/>
          </rPr>
          <t xml:space="preserve">Doug Powell:
</t>
        </r>
        <r>
          <rPr>
            <sz val="9"/>
            <color indexed="81"/>
            <rFont val="Tahoma"/>
            <family val="2"/>
          </rPr>
          <t>Assume some waste in kerfless process.</t>
        </r>
      </text>
    </comment>
    <comment ref="C12" authorId="0" shapeId="0">
      <text>
        <r>
          <rPr>
            <b/>
            <sz val="9"/>
            <color indexed="81"/>
            <rFont val="Tahoma"/>
            <family val="2"/>
          </rPr>
          <t xml:space="preserve">Doug Powell:
</t>
        </r>
        <r>
          <rPr>
            <sz val="9"/>
            <color indexed="81"/>
            <rFont val="Tahoma"/>
            <family val="2"/>
          </rPr>
          <t xml:space="preserve">Approximate average of median wage for job code 51-2022, "Electrical and Electronic Equipment Assemblers" and 51-9141 "Semiconductor Processors" in the U.S. Department of Labor Bureau of Labor Statistics, May 2011 National Industry-Specific Occupational Employment and Wage Estimates: NAICS 334400 - Semiconductor and Other Electronic Component Manufacturing, 2011.
</t>
        </r>
      </text>
    </comment>
    <comment ref="C13" authorId="0" shapeId="0">
      <text>
        <r>
          <rPr>
            <b/>
            <sz val="9"/>
            <color indexed="81"/>
            <rFont val="Tahoma"/>
            <family val="2"/>
          </rPr>
          <t xml:space="preserve">Doug Powell:
</t>
        </r>
        <r>
          <rPr>
            <sz val="9"/>
            <color indexed="81"/>
            <rFont val="Tahoma"/>
            <family val="2"/>
          </rPr>
          <t xml:space="preserve">Approximate average of median wage for job code 51-4012 "Computer Numerically Controlled Machine Tool Programmers, Metal and Plastic" in the U.S. Department of Labor Bureau of Labor Statistics, May 2011 National Industry-Specific Occupational Employment and Wage Estimates: NAICS 334400 - Semiconductor and Other Electronic Component Manufacturing, 2011.
</t>
        </r>
      </text>
    </comment>
    <comment ref="C14" authorId="0" shapeId="0">
      <text>
        <r>
          <rPr>
            <b/>
            <sz val="9"/>
            <color indexed="81"/>
            <rFont val="Tahoma"/>
            <family val="2"/>
          </rPr>
          <t xml:space="preserve">Doug Powell:
</t>
        </r>
        <r>
          <rPr>
            <sz val="9"/>
            <color indexed="81"/>
            <rFont val="Tahoma"/>
            <family val="2"/>
          </rPr>
          <t xml:space="preserve">Approximate average of median wage for job code 51-1011 "First-Line Supervisors of Production and Operating Workers" in the U.S. Department of Labor Bureau of Labor Statistics, May 2011 National Industry-Specific Occupational Employment and Wage Estimates: NAICS 334400 - Semiconductor and Other Electronic Component Manufacturing, 2011.
</t>
        </r>
      </text>
    </comment>
    <comment ref="C15" authorId="0" shapeId="0">
      <text>
        <r>
          <rPr>
            <b/>
            <sz val="9"/>
            <color indexed="81"/>
            <rFont val="Tahoma"/>
            <family val="2"/>
          </rPr>
          <t xml:space="preserve">Doug Powell:
</t>
        </r>
        <r>
          <rPr>
            <sz val="9"/>
            <color indexed="81"/>
            <rFont val="Tahoma"/>
            <family val="2"/>
          </rPr>
          <t xml:space="preserve">Base pay times 1.325 for US
http://web.mit.edu/e-club/hadzima/how-much-does-an-employee-cost.html
</t>
        </r>
      </text>
    </comment>
    <comment ref="C16" authorId="0" shapeId="0">
      <text>
        <r>
          <rPr>
            <b/>
            <sz val="9"/>
            <color indexed="81"/>
            <rFont val="Tahoma"/>
            <family val="2"/>
          </rPr>
          <t>Doug Powell:</t>
        </r>
        <r>
          <rPr>
            <sz val="9"/>
            <color indexed="81"/>
            <rFont val="Tahoma"/>
            <family val="2"/>
          </rPr>
          <t xml:space="preserve">
2011 Industrial Average from 
U.S. EIA, Electric Power Monthly February 2012 (data to December) 
Table 5.6.B</t>
        </r>
      </text>
    </comment>
    <comment ref="C18" authorId="0" shapeId="0">
      <text>
        <r>
          <rPr>
            <b/>
            <sz val="9"/>
            <color indexed="81"/>
            <rFont val="Tahoma"/>
            <family val="2"/>
          </rPr>
          <t>Doug Powell:</t>
        </r>
        <r>
          <rPr>
            <sz val="9"/>
            <color indexed="81"/>
            <rFont val="Tahoma"/>
            <family val="2"/>
          </rPr>
          <t xml:space="preserve">
ITRPV Roadmap</t>
        </r>
      </text>
    </comment>
    <comment ref="C25" authorId="0" shapeId="0">
      <text>
        <r>
          <rPr>
            <b/>
            <sz val="9"/>
            <color indexed="81"/>
            <rFont val="Tahoma"/>
            <family val="2"/>
          </rPr>
          <t>Doug Powell:</t>
        </r>
        <r>
          <rPr>
            <sz val="9"/>
            <color indexed="81"/>
            <rFont val="Tahoma"/>
            <family val="2"/>
          </rPr>
          <t xml:space="preserve">
Includes Breakage</t>
        </r>
      </text>
    </comment>
    <comment ref="L28" authorId="0" shapeId="0">
      <text>
        <r>
          <rPr>
            <b/>
            <sz val="9"/>
            <color indexed="81"/>
            <rFont val="Tahoma"/>
            <family val="2"/>
          </rPr>
          <t>Doug Powell:</t>
        </r>
        <r>
          <rPr>
            <sz val="9"/>
            <color indexed="81"/>
            <rFont val="Tahoma"/>
            <family val="2"/>
          </rPr>
          <t xml:space="preserve">
Pre-multiplier</t>
        </r>
      </text>
    </comment>
    <comment ref="D29" authorId="0" shapeId="0">
      <text>
        <r>
          <rPr>
            <b/>
            <sz val="9"/>
            <color indexed="81"/>
            <rFont val="Tahoma"/>
            <family val="2"/>
          </rPr>
          <t>Doug Powell:</t>
        </r>
        <r>
          <rPr>
            <sz val="9"/>
            <color indexed="81"/>
            <rFont val="Tahoma"/>
            <family val="2"/>
          </rPr>
          <t xml:space="preserve">
Pre-multiplier</t>
        </r>
      </text>
    </comment>
    <comment ref="F29" authorId="0" shapeId="0">
      <text>
        <r>
          <rPr>
            <b/>
            <sz val="9"/>
            <color indexed="81"/>
            <rFont val="Tahoma"/>
            <family val="2"/>
          </rPr>
          <t>Doug Powell:</t>
        </r>
        <r>
          <rPr>
            <sz val="9"/>
            <color indexed="81"/>
            <rFont val="Tahoma"/>
            <family val="2"/>
          </rPr>
          <t xml:space="preserve">
Note that some of theses costs are not naturally area dependent, e.g. JB and Cable.</t>
        </r>
      </text>
    </comment>
    <comment ref="E31" authorId="0" shapeId="0">
      <text>
        <r>
          <rPr>
            <b/>
            <sz val="9"/>
            <color indexed="81"/>
            <rFont val="Tahoma"/>
            <family val="2"/>
          </rPr>
          <t>Doug Powell:</t>
        </r>
        <r>
          <rPr>
            <sz val="9"/>
            <color indexed="81"/>
            <rFont val="Tahoma"/>
            <family val="2"/>
          </rPr>
          <t xml:space="preserve">
Modify with Capex Multiplier in Depreciation box in order to fully reflect change in DCF analysis.</t>
        </r>
      </text>
    </comment>
    <comment ref="E36" authorId="0" shapeId="0">
      <text>
        <r>
          <rPr>
            <b/>
            <sz val="9"/>
            <color indexed="81"/>
            <rFont val="Tahoma"/>
            <family val="2"/>
          </rPr>
          <t>Doug Powell:</t>
        </r>
        <r>
          <rPr>
            <sz val="9"/>
            <color indexed="81"/>
            <rFont val="Tahoma"/>
            <family val="2"/>
          </rPr>
          <t xml:space="preserve">
Removed with Kerfless Process</t>
        </r>
      </text>
    </comment>
    <comment ref="E37" authorId="0" shapeId="0">
      <text>
        <r>
          <rPr>
            <b/>
            <sz val="9"/>
            <color indexed="81"/>
            <rFont val="Tahoma"/>
            <family val="2"/>
          </rPr>
          <t>Doug Powell:</t>
        </r>
        <r>
          <rPr>
            <sz val="9"/>
            <color indexed="81"/>
            <rFont val="Tahoma"/>
            <family val="2"/>
          </rPr>
          <t xml:space="preserve">
Removed with Kerfless Process</t>
        </r>
      </text>
    </comment>
    <comment ref="E38" authorId="0" shapeId="0">
      <text>
        <r>
          <rPr>
            <b/>
            <sz val="9"/>
            <color indexed="81"/>
            <rFont val="Tahoma"/>
            <family val="2"/>
          </rPr>
          <t>Doug Powell:</t>
        </r>
        <r>
          <rPr>
            <sz val="9"/>
            <color indexed="81"/>
            <rFont val="Tahoma"/>
            <family val="2"/>
          </rPr>
          <t xml:space="preserve">
Removed with Kerfless Process</t>
        </r>
      </text>
    </comment>
    <comment ref="C43" authorId="0" shapeId="0">
      <text>
        <r>
          <rPr>
            <b/>
            <sz val="9"/>
            <color indexed="81"/>
            <rFont val="Tahoma"/>
            <family val="2"/>
          </rPr>
          <t>Doug Powell:</t>
        </r>
        <r>
          <rPr>
            <sz val="9"/>
            <color indexed="81"/>
            <rFont val="Tahoma"/>
            <family val="2"/>
          </rPr>
          <t xml:space="preserve">
Based off GTM PV Bill of Materials Excerpt, in March 2011 PV news.
Adjusted down to 20% of original value from looking at 
J. Herron, "Looking under the hood: Equipment makers disclose cost analyses, showing room for improvement as module makers search for profits," PHOTON International, vol. 5, pp. 90-98, 2012
Then doubled.  Final answer aligns with J. Berwind, "PV manufacturing materials: Technological and process-related options for cost reduction," Photovoltaics International, vol. 1st Quarter, 2012.</t>
        </r>
      </text>
    </comment>
    <comment ref="E47" authorId="0" shapeId="0">
      <text>
        <r>
          <rPr>
            <b/>
            <sz val="9"/>
            <color indexed="81"/>
            <rFont val="Tahoma"/>
            <family val="2"/>
          </rPr>
          <t>Doug Powell:</t>
        </r>
        <r>
          <rPr>
            <sz val="9"/>
            <color indexed="81"/>
            <rFont val="Tahoma"/>
            <family val="2"/>
          </rPr>
          <t xml:space="preserve">
All back contacted with laser fired contacts</t>
        </r>
      </text>
    </comment>
    <comment ref="C55" authorId="0" shapeId="0">
      <text>
        <r>
          <rPr>
            <b/>
            <sz val="9"/>
            <color indexed="81"/>
            <rFont val="Tahoma"/>
            <family val="2"/>
          </rPr>
          <t xml:space="preserve">Doug Powell:
</t>
        </r>
        <r>
          <rPr>
            <sz val="9"/>
            <color indexed="81"/>
            <rFont val="Tahoma"/>
            <family val="2"/>
          </rPr>
          <t>156 mm wafer</t>
        </r>
      </text>
    </comment>
    <comment ref="C56" authorId="0" shapeId="0">
      <text>
        <r>
          <rPr>
            <b/>
            <sz val="9"/>
            <color indexed="81"/>
            <rFont val="Tahoma"/>
            <family val="2"/>
          </rPr>
          <t>Doug Powell:</t>
        </r>
        <r>
          <rPr>
            <sz val="9"/>
            <color indexed="81"/>
            <rFont val="Tahoma"/>
            <family val="2"/>
          </rPr>
          <t xml:space="preserve">
89% for six inch square multi. 
http://www.gaccsouth.com/fileadmin/ahk_atlanta/Bilder_Houston/Bilder/Texas_Renewables/05_Centrotherm_Faller.ppt_ohne_extra_slides.pdf_web.pdf</t>
        </r>
      </text>
    </comment>
    <comment ref="B68" authorId="0" shapeId="0">
      <text>
        <r>
          <rPr>
            <b/>
            <sz val="9"/>
            <color indexed="81"/>
            <rFont val="Tahoma"/>
            <family val="2"/>
          </rPr>
          <t>Doug Powell:</t>
        </r>
        <r>
          <rPr>
            <sz val="9"/>
            <color indexed="81"/>
            <rFont val="Tahoma"/>
            <family val="2"/>
          </rPr>
          <t xml:space="preserve">
at 100% yield and uptime
</t>
        </r>
      </text>
    </comment>
    <comment ref="C68" authorId="0" shapeId="0">
      <text>
        <r>
          <rPr>
            <b/>
            <sz val="9"/>
            <color indexed="81"/>
            <rFont val="Tahoma"/>
            <family val="2"/>
          </rPr>
          <t>Doug Powell:</t>
        </r>
        <r>
          <rPr>
            <sz val="9"/>
            <color indexed="81"/>
            <rFont val="Tahoma"/>
            <family val="2"/>
          </rPr>
          <t xml:space="preserve">
A. Kreutzmann and M. Schmela, Photon International, 2008, 12, 84-92.
From stated throughput of 347 MW/yr with assumed uptime of 95% and net yield of 92%</t>
        </r>
      </text>
    </comment>
    <comment ref="C69" authorId="0" shapeId="0">
      <text>
        <r>
          <rPr>
            <b/>
            <sz val="9"/>
            <color indexed="81"/>
            <rFont val="Tahoma"/>
            <family val="2"/>
          </rPr>
          <t>Doug Powell:</t>
        </r>
        <r>
          <rPr>
            <sz val="9"/>
            <color indexed="81"/>
            <rFont val="Tahoma"/>
            <family val="2"/>
          </rPr>
          <t xml:space="preserve">
A. Kreutzmann and M. Schmela, Photon International, 2008, 12, 84-92.
217 W from 1.6 m^2
</t>
        </r>
      </text>
    </comment>
    <comment ref="B70" authorId="0" shapeId="0">
      <text>
        <r>
          <rPr>
            <b/>
            <sz val="9"/>
            <color indexed="81"/>
            <rFont val="Tahoma"/>
            <family val="2"/>
          </rPr>
          <t>Doug Powell:</t>
        </r>
        <r>
          <rPr>
            <sz val="9"/>
            <color indexed="81"/>
            <rFont val="Tahoma"/>
            <family val="2"/>
          </rPr>
          <t xml:space="preserve">
at 100% yield and uptime
</t>
        </r>
      </text>
    </comment>
    <comment ref="B73" authorId="0" shapeId="0">
      <text>
        <r>
          <rPr>
            <b/>
            <sz val="9"/>
            <color indexed="81"/>
            <rFont val="Tahoma"/>
            <family val="2"/>
          </rPr>
          <t>Doug Powell:</t>
        </r>
        <r>
          <rPr>
            <sz val="9"/>
            <color indexed="81"/>
            <rFont val="Tahoma"/>
            <family val="2"/>
          </rPr>
          <t xml:space="preserve">
With actual yield and uptime</t>
        </r>
      </text>
    </comment>
    <comment ref="C73" authorId="0" shapeId="0">
      <text>
        <r>
          <rPr>
            <b/>
            <sz val="9"/>
            <color indexed="81"/>
            <rFont val="Tahoma"/>
            <family val="2"/>
          </rPr>
          <t>Doug Powell:</t>
        </r>
        <r>
          <rPr>
            <sz val="9"/>
            <color indexed="81"/>
            <rFont val="Tahoma"/>
            <family val="2"/>
          </rPr>
          <t xml:space="preserve">
Assume infinite buffers between steps</t>
        </r>
      </text>
    </comment>
    <comment ref="C75"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6"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7" authorId="0" shapeId="0">
      <text>
        <r>
          <rPr>
            <b/>
            <sz val="9"/>
            <color indexed="81"/>
            <rFont val="Tahoma"/>
            <family val="2"/>
          </rPr>
          <t>Doug Powell:</t>
        </r>
        <r>
          <rPr>
            <sz val="9"/>
            <color indexed="81"/>
            <rFont val="Tahoma"/>
            <family val="2"/>
          </rPr>
          <t xml:space="preserve">
From personal communication. 
5 years from J. Herron, "Looking under the hood: Equipment makers disclose cost analyses, showing room for improvement as module makers search for profits", Photon International, vol. 5, pp. 90-98, 2012.</t>
        </r>
      </text>
    </comment>
    <comment ref="C78"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9"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82" authorId="0" shapeId="0">
      <text>
        <r>
          <rPr>
            <b/>
            <sz val="9"/>
            <color indexed="81"/>
            <rFont val="Tahoma"/>
            <family val="2"/>
          </rPr>
          <t xml:space="preserve">Doug Powell
</t>
        </r>
        <r>
          <rPr>
            <sz val="9"/>
            <color indexed="81"/>
            <rFont val="Tahoma"/>
            <family val="2"/>
          </rPr>
          <t>Cost of ingot step added to wafer</t>
        </r>
      </text>
    </comment>
    <comment ref="C83" authorId="0" shapeId="0">
      <text>
        <r>
          <rPr>
            <b/>
            <sz val="9"/>
            <color indexed="81"/>
            <rFont val="Tahoma"/>
            <family val="2"/>
          </rPr>
          <t>Doug Powell:</t>
        </r>
        <r>
          <rPr>
            <sz val="9"/>
            <color indexed="81"/>
            <rFont val="Tahoma"/>
            <family val="2"/>
          </rPr>
          <t xml:space="preserve">
A. Kreutzmann and M. Schmela, Photon International, 2008, 12, 84-92.
The cost of the equipment and facility from the LOS case is assumed to be maintained in the advanced concept.  An alternative view is provided in the value based price concept, were the cost of the equipment is based on the amount of money that is saved by the manufacturer.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t>
        </r>
      </text>
    </comment>
    <comment ref="C84" authorId="0" shapeId="0">
      <text>
        <r>
          <rPr>
            <b/>
            <sz val="9"/>
            <color indexed="81"/>
            <rFont val="Tahoma"/>
            <family val="2"/>
          </rPr>
          <t>Doug Powell:</t>
        </r>
        <r>
          <rPr>
            <sz val="9"/>
            <color indexed="81"/>
            <rFont val="Tahoma"/>
            <family val="2"/>
          </rPr>
          <t xml:space="preserve">
A. Kreutzmann and M. Schmela, Photon International, 2008, 12, 84-92.
The cost of the equipment and facility from the LOS case is assumed to be maintained in the advanced concept.  An alternative view is provided in the value based price concept, were the cost of the equipment is based on the amount of money that is saved by the manufacturer.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t>
        </r>
      </text>
    </comment>
    <comment ref="C85" authorId="0" shapeId="0">
      <text>
        <r>
          <rPr>
            <b/>
            <sz val="9"/>
            <color indexed="81"/>
            <rFont val="Tahoma"/>
            <family val="2"/>
          </rPr>
          <t>Doug Powell:</t>
        </r>
        <r>
          <rPr>
            <sz val="9"/>
            <color indexed="81"/>
            <rFont val="Tahoma"/>
            <family val="2"/>
          </rPr>
          <t xml:space="preserve">
A. Kreutzmann and M. Schmela, Photon International, 2008, 12, 84-92.
The cost of the equipment and facility from the LOS case is assumed to be maintained in the advanced concept.  An alternative view is provided in the value based price concept, were the cost of the equipment is based on the amount of money that is saved by the manufacturer.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
The result in 2012 was still much higher than expected by the evidence presented in the Intertech PV Webinar, "Competitive Manufacturing of Crystalline Silicon PV Modules in the US", given by Roger G. Little of Spire, and the data presented in J. Herron, "Looking under the hood: Equipment makers disclose cost analyses, showing room for improvement as module makers search for profits", Photon International, vol. 5, pp. 90-98, 2012.  Therefore, the value was further adjusted down with the multiplier determined for the standard mc-Si case.</t>
        </r>
      </text>
    </comment>
    <comment ref="C89"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89" authorId="0" shapeId="0">
      <text>
        <r>
          <rPr>
            <b/>
            <sz val="9"/>
            <color indexed="81"/>
            <rFont val="Tahoma"/>
            <family val="2"/>
          </rPr>
          <t>Doug Powell:</t>
        </r>
        <r>
          <rPr>
            <sz val="9"/>
            <color indexed="81"/>
            <rFont val="Tahoma"/>
            <family val="2"/>
          </rPr>
          <t xml:space="preserve">
For completing sensitivity analysis</t>
        </r>
      </text>
    </comment>
    <comment ref="C90"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91" authorId="0" shapeId="0">
      <text>
        <r>
          <rPr>
            <b/>
            <sz val="9"/>
            <color indexed="81"/>
            <rFont val="Tahoma"/>
            <family val="2"/>
          </rPr>
          <t>Doug Powell:</t>
        </r>
        <r>
          <rPr>
            <sz val="9"/>
            <color indexed="81"/>
            <rFont val="Tahoma"/>
            <family val="2"/>
          </rPr>
          <t xml:space="preserve">
For completing sensitivity analysis</t>
        </r>
      </text>
    </comment>
    <comment ref="C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D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E100"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D101" authorId="0" shapeId="0">
      <text>
        <r>
          <rPr>
            <b/>
            <sz val="9"/>
            <color indexed="81"/>
            <rFont val="Tahoma"/>
            <family val="2"/>
          </rPr>
          <t>Doug Powell:</t>
        </r>
        <r>
          <rPr>
            <sz val="9"/>
            <color indexed="81"/>
            <rFont val="Tahoma"/>
            <family val="2"/>
          </rPr>
          <t xml:space="preserve">
Doubled relative to LOS, as advanced concept wafering also includes crystallization.  This brings total technicians to 12 for crystallization and wafering, vs. 18 in LOS case.
A. Kreutzmann and M. Schmela, Photon International, 2008, 12, 84-92.
Reduced from baseline value by 1/1.32 because of throughput increases (wafer/hr) based on SEMI PV roadmap for Slurry based sawing</t>
        </r>
      </text>
    </comment>
    <comment ref="E101"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D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E102"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D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E103"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7" authorId="0" shapeId="0">
      <text>
        <r>
          <rPr>
            <b/>
            <sz val="9"/>
            <color indexed="81"/>
            <rFont val="Tahoma"/>
            <family val="2"/>
          </rPr>
          <t>Doug Powell:</t>
        </r>
        <r>
          <rPr>
            <sz val="9"/>
            <color indexed="81"/>
            <rFont val="Tahoma"/>
            <family val="2"/>
          </rPr>
          <t xml:space="preserve">
1000 kg gen 6 from ITRPV PV Roadmap </t>
        </r>
      </text>
    </comment>
    <comment ref="C115"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6"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9"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20" authorId="0" shapeId="0">
      <text>
        <r>
          <rPr>
            <b/>
            <sz val="9"/>
            <color indexed="81"/>
            <rFont val="Tahoma"/>
            <family val="2"/>
          </rPr>
          <t>Doug Powell:</t>
        </r>
        <r>
          <rPr>
            <sz val="9"/>
            <color indexed="81"/>
            <rFont val="Tahoma"/>
            <family val="2"/>
          </rPr>
          <t xml:space="preserve">
Not the same as total material yield because a significant amount is lost in squaring and bricking the ingot</t>
        </r>
      </text>
    </comment>
    <comment ref="C128" authorId="0" shapeId="0">
      <text>
        <r>
          <rPr>
            <b/>
            <sz val="9"/>
            <color indexed="81"/>
            <rFont val="Tahoma"/>
            <family val="2"/>
          </rPr>
          <t>Doug Powell:</t>
        </r>
        <r>
          <rPr>
            <sz val="9"/>
            <color indexed="81"/>
            <rFont val="Tahoma"/>
            <family val="2"/>
          </rPr>
          <t xml:space="preserve">
"Together with our customers, we race for grid parity" Ask the Experts with Bekaert Group in Power &amp; Energy Solutions
0.137 kg/wafer for 120 </t>
        </r>
        <r>
          <rPr>
            <sz val="9"/>
            <color indexed="81"/>
            <rFont val="Calibri"/>
            <family val="2"/>
          </rPr>
          <t>μ</t>
        </r>
        <r>
          <rPr>
            <sz val="9"/>
            <color indexed="81"/>
            <rFont val="Tahoma"/>
            <family val="2"/>
          </rPr>
          <t>m wire
.091 kg/wafer for 80 μm wire</t>
        </r>
      </text>
    </comment>
    <comment ref="C135" authorId="0" shapeId="0">
      <text>
        <r>
          <rPr>
            <b/>
            <sz val="9"/>
            <color indexed="81"/>
            <rFont val="Tahoma"/>
            <family val="2"/>
          </rPr>
          <t>Doug Powell:</t>
        </r>
        <r>
          <rPr>
            <sz val="9"/>
            <color indexed="81"/>
            <rFont val="Tahoma"/>
            <family val="2"/>
          </rPr>
          <t xml:space="preserve">
A. Kreutzmann and M. Schmela, Photon International, 2008, 12, 84-92.
217 W/1.6m^2 module</t>
        </r>
      </text>
    </comment>
    <comment ref="C136" authorId="0" shapeId="0">
      <text>
        <r>
          <rPr>
            <b/>
            <sz val="9"/>
            <color indexed="81"/>
            <rFont val="Tahoma"/>
            <family val="2"/>
          </rPr>
          <t>Doug Powell:</t>
        </r>
        <r>
          <rPr>
            <sz val="9"/>
            <color indexed="81"/>
            <rFont val="Tahoma"/>
            <family val="2"/>
          </rPr>
          <t xml:space="preserve">
A. Kreutzmann and M. Schmela, Photon International, 2008, 12, 84-92.</t>
        </r>
      </text>
    </comment>
    <comment ref="C137" authorId="0" shapeId="0">
      <text>
        <r>
          <rPr>
            <b/>
            <sz val="9"/>
            <color indexed="81"/>
            <rFont val="Tahoma"/>
            <family val="2"/>
          </rPr>
          <t>Doug Powell:</t>
        </r>
        <r>
          <rPr>
            <sz val="9"/>
            <color indexed="81"/>
            <rFont val="Tahoma"/>
            <family val="2"/>
          </rPr>
          <t xml:space="preserve">
A. Kreutzmann and M. Schmela, Photon International, 2008, 12, 84-92.
Save Significantly with Kerfless Approach</t>
        </r>
      </text>
    </comment>
    <comment ref="C138" authorId="0" shapeId="0">
      <text>
        <r>
          <rPr>
            <b/>
            <sz val="9"/>
            <color indexed="81"/>
            <rFont val="Tahoma"/>
            <family val="2"/>
          </rPr>
          <t>Doug Powell:</t>
        </r>
        <r>
          <rPr>
            <sz val="9"/>
            <color indexed="81"/>
            <rFont val="Tahoma"/>
            <family val="2"/>
          </rPr>
          <t xml:space="preserve">
A. Kreutzmann and M. Schmela, Photon International, 2008, 12, 84-92.
</t>
        </r>
      </text>
    </comment>
    <comment ref="C139" authorId="0" shapeId="0">
      <text>
        <r>
          <rPr>
            <b/>
            <sz val="9"/>
            <color indexed="81"/>
            <rFont val="Tahoma"/>
            <family val="2"/>
          </rPr>
          <t>Doug Powell:</t>
        </r>
        <r>
          <rPr>
            <sz val="9"/>
            <color indexed="81"/>
            <rFont val="Tahoma"/>
            <family val="2"/>
          </rPr>
          <t xml:space="preserve">
A. Kreutzmann and M. Schmela, Photon International, 2008, 12, 84-92.
</t>
        </r>
      </text>
    </comment>
    <comment ref="B147" authorId="0" shapeId="0">
      <text>
        <r>
          <rPr>
            <b/>
            <sz val="9"/>
            <color indexed="81"/>
            <rFont val="Tahoma"/>
            <family val="2"/>
          </rPr>
          <t>Doug Powell:</t>
        </r>
        <r>
          <rPr>
            <sz val="9"/>
            <color indexed="81"/>
            <rFont val="Tahoma"/>
            <family val="2"/>
          </rPr>
          <t xml:space="preserve">
The impact of yield loss is calculated in each cost category</t>
        </r>
      </text>
    </comment>
    <comment ref="C148" authorId="0" shapeId="0">
      <text>
        <r>
          <rPr>
            <b/>
            <sz val="9"/>
            <color indexed="81"/>
            <rFont val="Tahoma"/>
            <family val="2"/>
          </rPr>
          <t>Doug Powell:</t>
        </r>
        <r>
          <rPr>
            <sz val="9"/>
            <color indexed="81"/>
            <rFont val="Tahoma"/>
            <family val="2"/>
          </rPr>
          <t xml:space="preserve">
Applied Materials Wafering Economics Whitepaper, minimum of 95% quality yield, back to std yields because of really thin wafers.</t>
        </r>
      </text>
    </comment>
    <comment ref="C149"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Back to std yields because of really thin wafers.</t>
        </r>
      </text>
    </comment>
    <comment ref="C150"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Back to std yields because of really thin wafers.</t>
        </r>
      </text>
    </comment>
    <comment ref="C154" authorId="0" shapeId="0">
      <text>
        <r>
          <rPr>
            <b/>
            <sz val="9"/>
            <color indexed="81"/>
            <rFont val="Tahoma"/>
            <family val="2"/>
          </rPr>
          <t>Doug Powell:</t>
        </r>
        <r>
          <rPr>
            <sz val="9"/>
            <color indexed="81"/>
            <rFont val="Tahoma"/>
            <family val="2"/>
          </rPr>
          <t xml:space="preserve">
http://answers.yahoo.com/question/index?qid=20110405132256AALC8wK</t>
        </r>
      </text>
    </comment>
    <comment ref="C155" authorId="0" shapeId="0">
      <text>
        <r>
          <rPr>
            <b/>
            <sz val="9"/>
            <color indexed="81"/>
            <rFont val="Tahoma"/>
            <family val="2"/>
          </rPr>
          <t>Doug Powell:</t>
        </r>
        <r>
          <rPr>
            <sz val="9"/>
            <color indexed="81"/>
            <rFont val="Tahoma"/>
            <family val="2"/>
          </rPr>
          <t xml:space="preserve">
3 sheets per to also account for shrink wrap
</t>
        </r>
      </text>
    </comment>
    <comment ref="C161" authorId="0" shapeId="0">
      <text>
        <r>
          <rPr>
            <b/>
            <sz val="9"/>
            <color indexed="81"/>
            <rFont val="Tahoma"/>
            <family val="2"/>
          </rPr>
          <t>Doug Powell:</t>
        </r>
        <r>
          <rPr>
            <sz val="9"/>
            <color indexed="81"/>
            <rFont val="Tahoma"/>
            <family val="2"/>
          </rPr>
          <t xml:space="preserve">
Based on 75% of paste cost being silver in J. Herron, Photon International, 8, 2011, 100-105
So Ni/Cu material is 25% of silver paste.
Silver paste price from: J. Herron, "Looking under the hood: Equipment makers disclose cost analyses, showing room for improvement as module makers search for profits", Photon International, vol. 5, pp. 90-98, 2012</t>
        </r>
      </text>
    </comment>
    <comment ref="B162" authorId="0" shapeId="0">
      <text>
        <r>
          <rPr>
            <b/>
            <sz val="9"/>
            <color indexed="81"/>
            <rFont val="Tahoma"/>
            <family val="2"/>
          </rPr>
          <t>Doug Powell:</t>
        </r>
        <r>
          <rPr>
            <sz val="9"/>
            <color indexed="81"/>
            <rFont val="Tahoma"/>
            <family val="2"/>
          </rPr>
          <t xml:space="preserve">
Assumes same use as silver paste in 2012</t>
        </r>
      </text>
    </comment>
    <comment ref="C162" authorId="0" shapeId="0">
      <text>
        <r>
          <rPr>
            <b/>
            <sz val="9"/>
            <color indexed="81"/>
            <rFont val="Tahoma"/>
            <family val="2"/>
          </rPr>
          <t>Doug Powell:</t>
        </r>
        <r>
          <rPr>
            <sz val="9"/>
            <color indexed="81"/>
            <rFont val="Tahoma"/>
            <family val="2"/>
          </rPr>
          <t xml:space="preserve">
2012 target on 
Crystalline Silicon PV Technology and Manufacturing (CTM) Group, "International technology roadmap for photovoltaics: Results 2011," SEMI PV Group, 2012.</t>
        </r>
      </text>
    </comment>
    <comment ref="C16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65" authorId="0" shapeId="0">
      <text>
        <r>
          <rPr>
            <b/>
            <sz val="9"/>
            <color indexed="81"/>
            <rFont val="Tahoma"/>
            <family val="2"/>
          </rPr>
          <t>Doug Powell:</t>
        </r>
        <r>
          <rPr>
            <sz val="9"/>
            <color indexed="81"/>
            <rFont val="Tahoma"/>
            <family val="2"/>
          </rPr>
          <t xml:space="preserve">
http://www.targray.com/documents/Al_Paste_for_Solar_Cells.pdf,
In line with S. Kim et al., "Aluminum Pastes (Lead-Free/Low-Bow) for Thin Wafers", IEEE 31st Photovoltaic Specialists Conference and Exhibition, Jan. 3-7, Orlando, Florida, USA</t>
        </r>
      </text>
    </comment>
    <comment ref="C17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81" authorId="0" shapeId="0">
      <text>
        <r>
          <rPr>
            <b/>
            <sz val="9"/>
            <color indexed="81"/>
            <rFont val="Tahoma"/>
            <family val="2"/>
          </rPr>
          <t>Doug Powell:</t>
        </r>
        <r>
          <rPr>
            <sz val="9"/>
            <color indexed="81"/>
            <rFont val="Tahoma"/>
            <family val="2"/>
          </rPr>
          <t xml:space="preserve">
From browsing:
http://www.alibaba.com/trade/search?SearchText=solar+frame+price&amp;IndexArea=product_en&amp;fsb=y 
Agrees well with GTM PV Bill of Materials Excerpt, in March 2011 PV news, estimate for 2010:
Based on perimeter $15/1.6m^2 module assuming 1.6 x 1 module</t>
        </r>
      </text>
    </comment>
    <comment ref="D181" authorId="0" shapeId="0">
      <text>
        <r>
          <rPr>
            <b/>
            <sz val="9"/>
            <color indexed="81"/>
            <rFont val="Tahoma"/>
            <family val="2"/>
          </rPr>
          <t>Doug Powell:</t>
        </r>
        <r>
          <rPr>
            <sz val="9"/>
            <color indexed="81"/>
            <rFont val="Tahoma"/>
            <family val="2"/>
          </rPr>
          <t xml:space="preserve">
Scales with Perimeter, assumes 1m base.</t>
        </r>
      </text>
    </comment>
    <comment ref="C183" authorId="0" shapeId="0">
      <text>
        <r>
          <rPr>
            <b/>
            <sz val="9"/>
            <color indexed="81"/>
            <rFont val="Tahoma"/>
            <family val="2"/>
          </rPr>
          <t>Doug Powell:</t>
        </r>
        <r>
          <rPr>
            <sz val="9"/>
            <color indexed="81"/>
            <rFont val="Tahoma"/>
            <family val="2"/>
          </rPr>
          <t xml:space="preserve">
From browsing:
http://www.alibaba.com/trade/search?SearchText=solar+backsheet&amp;IndexArea=Products&amp;fsb=y on July 4th 2012 and July 30th 2012
A little lower than
GTM PV Bill of Materials Excerpt, in March 2011 PV news, estimate for 2010:
$11.5/1.6m^2 module
</t>
        </r>
      </text>
    </comment>
    <comment ref="C184" authorId="0" shapeId="0">
      <text>
        <r>
          <rPr>
            <b/>
            <sz val="9"/>
            <color indexed="81"/>
            <rFont val="Tahoma"/>
            <family val="2"/>
          </rPr>
          <t>Doug Powell:</t>
        </r>
        <r>
          <rPr>
            <sz val="9"/>
            <color indexed="81"/>
            <rFont val="Tahoma"/>
            <family val="2"/>
          </rPr>
          <t xml:space="preserve">
From browsing:
http://www.alibaba.com/trade/search?SearchText=solar+eva&amp;IndexArea=Products&amp;fsb=y 
on July 4th 2012
GTM PV Bill of Materials Excerpt, in March 2011 PV news, estimate for 2010:
$9/1.6m^2 module,
but 2 sheets so
$9/3.2m^2 of material</t>
        </r>
      </text>
    </comment>
    <comment ref="C185" authorId="0" shapeId="0">
      <text>
        <r>
          <rPr>
            <b/>
            <sz val="9"/>
            <color indexed="81"/>
            <rFont val="Tahoma"/>
            <family val="2"/>
          </rPr>
          <t>Doug Powell:</t>
        </r>
        <r>
          <rPr>
            <sz val="9"/>
            <color indexed="81"/>
            <rFont val="Tahoma"/>
            <family val="2"/>
          </rPr>
          <t xml:space="preserve">
From browsing:
http://www.alibaba.com/showroom/solar-glass-price.html 
on July 4th 2012 and July 30th 2012.
Is a bit lower than  GTM PV Bill of Materials Excerpt, in March 2011 PV news, estimate for 2010:
$17/1.6m^2 module</t>
        </r>
      </text>
    </comment>
    <comment ref="C186" authorId="0" shapeId="0">
      <text>
        <r>
          <rPr>
            <b/>
            <sz val="9"/>
            <color indexed="81"/>
            <rFont val="Tahoma"/>
            <family val="2"/>
          </rPr>
          <t>Doug Powell:</t>
        </r>
        <r>
          <rPr>
            <sz val="9"/>
            <color indexed="81"/>
            <rFont val="Tahoma"/>
            <family val="2"/>
          </rPr>
          <t xml:space="preserve">
Calculated from plots in GTM PV Bill of Materials Excerpt, in March 2011 PV news, estimate for 2010:
$7.5/1.6m^2 module</t>
        </r>
      </text>
    </comment>
    <comment ref="C188" authorId="0" shapeId="0">
      <text>
        <r>
          <rPr>
            <b/>
            <sz val="9"/>
            <color indexed="81"/>
            <rFont val="Tahoma"/>
            <family val="2"/>
          </rPr>
          <t>Doug Powell:</t>
        </r>
        <r>
          <rPr>
            <sz val="9"/>
            <color indexed="81"/>
            <rFont val="Tahoma"/>
            <family val="2"/>
          </rPr>
          <t xml:space="preserve">
From browsing:
http://www.alibaba.com/trade/search?SearchText=solar+junction+box+price&amp;IndexArea=product_en&amp;fsb=y
on July 4th 2012 and July 30th 2012</t>
        </r>
      </text>
    </comment>
    <comment ref="C191" authorId="0" shapeId="0">
      <text>
        <r>
          <rPr>
            <b/>
            <sz val="9"/>
            <color indexed="81"/>
            <rFont val="Tahoma"/>
            <family val="2"/>
          </rPr>
          <t>Doug Powell:</t>
        </r>
        <r>
          <rPr>
            <sz val="9"/>
            <color indexed="81"/>
            <rFont val="Tahoma"/>
            <family val="2"/>
          </rPr>
          <t xml:space="preserve">
40 ft HC container
http://am.suntech-power.com/images/stories/pdf/datasheets/july2011/stp280_24vd_ulh4%20connector.pdf</t>
        </r>
      </text>
    </comment>
    <comment ref="B197" authorId="0" shapeId="0">
      <text>
        <r>
          <rPr>
            <b/>
            <sz val="9"/>
            <color indexed="81"/>
            <rFont val="Tahoma"/>
            <family val="2"/>
          </rPr>
          <t>Doug Powell:</t>
        </r>
        <r>
          <rPr>
            <sz val="9"/>
            <color indexed="81"/>
            <rFont val="Tahoma"/>
            <family val="2"/>
          </rPr>
          <t xml:space="preserve">
Following methodology of
A. Goodrich, et al., "A wafer-based monocrystalline silicon photovoltaics road map: Utilizing known technical improvement opportunities for further reductions in manufacturing costs," Solar Energy Materials &amp; Solar Cells, submitted
with formulation from 
R.D. Boehme, (2012, May 22). "Chapter 7: Capital budgeting cash flows," [Online]. Available: www.rdboehme.com/MBA_CF/Chapter07_emba.ppt 
and
D.A. Volkman, (2012, Oct 25). "Project Cash Flow Analysis," [Online]. Available: http://cba.unomaha.edu/faculty/dvolkman/WEB/bsad8360/embacashflow.ppt</t>
        </r>
      </text>
    </comment>
    <comment ref="C198" authorId="0" shapeId="0">
      <text>
        <r>
          <rPr>
            <b/>
            <sz val="9"/>
            <color indexed="81"/>
            <rFont val="Tahoma"/>
            <family val="2"/>
          </rPr>
          <t>Doug Powell:</t>
        </r>
        <r>
          <rPr>
            <sz val="9"/>
            <color indexed="81"/>
            <rFont val="Tahoma"/>
            <family val="2"/>
          </rPr>
          <t xml:space="preserve">
This variable cancels in MSP and IRR calculations</t>
        </r>
      </text>
    </comment>
    <comment ref="C199" authorId="0" shapeId="0">
      <text>
        <r>
          <rPr>
            <b/>
            <sz val="9"/>
            <color indexed="81"/>
            <rFont val="Tahoma"/>
            <family val="2"/>
          </rPr>
          <t>Doug Powell:</t>
        </r>
        <r>
          <rPr>
            <sz val="9"/>
            <color indexed="81"/>
            <rFont val="Tahoma"/>
            <family val="2"/>
          </rPr>
          <t xml:space="preserve">
From CPI, 12 month non-seasonally adjusted, 2.2% for October 2012.</t>
        </r>
      </text>
    </comment>
    <comment ref="C200" authorId="0" shapeId="0">
      <text>
        <r>
          <rPr>
            <b/>
            <sz val="9"/>
            <color indexed="81"/>
            <rFont val="Tahoma"/>
            <family val="2"/>
          </rPr>
          <t>Doug Powell:</t>
        </r>
        <r>
          <rPr>
            <sz val="9"/>
            <color indexed="81"/>
            <rFont val="Tahoma"/>
            <family val="2"/>
          </rPr>
          <t xml:space="preserve">
From CPI, 12 month non-seasonally adjusted, 2.2% for October 2012.</t>
        </r>
      </text>
    </comment>
    <comment ref="C201" authorId="0" shapeId="0">
      <text>
        <r>
          <rPr>
            <b/>
            <sz val="9"/>
            <color indexed="81"/>
            <rFont val="Tahoma"/>
            <family val="2"/>
          </rPr>
          <t>Doug Powell:</t>
        </r>
        <r>
          <rPr>
            <sz val="9"/>
            <color indexed="81"/>
            <rFont val="Tahoma"/>
            <family val="2"/>
          </rPr>
          <t xml:space="preserve">
Assumed value</t>
        </r>
      </text>
    </comment>
    <comment ref="C202" authorId="0" shapeId="0">
      <text>
        <r>
          <rPr>
            <b/>
            <sz val="9"/>
            <color indexed="81"/>
            <rFont val="Tahoma"/>
            <family val="2"/>
          </rPr>
          <t>Doug Powell:</t>
        </r>
        <r>
          <rPr>
            <sz val="9"/>
            <color indexed="81"/>
            <rFont val="Tahoma"/>
            <family val="2"/>
          </rPr>
          <t xml:space="preserve">
P. Dittmer, "U.S. Corporations suffer high effective tax rates by international standards," Tax Foundation, 2011.
and
C.P. Stickney and R.L. Weil, Financial accounting: An introduction to concepts, methods, and uses: Thomson South-Western, pp. 488, 2007.</t>
        </r>
      </text>
    </comment>
    <comment ref="C203"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C204"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B212" authorId="0" shapeId="0">
      <text>
        <r>
          <rPr>
            <b/>
            <sz val="9"/>
            <color indexed="81"/>
            <rFont val="Tahoma"/>
            <family val="2"/>
          </rPr>
          <t>Doug Powell:</t>
        </r>
        <r>
          <rPr>
            <sz val="9"/>
            <color indexed="81"/>
            <rFont val="Tahoma"/>
            <family val="2"/>
          </rPr>
          <t xml:space="preserve">
Separate DCF to account for different depreciation periods</t>
        </r>
      </text>
    </comment>
    <comment ref="G216"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16"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16" authorId="0" shapeId="0">
      <text>
        <r>
          <rPr>
            <b/>
            <sz val="9"/>
            <color indexed="81"/>
            <rFont val="Tahoma"/>
            <family val="2"/>
          </rPr>
          <t>Doug Powell:</t>
        </r>
        <r>
          <rPr>
            <sz val="9"/>
            <color indexed="81"/>
            <rFont val="Tahoma"/>
            <family val="2"/>
          </rPr>
          <t xml:space="preserve">
Includes selling, G&amp;A, and R&amp;D</t>
        </r>
      </text>
    </comment>
    <comment ref="N216" authorId="0" shapeId="0">
      <text>
        <r>
          <rPr>
            <b/>
            <sz val="9"/>
            <color indexed="81"/>
            <rFont val="Tahoma"/>
            <family val="2"/>
          </rPr>
          <t>Doug Powell:</t>
        </r>
        <r>
          <rPr>
            <sz val="9"/>
            <color indexed="81"/>
            <rFont val="Tahoma"/>
            <family val="2"/>
          </rPr>
          <t xml:space="preserve">
To consider tax implications of the salvage operation.</t>
        </r>
      </text>
    </comment>
    <comment ref="O216" authorId="0" shapeId="0">
      <text>
        <r>
          <rPr>
            <b/>
            <sz val="9"/>
            <color indexed="81"/>
            <rFont val="Tahoma"/>
            <family val="2"/>
          </rPr>
          <t>Doug Powell:</t>
        </r>
        <r>
          <rPr>
            <sz val="9"/>
            <color indexed="81"/>
            <rFont val="Tahoma"/>
            <family val="2"/>
          </rPr>
          <t xml:space="preserve">
Net Operating Loss
</t>
        </r>
      </text>
    </comment>
    <comment ref="P216" authorId="0" shapeId="0">
      <text>
        <r>
          <rPr>
            <b/>
            <sz val="9"/>
            <color indexed="81"/>
            <rFont val="Tahoma"/>
            <family val="2"/>
          </rPr>
          <t>Doug Powell:</t>
        </r>
        <r>
          <rPr>
            <sz val="9"/>
            <color indexed="81"/>
            <rFont val="Tahoma"/>
            <family val="2"/>
          </rPr>
          <t xml:space="preserve">
At end of  year. Unlimited Carry Forward</t>
        </r>
      </text>
    </comment>
    <comment ref="R216" authorId="0" shapeId="0">
      <text>
        <r>
          <rPr>
            <b/>
            <sz val="9"/>
            <color indexed="81"/>
            <rFont val="Tahoma"/>
            <family val="2"/>
          </rPr>
          <t>Doug Powell:</t>
        </r>
        <r>
          <rPr>
            <sz val="9"/>
            <color indexed="81"/>
            <rFont val="Tahoma"/>
            <family val="2"/>
          </rPr>
          <t xml:space="preserve">
Uses effective tax rate in conjunction with NOL</t>
        </r>
      </text>
    </comment>
    <comment ref="S216"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16"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16"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16" authorId="0" shapeId="0">
      <text>
        <r>
          <rPr>
            <b/>
            <sz val="9"/>
            <color indexed="81"/>
            <rFont val="Tahoma"/>
            <family val="2"/>
          </rPr>
          <t>Doug Powell:</t>
        </r>
        <r>
          <rPr>
            <sz val="9"/>
            <color indexed="81"/>
            <rFont val="Tahoma"/>
            <family val="2"/>
          </rPr>
          <t xml:space="preserve">
For the tax basis of salvaging the facility</t>
        </r>
      </text>
    </comment>
    <comment ref="X239" authorId="0" shapeId="0">
      <text>
        <r>
          <rPr>
            <b/>
            <sz val="9"/>
            <color indexed="81"/>
            <rFont val="Tahoma"/>
            <family val="2"/>
          </rPr>
          <t>Doug Powell:</t>
        </r>
        <r>
          <rPr>
            <sz val="9"/>
            <color indexed="81"/>
            <rFont val="Tahoma"/>
            <family val="2"/>
          </rPr>
          <t xml:space="preserve">
IRR to compare to WACC</t>
        </r>
      </text>
    </comment>
    <comment ref="G245"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45"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45" authorId="0" shapeId="0">
      <text>
        <r>
          <rPr>
            <b/>
            <sz val="9"/>
            <color indexed="81"/>
            <rFont val="Tahoma"/>
            <family val="2"/>
          </rPr>
          <t>Doug Powell:</t>
        </r>
        <r>
          <rPr>
            <sz val="9"/>
            <color indexed="81"/>
            <rFont val="Tahoma"/>
            <family val="2"/>
          </rPr>
          <t xml:space="preserve">
Includes selling, G&amp;A, and R&amp;D</t>
        </r>
      </text>
    </comment>
    <comment ref="N245" authorId="0" shapeId="0">
      <text>
        <r>
          <rPr>
            <b/>
            <sz val="9"/>
            <color indexed="81"/>
            <rFont val="Tahoma"/>
            <family val="2"/>
          </rPr>
          <t>Doug Powell:</t>
        </r>
        <r>
          <rPr>
            <sz val="9"/>
            <color indexed="81"/>
            <rFont val="Tahoma"/>
            <family val="2"/>
          </rPr>
          <t xml:space="preserve">
To consider tax implications of the salvage operation.</t>
        </r>
      </text>
    </comment>
    <comment ref="O245" authorId="0" shapeId="0">
      <text>
        <r>
          <rPr>
            <b/>
            <sz val="9"/>
            <color indexed="81"/>
            <rFont val="Tahoma"/>
            <family val="2"/>
          </rPr>
          <t>Doug Powell:</t>
        </r>
        <r>
          <rPr>
            <sz val="9"/>
            <color indexed="81"/>
            <rFont val="Tahoma"/>
            <family val="2"/>
          </rPr>
          <t xml:space="preserve">
Net Operating Loss
</t>
        </r>
      </text>
    </comment>
    <comment ref="P245" authorId="0" shapeId="0">
      <text>
        <r>
          <rPr>
            <b/>
            <sz val="9"/>
            <color indexed="81"/>
            <rFont val="Tahoma"/>
            <family val="2"/>
          </rPr>
          <t>Doug Powell:</t>
        </r>
        <r>
          <rPr>
            <sz val="9"/>
            <color indexed="81"/>
            <rFont val="Tahoma"/>
            <family val="2"/>
          </rPr>
          <t xml:space="preserve">
At end of  year. Unlimited Carry Forward</t>
        </r>
      </text>
    </comment>
    <comment ref="R245" authorId="0" shapeId="0">
      <text>
        <r>
          <rPr>
            <b/>
            <sz val="9"/>
            <color indexed="81"/>
            <rFont val="Tahoma"/>
            <family val="2"/>
          </rPr>
          <t>Doug Powell:</t>
        </r>
        <r>
          <rPr>
            <sz val="9"/>
            <color indexed="81"/>
            <rFont val="Tahoma"/>
            <family val="2"/>
          </rPr>
          <t xml:space="preserve">
Uses effective tax rate in conjunction with NOL</t>
        </r>
      </text>
    </comment>
    <comment ref="S245"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45"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45"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45" authorId="0" shapeId="0">
      <text>
        <r>
          <rPr>
            <b/>
            <sz val="9"/>
            <color indexed="81"/>
            <rFont val="Tahoma"/>
            <family val="2"/>
          </rPr>
          <t>Doug Powell:</t>
        </r>
        <r>
          <rPr>
            <sz val="9"/>
            <color indexed="81"/>
            <rFont val="Tahoma"/>
            <family val="2"/>
          </rPr>
          <t xml:space="preserve">
For the tax basis of salvaging the facility</t>
        </r>
      </text>
    </comment>
    <comment ref="X268" authorId="0" shapeId="0">
      <text>
        <r>
          <rPr>
            <b/>
            <sz val="9"/>
            <color indexed="81"/>
            <rFont val="Tahoma"/>
            <family val="2"/>
          </rPr>
          <t>Doug Powell:</t>
        </r>
        <r>
          <rPr>
            <sz val="9"/>
            <color indexed="81"/>
            <rFont val="Tahoma"/>
            <family val="2"/>
          </rPr>
          <t xml:space="preserve">
IRR to compare to WACC</t>
        </r>
      </text>
    </comment>
    <comment ref="G274"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74"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74" authorId="0" shapeId="0">
      <text>
        <r>
          <rPr>
            <b/>
            <sz val="9"/>
            <color indexed="81"/>
            <rFont val="Tahoma"/>
            <family val="2"/>
          </rPr>
          <t>Doug Powell:</t>
        </r>
        <r>
          <rPr>
            <sz val="9"/>
            <color indexed="81"/>
            <rFont val="Tahoma"/>
            <family val="2"/>
          </rPr>
          <t xml:space="preserve">
Includes selling, G&amp;A, and R&amp;D</t>
        </r>
      </text>
    </comment>
    <comment ref="N274" authorId="0" shapeId="0">
      <text>
        <r>
          <rPr>
            <b/>
            <sz val="9"/>
            <color indexed="81"/>
            <rFont val="Tahoma"/>
            <family val="2"/>
          </rPr>
          <t>Doug Powell:</t>
        </r>
        <r>
          <rPr>
            <sz val="9"/>
            <color indexed="81"/>
            <rFont val="Tahoma"/>
            <family val="2"/>
          </rPr>
          <t xml:space="preserve">
To consider tax implications of the salvage operation.</t>
        </r>
      </text>
    </comment>
    <comment ref="O274" authorId="0" shapeId="0">
      <text>
        <r>
          <rPr>
            <b/>
            <sz val="9"/>
            <color indexed="81"/>
            <rFont val="Tahoma"/>
            <family val="2"/>
          </rPr>
          <t>Doug Powell:</t>
        </r>
        <r>
          <rPr>
            <sz val="9"/>
            <color indexed="81"/>
            <rFont val="Tahoma"/>
            <family val="2"/>
          </rPr>
          <t xml:space="preserve">
Net Operating Loss
</t>
        </r>
      </text>
    </comment>
    <comment ref="P274" authorId="0" shapeId="0">
      <text>
        <r>
          <rPr>
            <b/>
            <sz val="9"/>
            <color indexed="81"/>
            <rFont val="Tahoma"/>
            <family val="2"/>
          </rPr>
          <t>Doug Powell:</t>
        </r>
        <r>
          <rPr>
            <sz val="9"/>
            <color indexed="81"/>
            <rFont val="Tahoma"/>
            <family val="2"/>
          </rPr>
          <t xml:space="preserve">
At end of  year. Unlimited Carry Forward</t>
        </r>
      </text>
    </comment>
    <comment ref="R274" authorId="0" shapeId="0">
      <text>
        <r>
          <rPr>
            <b/>
            <sz val="9"/>
            <color indexed="81"/>
            <rFont val="Tahoma"/>
            <family val="2"/>
          </rPr>
          <t>Doug Powell:</t>
        </r>
        <r>
          <rPr>
            <sz val="9"/>
            <color indexed="81"/>
            <rFont val="Tahoma"/>
            <family val="2"/>
          </rPr>
          <t xml:space="preserve">
Uses effective tax rate in conjunction with NOL</t>
        </r>
      </text>
    </comment>
    <comment ref="S274"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74"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74"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74" authorId="0" shapeId="0">
      <text>
        <r>
          <rPr>
            <b/>
            <sz val="9"/>
            <color indexed="81"/>
            <rFont val="Tahoma"/>
            <family val="2"/>
          </rPr>
          <t>Doug Powell:</t>
        </r>
        <r>
          <rPr>
            <sz val="9"/>
            <color indexed="81"/>
            <rFont val="Tahoma"/>
            <family val="2"/>
          </rPr>
          <t xml:space="preserve">
For the tax basis of salvaging the facility</t>
        </r>
      </text>
    </comment>
    <comment ref="X297" authorId="0" shapeId="0">
      <text>
        <r>
          <rPr>
            <b/>
            <sz val="9"/>
            <color indexed="81"/>
            <rFont val="Tahoma"/>
            <family val="2"/>
          </rPr>
          <t>Doug Powell:</t>
        </r>
        <r>
          <rPr>
            <sz val="9"/>
            <color indexed="81"/>
            <rFont val="Tahoma"/>
            <family val="2"/>
          </rPr>
          <t xml:space="preserve">
IRR to compare to WACC</t>
        </r>
      </text>
    </comment>
    <comment ref="G303"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303"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303" authorId="0" shapeId="0">
      <text>
        <r>
          <rPr>
            <b/>
            <sz val="9"/>
            <color indexed="81"/>
            <rFont val="Tahoma"/>
            <family val="2"/>
          </rPr>
          <t>Doug Powell:</t>
        </r>
        <r>
          <rPr>
            <sz val="9"/>
            <color indexed="81"/>
            <rFont val="Tahoma"/>
            <family val="2"/>
          </rPr>
          <t xml:space="preserve">
Includes selling, G&amp;A, and R&amp;D</t>
        </r>
      </text>
    </comment>
    <comment ref="N303" authorId="0" shapeId="0">
      <text>
        <r>
          <rPr>
            <b/>
            <sz val="9"/>
            <color indexed="81"/>
            <rFont val="Tahoma"/>
            <family val="2"/>
          </rPr>
          <t>Doug Powell:</t>
        </r>
        <r>
          <rPr>
            <sz val="9"/>
            <color indexed="81"/>
            <rFont val="Tahoma"/>
            <family val="2"/>
          </rPr>
          <t xml:space="preserve">
To consider tax implications of the salvage operation.</t>
        </r>
      </text>
    </comment>
    <comment ref="O303" authorId="0" shapeId="0">
      <text>
        <r>
          <rPr>
            <b/>
            <sz val="9"/>
            <color indexed="81"/>
            <rFont val="Tahoma"/>
            <family val="2"/>
          </rPr>
          <t>Doug Powell:</t>
        </r>
        <r>
          <rPr>
            <sz val="9"/>
            <color indexed="81"/>
            <rFont val="Tahoma"/>
            <family val="2"/>
          </rPr>
          <t xml:space="preserve">
Net Operating Loss
</t>
        </r>
      </text>
    </comment>
    <comment ref="P303" authorId="0" shapeId="0">
      <text>
        <r>
          <rPr>
            <b/>
            <sz val="9"/>
            <color indexed="81"/>
            <rFont val="Tahoma"/>
            <family val="2"/>
          </rPr>
          <t>Doug Powell:</t>
        </r>
        <r>
          <rPr>
            <sz val="9"/>
            <color indexed="81"/>
            <rFont val="Tahoma"/>
            <family val="2"/>
          </rPr>
          <t xml:space="preserve">
At end of  year. Unlimited Carry Forward</t>
        </r>
      </text>
    </comment>
    <comment ref="R303" authorId="0" shapeId="0">
      <text>
        <r>
          <rPr>
            <b/>
            <sz val="9"/>
            <color indexed="81"/>
            <rFont val="Tahoma"/>
            <family val="2"/>
          </rPr>
          <t>Doug Powell:</t>
        </r>
        <r>
          <rPr>
            <sz val="9"/>
            <color indexed="81"/>
            <rFont val="Tahoma"/>
            <family val="2"/>
          </rPr>
          <t xml:space="preserve">
Uses effective tax rate in conjunction with NOL</t>
        </r>
      </text>
    </comment>
    <comment ref="S303"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303"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303"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303" authorId="0" shapeId="0">
      <text>
        <r>
          <rPr>
            <b/>
            <sz val="9"/>
            <color indexed="81"/>
            <rFont val="Tahoma"/>
            <family val="2"/>
          </rPr>
          <t>Doug Powell:</t>
        </r>
        <r>
          <rPr>
            <sz val="9"/>
            <color indexed="81"/>
            <rFont val="Tahoma"/>
            <family val="2"/>
          </rPr>
          <t xml:space="preserve">
For the tax basis of salvaging the facility</t>
        </r>
      </text>
    </comment>
    <comment ref="X326" authorId="0" shapeId="0">
      <text>
        <r>
          <rPr>
            <b/>
            <sz val="9"/>
            <color indexed="81"/>
            <rFont val="Tahoma"/>
            <family val="2"/>
          </rPr>
          <t>Doug Powell:</t>
        </r>
        <r>
          <rPr>
            <sz val="9"/>
            <color indexed="81"/>
            <rFont val="Tahoma"/>
            <family val="2"/>
          </rPr>
          <t xml:space="preserve">
IRR to compare to WACC</t>
        </r>
      </text>
    </comment>
    <comment ref="C330" authorId="0" shapeId="0">
      <text>
        <r>
          <rPr>
            <b/>
            <sz val="9"/>
            <color indexed="81"/>
            <rFont val="Tahoma"/>
            <family val="2"/>
          </rPr>
          <t>Doug Powell:</t>
        </r>
        <r>
          <rPr>
            <sz val="9"/>
            <color indexed="81"/>
            <rFont val="Tahoma"/>
            <family val="2"/>
          </rPr>
          <t xml:space="preserve">
Assumed for income statement, with input from A. Goodrich's work</t>
        </r>
      </text>
    </comment>
    <comment ref="C331" authorId="0" shapeId="0">
      <text>
        <r>
          <rPr>
            <b/>
            <sz val="9"/>
            <color indexed="81"/>
            <rFont val="Tahoma"/>
            <family val="2"/>
          </rPr>
          <t>Doug Powell:</t>
        </r>
        <r>
          <rPr>
            <sz val="9"/>
            <color indexed="81"/>
            <rFont val="Tahoma"/>
            <family val="2"/>
          </rPr>
          <t xml:space="preserve">
Assumed for income statement</t>
        </r>
      </text>
    </comment>
    <comment ref="C332" authorId="0" shapeId="0">
      <text>
        <r>
          <rPr>
            <b/>
            <sz val="9"/>
            <color indexed="81"/>
            <rFont val="Tahoma"/>
            <family val="2"/>
          </rPr>
          <t>Doug Powell:</t>
        </r>
        <r>
          <rPr>
            <sz val="9"/>
            <color indexed="81"/>
            <rFont val="Tahoma"/>
            <family val="2"/>
          </rPr>
          <t xml:space="preserve">
Assumed for income statement</t>
        </r>
      </text>
    </comment>
    <comment ref="F355" authorId="0" shapeId="0">
      <text>
        <r>
          <rPr>
            <b/>
            <sz val="9"/>
            <color indexed="81"/>
            <rFont val="Tahoma"/>
            <family val="2"/>
          </rPr>
          <t>Doug Powell:</t>
        </r>
        <r>
          <rPr>
            <sz val="9"/>
            <color indexed="81"/>
            <rFont val="Tahoma"/>
            <family val="2"/>
          </rPr>
          <t xml:space="preserve">
Assuming Operating expenses are fixed</t>
        </r>
      </text>
    </comment>
    <comment ref="I355" authorId="0" shapeId="0">
      <text>
        <r>
          <rPr>
            <b/>
            <sz val="9"/>
            <color indexed="81"/>
            <rFont val="Tahoma"/>
            <family val="2"/>
          </rPr>
          <t>Doug Powell:</t>
        </r>
        <r>
          <rPr>
            <sz val="9"/>
            <color indexed="81"/>
            <rFont val="Tahoma"/>
            <family val="2"/>
          </rPr>
          <t xml:space="preserve">
Assuming Operating expenses are fixed</t>
        </r>
      </text>
    </comment>
    <comment ref="C378"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 ref="C379"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List>
</comments>
</file>

<file path=xl/comments5.xml><?xml version="1.0" encoding="utf-8"?>
<comments xmlns="http://schemas.openxmlformats.org/spreadsheetml/2006/main">
  <authors>
    <author>Doug Powell</author>
  </authors>
  <commentList>
    <comment ref="C8" authorId="0" shapeId="0">
      <text>
        <r>
          <rPr>
            <b/>
            <sz val="9"/>
            <color indexed="81"/>
            <rFont val="Tahoma"/>
            <family val="2"/>
          </rPr>
          <t>Doug Powell:</t>
        </r>
        <r>
          <rPr>
            <sz val="9"/>
            <color indexed="81"/>
            <rFont val="Tahoma"/>
            <family val="2"/>
          </rPr>
          <t xml:space="preserve">
ITRPV Roadmap 20% cells from pseudo-mono, and improved AR glass and encapsulation technologies to improve module knockdown by 98.5/96 = 2.5 % to .88*1.025=.9. 20*.9 app. 18%
Module Knockdown Factors (module vs lab cell efficiency)
0.84 Sunpower from 24 to 20.2
.88 for Sayno Hit Cell
.88 Suntech Pluto average cell (17) to Pluto module (14.8)</t>
        </r>
      </text>
    </comment>
    <comment ref="C10" authorId="0" shapeId="0">
      <text>
        <r>
          <rPr>
            <b/>
            <sz val="9"/>
            <color indexed="81"/>
            <rFont val="Tahoma"/>
            <family val="2"/>
          </rPr>
          <t xml:space="preserve">Doug Powell:
</t>
        </r>
        <r>
          <rPr>
            <sz val="9"/>
            <color indexed="81"/>
            <rFont val="Tahoma"/>
            <family val="2"/>
          </rPr>
          <t>Centrotherm from poly:
2,7000 t to 107 million wafers at 180 um  =45%
2,7000 t to 124 million wafers at 170 um  =45%
http://www.gaccsouth.com/fileadmin/ahk_atlanta/Bilder_Houston/Bilder/Texas_Renewables/05_Centrotherm_Faller.ppt_ohne_extra_slides.pdf_web.pdf</t>
        </r>
        <r>
          <rPr>
            <b/>
            <sz val="9"/>
            <color indexed="81"/>
            <rFont val="Tahoma"/>
            <family val="2"/>
          </rPr>
          <t xml:space="preserve">
</t>
        </r>
        <r>
          <rPr>
            <sz val="9"/>
            <color indexed="81"/>
            <rFont val="Tahoma"/>
            <family val="2"/>
          </rPr>
          <t>Applied from ingot</t>
        </r>
        <r>
          <rPr>
            <b/>
            <sz val="9"/>
            <color indexed="81"/>
            <rFont val="Tahoma"/>
            <family val="2"/>
          </rPr>
          <t xml:space="preserve">
</t>
        </r>
        <r>
          <rPr>
            <sz val="9"/>
            <color indexed="81"/>
            <rFont val="Tahoma"/>
            <family val="2"/>
          </rPr>
          <t xml:space="preserve">Total material yield of silicon ingot squaring, sawing etc.  50 - 55% 
http://www.appliedmaterials.com/sites/default/files/wafering_economics_whitepaper.pdf
</t>
        </r>
      </text>
    </comment>
    <comment ref="C12" authorId="0" shapeId="0">
      <text>
        <r>
          <rPr>
            <b/>
            <sz val="9"/>
            <color indexed="81"/>
            <rFont val="Tahoma"/>
            <family val="2"/>
          </rPr>
          <t xml:space="preserve">Doug Powell:
</t>
        </r>
        <r>
          <rPr>
            <sz val="9"/>
            <color indexed="81"/>
            <rFont val="Tahoma"/>
            <family val="2"/>
          </rPr>
          <t xml:space="preserve">Approximate average of median wage for job code 51-2022, "Electrical and Electronic Equipment Assemblers" and 51-9141 "Semiconductor Processors" in the U.S. Department of Labor Bureau of Labor Statistics, May 2011 National Industry-Specific Occupational Employment and Wage Estimates: NAICS 334400 - Semiconductor and Other Electronic Component Manufacturing, 2011.
</t>
        </r>
      </text>
    </comment>
    <comment ref="C13" authorId="0" shapeId="0">
      <text>
        <r>
          <rPr>
            <b/>
            <sz val="9"/>
            <color indexed="81"/>
            <rFont val="Tahoma"/>
            <family val="2"/>
          </rPr>
          <t xml:space="preserve">Doug Powell:
</t>
        </r>
        <r>
          <rPr>
            <sz val="9"/>
            <color indexed="81"/>
            <rFont val="Tahoma"/>
            <family val="2"/>
          </rPr>
          <t xml:space="preserve">Approximate average of median wage for job code 51-4012 "Computer Numerically Controlled Machine Tool Programmers, Metal and Plastic" in the U.S. Department of Labor Bureau of Labor Statistics, May 2011 National Industry-Specific Occupational Employment and Wage Estimates: NAICS 334400 - Semiconductor and Other Electronic Component Manufacturing, 2011.
</t>
        </r>
      </text>
    </comment>
    <comment ref="C14" authorId="0" shapeId="0">
      <text>
        <r>
          <rPr>
            <b/>
            <sz val="9"/>
            <color indexed="81"/>
            <rFont val="Tahoma"/>
            <family val="2"/>
          </rPr>
          <t xml:space="preserve">Doug Powell:
</t>
        </r>
        <r>
          <rPr>
            <sz val="9"/>
            <color indexed="81"/>
            <rFont val="Tahoma"/>
            <family val="2"/>
          </rPr>
          <t xml:space="preserve">Approximate average of median wage for job code 51-1011 "First-Line Supervisors of Production and Operating Workers" in the U.S. Department of Labor Bureau of Labor Statistics, May 2011 National Industry-Specific Occupational Employment and Wage Estimates: NAICS 334400 - Semiconductor and Other Electronic Component Manufacturing, 2011.
</t>
        </r>
      </text>
    </comment>
    <comment ref="C15" authorId="0" shapeId="0">
      <text>
        <r>
          <rPr>
            <b/>
            <sz val="9"/>
            <color indexed="81"/>
            <rFont val="Tahoma"/>
            <family val="2"/>
          </rPr>
          <t xml:space="preserve">Doug Powell:
</t>
        </r>
        <r>
          <rPr>
            <sz val="9"/>
            <color indexed="81"/>
            <rFont val="Tahoma"/>
            <family val="2"/>
          </rPr>
          <t xml:space="preserve">Base pay times 1.325 for US
http://web.mit.edu/e-club/hadzima/how-much-does-an-employee-cost.html
</t>
        </r>
      </text>
    </comment>
    <comment ref="C16" authorId="0" shapeId="0">
      <text>
        <r>
          <rPr>
            <b/>
            <sz val="9"/>
            <color indexed="81"/>
            <rFont val="Tahoma"/>
            <family val="2"/>
          </rPr>
          <t>Doug Powell:</t>
        </r>
        <r>
          <rPr>
            <sz val="9"/>
            <color indexed="81"/>
            <rFont val="Tahoma"/>
            <family val="2"/>
          </rPr>
          <t xml:space="preserve">
2011 Industrial Average from 
U.S. EIA, Electric Power Monthly February 2012 (data to December) 
Table 5.6.B</t>
        </r>
      </text>
    </comment>
    <comment ref="C18" authorId="0" shapeId="0">
      <text>
        <r>
          <rPr>
            <b/>
            <sz val="9"/>
            <color indexed="81"/>
            <rFont val="Tahoma"/>
            <family val="2"/>
          </rPr>
          <t>Doug Powell:</t>
        </r>
        <r>
          <rPr>
            <sz val="9"/>
            <color indexed="81"/>
            <rFont val="Tahoma"/>
            <family val="2"/>
          </rPr>
          <t xml:space="preserve">
ITRPV Roadmap</t>
        </r>
      </text>
    </comment>
    <comment ref="C25" authorId="0" shapeId="0">
      <text>
        <r>
          <rPr>
            <b/>
            <sz val="9"/>
            <color indexed="81"/>
            <rFont val="Tahoma"/>
            <family val="2"/>
          </rPr>
          <t>Doug Powell:</t>
        </r>
        <r>
          <rPr>
            <sz val="9"/>
            <color indexed="81"/>
            <rFont val="Tahoma"/>
            <family val="2"/>
          </rPr>
          <t xml:space="preserve">
Includes Breakage</t>
        </r>
      </text>
    </comment>
    <comment ref="L28" authorId="0" shapeId="0">
      <text>
        <r>
          <rPr>
            <b/>
            <sz val="9"/>
            <color indexed="81"/>
            <rFont val="Tahoma"/>
            <family val="2"/>
          </rPr>
          <t>Doug Powell:</t>
        </r>
        <r>
          <rPr>
            <sz val="9"/>
            <color indexed="81"/>
            <rFont val="Tahoma"/>
            <family val="2"/>
          </rPr>
          <t xml:space="preserve">
Pre-multiplier</t>
        </r>
      </text>
    </comment>
    <comment ref="D29" authorId="0" shapeId="0">
      <text>
        <r>
          <rPr>
            <b/>
            <sz val="9"/>
            <color indexed="81"/>
            <rFont val="Tahoma"/>
            <family val="2"/>
          </rPr>
          <t>Doug Powell:</t>
        </r>
        <r>
          <rPr>
            <sz val="9"/>
            <color indexed="81"/>
            <rFont val="Tahoma"/>
            <family val="2"/>
          </rPr>
          <t xml:space="preserve">
Pre-multiplier</t>
        </r>
      </text>
    </comment>
    <comment ref="F29" authorId="0" shapeId="0">
      <text>
        <r>
          <rPr>
            <b/>
            <sz val="9"/>
            <color indexed="81"/>
            <rFont val="Tahoma"/>
            <family val="2"/>
          </rPr>
          <t>Doug Powell:</t>
        </r>
        <r>
          <rPr>
            <sz val="9"/>
            <color indexed="81"/>
            <rFont val="Tahoma"/>
            <family val="2"/>
          </rPr>
          <t xml:space="preserve">
Note that some of theses costs are not naturally area dependent, e.g. JB and Cable.</t>
        </r>
      </text>
    </comment>
    <comment ref="E31" authorId="0" shapeId="0">
      <text>
        <r>
          <rPr>
            <b/>
            <sz val="9"/>
            <color indexed="81"/>
            <rFont val="Tahoma"/>
            <family val="2"/>
          </rPr>
          <t>Doug Powell:</t>
        </r>
        <r>
          <rPr>
            <sz val="9"/>
            <color indexed="81"/>
            <rFont val="Tahoma"/>
            <family val="2"/>
          </rPr>
          <t xml:space="preserve">
Modify with Capex Multiplier in Depreciation box in order to fully reflect change in DCF analysis.</t>
        </r>
      </text>
    </comment>
    <comment ref="C43" authorId="0" shapeId="0">
      <text>
        <r>
          <rPr>
            <b/>
            <sz val="9"/>
            <color indexed="81"/>
            <rFont val="Tahoma"/>
            <family val="2"/>
          </rPr>
          <t>Doug Powell:</t>
        </r>
        <r>
          <rPr>
            <sz val="9"/>
            <color indexed="81"/>
            <rFont val="Tahoma"/>
            <family val="2"/>
          </rPr>
          <t xml:space="preserve">
Based off GTM PV Bill of Materials Excerpt, in March 2011 PV news.
Adjusted down to 20% of original value from looking at 
J. Herron, "Looking under the hood: Equipment makers disclose cost analyses, showing room for improvement as module makers search for profits," PHOTON International, vol. 5, pp. 90-98, 2012
Then doubled.  Final answer aligns with J. Berwind, "PV manufacturing materials: Technological and process-related options for cost reduction," Photovoltaics International, vol. 1st Quarter, 2012.</t>
        </r>
      </text>
    </comment>
    <comment ref="C55" authorId="0" shapeId="0">
      <text>
        <r>
          <rPr>
            <b/>
            <sz val="9"/>
            <color indexed="81"/>
            <rFont val="Tahoma"/>
            <family val="2"/>
          </rPr>
          <t xml:space="preserve">Doug Powell:
</t>
        </r>
        <r>
          <rPr>
            <sz val="9"/>
            <color indexed="81"/>
            <rFont val="Tahoma"/>
            <family val="2"/>
          </rPr>
          <t>156 mm wafer</t>
        </r>
      </text>
    </comment>
    <comment ref="C56" authorId="0" shapeId="0">
      <text>
        <r>
          <rPr>
            <b/>
            <sz val="9"/>
            <color indexed="81"/>
            <rFont val="Tahoma"/>
            <family val="2"/>
          </rPr>
          <t>Doug Powell:</t>
        </r>
        <r>
          <rPr>
            <sz val="9"/>
            <color indexed="81"/>
            <rFont val="Tahoma"/>
            <family val="2"/>
          </rPr>
          <t xml:space="preserve">
89% for six inch square multi. 
http://www.gaccsouth.com/fileadmin/ahk_atlanta/Bilder_Houston/Bilder/Texas_Renewables/05_Centrotherm_Faller.ppt_ohne_extra_slides.pdf_web.pdf</t>
        </r>
      </text>
    </comment>
    <comment ref="B68" authorId="0" shapeId="0">
      <text>
        <r>
          <rPr>
            <b/>
            <sz val="9"/>
            <color indexed="81"/>
            <rFont val="Tahoma"/>
            <family val="2"/>
          </rPr>
          <t>Doug Powell:</t>
        </r>
        <r>
          <rPr>
            <sz val="9"/>
            <color indexed="81"/>
            <rFont val="Tahoma"/>
            <family val="2"/>
          </rPr>
          <t xml:space="preserve">
at 100% yield and uptime
</t>
        </r>
      </text>
    </comment>
    <comment ref="C68" authorId="0" shapeId="0">
      <text>
        <r>
          <rPr>
            <b/>
            <sz val="9"/>
            <color indexed="81"/>
            <rFont val="Tahoma"/>
            <family val="2"/>
          </rPr>
          <t>Doug Powell:</t>
        </r>
        <r>
          <rPr>
            <sz val="9"/>
            <color indexed="81"/>
            <rFont val="Tahoma"/>
            <family val="2"/>
          </rPr>
          <t xml:space="preserve">
A. Kreutzmann and M. Schmela, Photon International, 2008, 12, 84-92.
From stated throughput of 347 MW/yr with assumed uptime of 95% and net yield of 92%</t>
        </r>
      </text>
    </comment>
    <comment ref="C69" authorId="0" shapeId="0">
      <text>
        <r>
          <rPr>
            <b/>
            <sz val="9"/>
            <color indexed="81"/>
            <rFont val="Tahoma"/>
            <family val="2"/>
          </rPr>
          <t>Doug Powell:</t>
        </r>
        <r>
          <rPr>
            <sz val="9"/>
            <color indexed="81"/>
            <rFont val="Tahoma"/>
            <family val="2"/>
          </rPr>
          <t xml:space="preserve">
A. Kreutzmann and M. Schmela, Photon International, 2008, 12, 84-92.
217 W from 1.6 m^2
</t>
        </r>
      </text>
    </comment>
    <comment ref="B70" authorId="0" shapeId="0">
      <text>
        <r>
          <rPr>
            <b/>
            <sz val="9"/>
            <color indexed="81"/>
            <rFont val="Tahoma"/>
            <family val="2"/>
          </rPr>
          <t>Doug Powell:</t>
        </r>
        <r>
          <rPr>
            <sz val="9"/>
            <color indexed="81"/>
            <rFont val="Tahoma"/>
            <family val="2"/>
          </rPr>
          <t xml:space="preserve">
at 100% yield and uptime
</t>
        </r>
      </text>
    </comment>
    <comment ref="B73" authorId="0" shapeId="0">
      <text>
        <r>
          <rPr>
            <b/>
            <sz val="9"/>
            <color indexed="81"/>
            <rFont val="Tahoma"/>
            <family val="2"/>
          </rPr>
          <t>Doug Powell:</t>
        </r>
        <r>
          <rPr>
            <sz val="9"/>
            <color indexed="81"/>
            <rFont val="Tahoma"/>
            <family val="2"/>
          </rPr>
          <t xml:space="preserve">
With actual yield and uptime</t>
        </r>
      </text>
    </comment>
    <comment ref="C73" authorId="0" shapeId="0">
      <text>
        <r>
          <rPr>
            <b/>
            <sz val="9"/>
            <color indexed="81"/>
            <rFont val="Tahoma"/>
            <family val="2"/>
          </rPr>
          <t>Doug Powell:</t>
        </r>
        <r>
          <rPr>
            <sz val="9"/>
            <color indexed="81"/>
            <rFont val="Tahoma"/>
            <family val="2"/>
          </rPr>
          <t xml:space="preserve">
Assume infinite buffers between steps</t>
        </r>
      </text>
    </comment>
    <comment ref="C75"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6"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7" authorId="0" shapeId="0">
      <text>
        <r>
          <rPr>
            <b/>
            <sz val="9"/>
            <color indexed="81"/>
            <rFont val="Tahoma"/>
            <family val="2"/>
          </rPr>
          <t>Doug Powell:</t>
        </r>
        <r>
          <rPr>
            <sz val="9"/>
            <color indexed="81"/>
            <rFont val="Tahoma"/>
            <family val="2"/>
          </rPr>
          <t xml:space="preserve">
From personal communication. 
5 years from J. Herron, "Looking under the hood: Equipment makers disclose cost analyses, showing room for improvement as module makers search for profits", Photon International, vol. 5, pp. 90-98, 2012.</t>
        </r>
      </text>
    </comment>
    <comment ref="C78"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9"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82"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0.7 was applied as we received feedback of our estimates being too high for ingot casting. 
In S.K. Chunduri, “The bigger, the better: Market survey on crystal growth equipment,” PHOTON International, 6 , 2012, 158 – 179 the depreciation expense of crystallization is approximately 1.5 times the cost of the electricity for ingot and the crucible.
</t>
        </r>
      </text>
    </comment>
    <comment ref="C83"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t>
        </r>
      </text>
    </comment>
    <comment ref="C84"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t>
        </r>
      </text>
    </comment>
    <comment ref="C85"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
The result in 2012 was still much higher than expected by the evidence presented in the Intertech PV Webinar, "Competitive Manufacturing of Crystalline Silicon PV Modules in the US", given by Roger G. Little of Spire, and the data presented in J. Herron, "Looking under the hood: Equipment makers disclose cost analyses, showing room for improvement as module makers search for profits", Photon International, vol. 5, pp. 90-98, 2012.  Therefore, the value was further adjusted down with the multiplier determined for the standard mc-Si case.</t>
        </r>
      </text>
    </comment>
    <comment ref="C89"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89" authorId="0" shapeId="0">
      <text>
        <r>
          <rPr>
            <b/>
            <sz val="9"/>
            <color indexed="81"/>
            <rFont val="Tahoma"/>
            <family val="2"/>
          </rPr>
          <t>Doug Powell:</t>
        </r>
        <r>
          <rPr>
            <sz val="9"/>
            <color indexed="81"/>
            <rFont val="Tahoma"/>
            <family val="2"/>
          </rPr>
          <t xml:space="preserve">
For completing sensitivity analysis</t>
        </r>
      </text>
    </comment>
    <comment ref="C90"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91" authorId="0" shapeId="0">
      <text>
        <r>
          <rPr>
            <b/>
            <sz val="9"/>
            <color indexed="81"/>
            <rFont val="Tahoma"/>
            <family val="2"/>
          </rPr>
          <t>Doug Powell:</t>
        </r>
        <r>
          <rPr>
            <sz val="9"/>
            <color indexed="81"/>
            <rFont val="Tahoma"/>
            <family val="2"/>
          </rPr>
          <t xml:space="preserve">
For completing sensitivity analysis</t>
        </r>
      </text>
    </comment>
    <comment ref="C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D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E100"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D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E101"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D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E102"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D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E103"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7" authorId="0" shapeId="0">
      <text>
        <r>
          <rPr>
            <b/>
            <sz val="9"/>
            <color indexed="81"/>
            <rFont val="Tahoma"/>
            <family val="2"/>
          </rPr>
          <t>Doug Powell:</t>
        </r>
        <r>
          <rPr>
            <sz val="9"/>
            <color indexed="81"/>
            <rFont val="Tahoma"/>
            <family val="2"/>
          </rPr>
          <t xml:space="preserve">
1000 kg gen 6 from ITRPV PV Roadmap </t>
        </r>
      </text>
    </comment>
    <comment ref="C108" authorId="0" shapeId="0">
      <text>
        <r>
          <rPr>
            <b/>
            <sz val="9"/>
            <color indexed="81"/>
            <rFont val="Tahoma"/>
            <family val="2"/>
          </rPr>
          <t>Doug Powell:</t>
        </r>
        <r>
          <rPr>
            <sz val="9"/>
            <color indexed="81"/>
            <rFont val="Tahoma"/>
            <family val="2"/>
          </rPr>
          <t xml:space="preserve">
A. Kreutzmann and M. Schmela, Photon International, 2008, 12, 84-92, gen 5 crucible cost $1850, 
Alibaba cost in 5/2012 for only listed supplier for gen 4 = ~750 for gen 5 = ~850
http://www.alibaba.com/trade/search?SearchText=gen+crucible&amp;Country=&amp;IndexArea=product_en&amp;fsb=y
Assume 1.5 times cost for Alibaba supplier for more mainstream supplier estimate, i.e. Ceradyne, to create crucible cost vs. Ingot mass curve</t>
        </r>
      </text>
    </comment>
    <comment ref="C114" authorId="0" shapeId="0">
      <text>
        <r>
          <rPr>
            <b/>
            <sz val="9"/>
            <color indexed="81"/>
            <rFont val="Tahoma"/>
            <family val="2"/>
          </rPr>
          <t>Doug Powell:</t>
        </r>
        <r>
          <rPr>
            <sz val="9"/>
            <color indexed="81"/>
            <rFont val="Tahoma"/>
            <family val="2"/>
          </rPr>
          <t xml:space="preserve">
Based on estimated 2012 price of 76,800 RMB / tonne for Bekaert: M. Bakker, "Adjusting to new sawing wire reality - downgrade to HOLD," ABN AMRO Bank N.V., June 2011. and calculated price of 55,000 RMB / tonne from: Xingda International Holdings Limited, "Annual Report 2011," 2012.  while assuming a wire density of  about 11000 km/tonne and .1568 USD/RMB.
This is below two earlier estimates:
1.28 $/km for standard wire -Berwid, "PV Manufacturing materials: Technological and process-related options for cost reduction" PVI 2012, First Quarter
1.5 to 2.0 $/km for standard wire, $200 for diamond wire. S.K. Chunduri, "Diamond Wire - The Die has been cast", Photon international 5 (2011)</t>
        </r>
      </text>
    </comment>
    <comment ref="C115"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6"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9"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20" authorId="0" shapeId="0">
      <text>
        <r>
          <rPr>
            <b/>
            <sz val="9"/>
            <color indexed="81"/>
            <rFont val="Tahoma"/>
            <family val="2"/>
          </rPr>
          <t>Doug Powell:</t>
        </r>
        <r>
          <rPr>
            <sz val="9"/>
            <color indexed="81"/>
            <rFont val="Tahoma"/>
            <family val="2"/>
          </rPr>
          <t xml:space="preserve">
Not the same as total material yield because a significant amount is lost in squaring and bricking the ingot</t>
        </r>
      </text>
    </comment>
    <comment ref="C128" authorId="0" shapeId="0">
      <text>
        <r>
          <rPr>
            <b/>
            <sz val="9"/>
            <color indexed="81"/>
            <rFont val="Tahoma"/>
            <family val="2"/>
          </rPr>
          <t>Doug Powell:</t>
        </r>
        <r>
          <rPr>
            <sz val="9"/>
            <color indexed="81"/>
            <rFont val="Tahoma"/>
            <family val="2"/>
          </rPr>
          <t xml:space="preserve">
"Together with our customers, we race for grid parity" Ask the Experts with Bekaert Group in Power &amp; Energy Solutions
0.137 kg/wafer for 120 </t>
        </r>
        <r>
          <rPr>
            <sz val="9"/>
            <color indexed="81"/>
            <rFont val="Calibri"/>
            <family val="2"/>
          </rPr>
          <t>μ</t>
        </r>
        <r>
          <rPr>
            <sz val="9"/>
            <color indexed="81"/>
            <rFont val="Tahoma"/>
            <family val="2"/>
          </rPr>
          <t>m wire
.091 kg/wafer for 80 μm wire</t>
        </r>
      </text>
    </comment>
    <comment ref="C129" authorId="0" shapeId="0">
      <text>
        <r>
          <rPr>
            <b/>
            <sz val="9"/>
            <color indexed="81"/>
            <rFont val="Tahoma"/>
            <family val="2"/>
          </rPr>
          <t>Doug Powell:</t>
        </r>
        <r>
          <rPr>
            <sz val="9"/>
            <color indexed="81"/>
            <rFont val="Tahoma"/>
            <family val="2"/>
          </rPr>
          <t xml:space="preserve">
Slurry cost is roughly estimated from the proportion of slurry cost to wire cost 8/6 = 1.33 reported by Applied Materials, "Wafer Wire Sawing Economics and Total Cost of Ownership Optimization", 2011
The resulting per wafer cost is less than the 0.16 $/wafer reported by Berwid, "PV Manufacturing materials: Technological and process-related options for cost reduction" PVI 2012, First Quarter</t>
        </r>
      </text>
    </comment>
    <comment ref="C135" authorId="0" shapeId="0">
      <text>
        <r>
          <rPr>
            <b/>
            <sz val="9"/>
            <color indexed="81"/>
            <rFont val="Tahoma"/>
            <family val="2"/>
          </rPr>
          <t>Doug Powell:</t>
        </r>
        <r>
          <rPr>
            <sz val="9"/>
            <color indexed="81"/>
            <rFont val="Tahoma"/>
            <family val="2"/>
          </rPr>
          <t xml:space="preserve">
A. Kreutzmann and M. Schmela, Photon International, 2008, 12, 84-92.
217 W/1.6m^2 module</t>
        </r>
      </text>
    </comment>
    <comment ref="C136" authorId="0" shapeId="0">
      <text>
        <r>
          <rPr>
            <b/>
            <sz val="9"/>
            <color indexed="81"/>
            <rFont val="Tahoma"/>
            <family val="2"/>
          </rPr>
          <t>Doug Powell:</t>
        </r>
        <r>
          <rPr>
            <sz val="9"/>
            <color indexed="81"/>
            <rFont val="Tahoma"/>
            <family val="2"/>
          </rPr>
          <t xml:space="preserve">
A. Kreutzmann and M. Schmela, Photon International, 2008, 12, 84-92.</t>
        </r>
      </text>
    </comment>
    <comment ref="C137" authorId="0" shapeId="0">
      <text>
        <r>
          <rPr>
            <b/>
            <sz val="9"/>
            <color indexed="81"/>
            <rFont val="Tahoma"/>
            <family val="2"/>
          </rPr>
          <t>Doug Powell:</t>
        </r>
        <r>
          <rPr>
            <sz val="9"/>
            <color indexed="81"/>
            <rFont val="Tahoma"/>
            <family val="2"/>
          </rPr>
          <t xml:space="preserve">
A. Kreutzmann and M. Schmela, Photon International, 2008, 12, 84-92.
</t>
        </r>
      </text>
    </comment>
    <comment ref="C138" authorId="0" shapeId="0">
      <text>
        <r>
          <rPr>
            <b/>
            <sz val="9"/>
            <color indexed="81"/>
            <rFont val="Tahoma"/>
            <family val="2"/>
          </rPr>
          <t>Doug Powell:</t>
        </r>
        <r>
          <rPr>
            <sz val="9"/>
            <color indexed="81"/>
            <rFont val="Tahoma"/>
            <family val="2"/>
          </rPr>
          <t xml:space="preserve">
A. Kreutzmann and M. Schmela, Photon International, 2008, 12, 84-92.
</t>
        </r>
      </text>
    </comment>
    <comment ref="C139" authorId="0" shapeId="0">
      <text>
        <r>
          <rPr>
            <b/>
            <sz val="9"/>
            <color indexed="81"/>
            <rFont val="Tahoma"/>
            <family val="2"/>
          </rPr>
          <t>Doug Powell:</t>
        </r>
        <r>
          <rPr>
            <sz val="9"/>
            <color indexed="81"/>
            <rFont val="Tahoma"/>
            <family val="2"/>
          </rPr>
          <t xml:space="preserve">
A. Kreutzmann and M. Schmela, Photon International, 2008, 12, 84-92.
</t>
        </r>
      </text>
    </comment>
    <comment ref="B147" authorId="0" shapeId="0">
      <text>
        <r>
          <rPr>
            <b/>
            <sz val="9"/>
            <color indexed="81"/>
            <rFont val="Tahoma"/>
            <family val="2"/>
          </rPr>
          <t>Doug Powell:</t>
        </r>
        <r>
          <rPr>
            <sz val="9"/>
            <color indexed="81"/>
            <rFont val="Tahoma"/>
            <family val="2"/>
          </rPr>
          <t xml:space="preserve">
The impact of yield loss is calculated in each cost category</t>
        </r>
      </text>
    </comment>
    <comment ref="C148" authorId="0" shapeId="0">
      <text>
        <r>
          <rPr>
            <b/>
            <sz val="9"/>
            <color indexed="81"/>
            <rFont val="Tahoma"/>
            <family val="2"/>
          </rPr>
          <t>Doug Powell:</t>
        </r>
        <r>
          <rPr>
            <sz val="9"/>
            <color indexed="81"/>
            <rFont val="Tahoma"/>
            <family val="2"/>
          </rPr>
          <t xml:space="preserve">
Applied Materials Wafering Economics Whitepaper, minimum of 95% quality yield</t>
        </r>
      </text>
    </comment>
    <comment ref="C149"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0"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4" authorId="0" shapeId="0">
      <text>
        <r>
          <rPr>
            <b/>
            <sz val="9"/>
            <color indexed="81"/>
            <rFont val="Tahoma"/>
            <family val="2"/>
          </rPr>
          <t>Doug Powell:</t>
        </r>
        <r>
          <rPr>
            <sz val="9"/>
            <color indexed="81"/>
            <rFont val="Tahoma"/>
            <family val="2"/>
          </rPr>
          <t xml:space="preserve">
http://answers.yahoo.com/question/index?qid=20110405132256AALC8wK</t>
        </r>
      </text>
    </comment>
    <comment ref="C155" authorId="0" shapeId="0">
      <text>
        <r>
          <rPr>
            <b/>
            <sz val="9"/>
            <color indexed="81"/>
            <rFont val="Tahoma"/>
            <family val="2"/>
          </rPr>
          <t>Doug Powell:</t>
        </r>
        <r>
          <rPr>
            <sz val="9"/>
            <color indexed="81"/>
            <rFont val="Tahoma"/>
            <family val="2"/>
          </rPr>
          <t xml:space="preserve">
3 sheets per to also account for shrink wrap
</t>
        </r>
      </text>
    </comment>
    <comment ref="C161" authorId="0" shapeId="0">
      <text>
        <r>
          <rPr>
            <b/>
            <sz val="9"/>
            <color indexed="81"/>
            <rFont val="Tahoma"/>
            <family val="2"/>
          </rPr>
          <t>Doug Powell:</t>
        </r>
        <r>
          <rPr>
            <sz val="9"/>
            <color indexed="81"/>
            <rFont val="Tahoma"/>
            <family val="2"/>
          </rPr>
          <t xml:space="preserve">
Based on 75% of paste cost being silver in J. Herron, Photon International, 8, 2011, 100-105
So Ni/Cu material is 25% of silver paste.
Silver paste price from: J. Herron, "Looking under the hood: Equipment makers disclose cost analyses, showing room for improvement as module makers search for profits", Photon International, vol. 5, pp. 90-98, 2012</t>
        </r>
      </text>
    </comment>
    <comment ref="B162" authorId="0" shapeId="0">
      <text>
        <r>
          <rPr>
            <b/>
            <sz val="9"/>
            <color indexed="81"/>
            <rFont val="Tahoma"/>
            <family val="2"/>
          </rPr>
          <t>Doug Powell:</t>
        </r>
        <r>
          <rPr>
            <sz val="9"/>
            <color indexed="81"/>
            <rFont val="Tahoma"/>
            <family val="2"/>
          </rPr>
          <t xml:space="preserve">
Assumes same use as silver paste in 2012</t>
        </r>
      </text>
    </comment>
    <comment ref="C162" authorId="0" shapeId="0">
      <text>
        <r>
          <rPr>
            <b/>
            <sz val="9"/>
            <color indexed="81"/>
            <rFont val="Tahoma"/>
            <family val="2"/>
          </rPr>
          <t>Doug Powell:</t>
        </r>
        <r>
          <rPr>
            <sz val="9"/>
            <color indexed="81"/>
            <rFont val="Tahoma"/>
            <family val="2"/>
          </rPr>
          <t xml:space="preserve">
2012 target on 
Crystalline Silicon PV Technology and Manufacturing (CTM) Group, "International technology roadmap for photovoltaics: Results 2011," SEMI PV Group, 2012.</t>
        </r>
      </text>
    </comment>
    <comment ref="C16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65" authorId="0" shapeId="0">
      <text>
        <r>
          <rPr>
            <b/>
            <sz val="9"/>
            <color indexed="81"/>
            <rFont val="Tahoma"/>
            <family val="2"/>
          </rPr>
          <t>Doug Powell:</t>
        </r>
        <r>
          <rPr>
            <sz val="9"/>
            <color indexed="81"/>
            <rFont val="Tahoma"/>
            <family val="2"/>
          </rPr>
          <t xml:space="preserve">
http://www.targray.com/documents/Al_Paste_for_Solar_Cells.pdf,
In line with S. Kim et al., "Aluminum Pastes (Lead-Free/Low-Bow) for Thin Wafers", IEEE 31st Photovoltaic Specialists Conference and Exhibition, Jan. 3-7, Orlando, Florida, USA</t>
        </r>
      </text>
    </comment>
    <comment ref="C17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81" authorId="0" shapeId="0">
      <text>
        <r>
          <rPr>
            <b/>
            <sz val="9"/>
            <color indexed="81"/>
            <rFont val="Tahoma"/>
            <family val="2"/>
          </rPr>
          <t>Doug Powell:</t>
        </r>
        <r>
          <rPr>
            <sz val="9"/>
            <color indexed="81"/>
            <rFont val="Tahoma"/>
            <family val="2"/>
          </rPr>
          <t xml:space="preserve">
From browsing:
http://www.alibaba.com/trade/search?SearchText=solar+frame+price&amp;IndexArea=product_en&amp;fsb=y 
Agrees well with GTM PV Bill of Materials Excerpt, in March 2011 PV news, estimate for 2010:
Based on perimeter $15/1.6m^2 module assuming 1.6 x 1 module</t>
        </r>
      </text>
    </comment>
    <comment ref="D181" authorId="0" shapeId="0">
      <text>
        <r>
          <rPr>
            <b/>
            <sz val="9"/>
            <color indexed="81"/>
            <rFont val="Tahoma"/>
            <family val="2"/>
          </rPr>
          <t>Doug Powell:</t>
        </r>
        <r>
          <rPr>
            <sz val="9"/>
            <color indexed="81"/>
            <rFont val="Tahoma"/>
            <family val="2"/>
          </rPr>
          <t xml:space="preserve">
Scales with Perimeter, assumes 1m base.</t>
        </r>
      </text>
    </comment>
    <comment ref="C183" authorId="0" shapeId="0">
      <text>
        <r>
          <rPr>
            <b/>
            <sz val="9"/>
            <color indexed="81"/>
            <rFont val="Tahoma"/>
            <family val="2"/>
          </rPr>
          <t>Doug Powell:</t>
        </r>
        <r>
          <rPr>
            <sz val="9"/>
            <color indexed="81"/>
            <rFont val="Tahoma"/>
            <family val="2"/>
          </rPr>
          <t xml:space="preserve">
From browsing:
http://www.alibaba.com/trade/search?SearchText=solar+backsheet&amp;IndexArea=Products&amp;fsb=y on July 4th 2012 and July 30th 2012
A little lower than
GTM PV Bill of Materials Excerpt, in March 2011 PV news, estimate for 2010:
$11.5/1.6m^2 module
</t>
        </r>
      </text>
    </comment>
    <comment ref="C184" authorId="0" shapeId="0">
      <text>
        <r>
          <rPr>
            <b/>
            <sz val="9"/>
            <color indexed="81"/>
            <rFont val="Tahoma"/>
            <family val="2"/>
          </rPr>
          <t>Doug Powell:</t>
        </r>
        <r>
          <rPr>
            <sz val="9"/>
            <color indexed="81"/>
            <rFont val="Tahoma"/>
            <family val="2"/>
          </rPr>
          <t xml:space="preserve">
From browsing:
http://www.alibaba.com/trade/search?SearchText=solar+eva&amp;IndexArea=Products&amp;fsb=y 
on July 4th 2012
GTM PV Bill of Materials Excerpt, in March 2011 PV news, estimate for 2010:
$9/1.6m^2 module,
but 2 sheets so
$9/3.2m^2 of material</t>
        </r>
      </text>
    </comment>
    <comment ref="C185" authorId="0" shapeId="0">
      <text>
        <r>
          <rPr>
            <b/>
            <sz val="9"/>
            <color indexed="81"/>
            <rFont val="Tahoma"/>
            <family val="2"/>
          </rPr>
          <t>Doug Powell:</t>
        </r>
        <r>
          <rPr>
            <sz val="9"/>
            <color indexed="81"/>
            <rFont val="Tahoma"/>
            <family val="2"/>
          </rPr>
          <t xml:space="preserve">
From browsing:
http://www.alibaba.com/showroom/solar-glass-price.html 
on July 4th 2012 and July 30th 2012.
Is a bit lower than  GTM PV Bill of Materials Excerpt, in March 2011 PV news, estimate for 2010:
$17/1.6m^2 module</t>
        </r>
      </text>
    </comment>
    <comment ref="C186" authorId="0" shapeId="0">
      <text>
        <r>
          <rPr>
            <b/>
            <sz val="9"/>
            <color indexed="81"/>
            <rFont val="Tahoma"/>
            <family val="2"/>
          </rPr>
          <t>Doug Powell:</t>
        </r>
        <r>
          <rPr>
            <sz val="9"/>
            <color indexed="81"/>
            <rFont val="Tahoma"/>
            <family val="2"/>
          </rPr>
          <t xml:space="preserve">
Calculated from plots in GTM PV Bill of Materials Excerpt, in March 2011 PV news, estimate for 2010:
$7.5/1.6m^2 module</t>
        </r>
      </text>
    </comment>
    <comment ref="C188" authorId="0" shapeId="0">
      <text>
        <r>
          <rPr>
            <b/>
            <sz val="9"/>
            <color indexed="81"/>
            <rFont val="Tahoma"/>
            <family val="2"/>
          </rPr>
          <t>Doug Powell:</t>
        </r>
        <r>
          <rPr>
            <sz val="9"/>
            <color indexed="81"/>
            <rFont val="Tahoma"/>
            <family val="2"/>
          </rPr>
          <t xml:space="preserve">
From browsing:
http://www.alibaba.com/trade/search?SearchText=solar+junction+box+price&amp;IndexArea=product_en&amp;fsb=y
on July 4th 2012 and July 30th 2012</t>
        </r>
      </text>
    </comment>
    <comment ref="C191" authorId="0" shapeId="0">
      <text>
        <r>
          <rPr>
            <b/>
            <sz val="9"/>
            <color indexed="81"/>
            <rFont val="Tahoma"/>
            <family val="2"/>
          </rPr>
          <t>Doug Powell:</t>
        </r>
        <r>
          <rPr>
            <sz val="9"/>
            <color indexed="81"/>
            <rFont val="Tahoma"/>
            <family val="2"/>
          </rPr>
          <t xml:space="preserve">
40 ft HC container
http://am.suntech-power.com/images/stories/pdf/datasheets/july2011/stp280_24vd_ulh4%20connector.pdf</t>
        </r>
      </text>
    </comment>
    <comment ref="B197" authorId="0" shapeId="0">
      <text>
        <r>
          <rPr>
            <b/>
            <sz val="9"/>
            <color indexed="81"/>
            <rFont val="Tahoma"/>
            <family val="2"/>
          </rPr>
          <t>Doug Powell:</t>
        </r>
        <r>
          <rPr>
            <sz val="9"/>
            <color indexed="81"/>
            <rFont val="Tahoma"/>
            <family val="2"/>
          </rPr>
          <t xml:space="preserve">
Following methodology of
A. Goodrich, et al., "A wafer-based monocrystalline silicon photovoltaics road map: Utilizing known technical improvement opportunities for further reductions in manufacturing costs," Solar Energy Materials &amp; Solar Cells, submitted
with formulation from 
R.D. Boehme, (2012, May 22). "Chapter 7: Capital budgeting cash flows," [Online]. Available: www.rdboehme.com/MBA_CF/Chapter07_emba.ppt 
and
D.A. Volkman, (2012, Oct 25). "Project Cash Flow Analysis," [Online]. Available: http://cba.unomaha.edu/faculty/dvolkman/WEB/bsad8360/embacashflow.ppt</t>
        </r>
      </text>
    </comment>
    <comment ref="C198" authorId="0" shapeId="0">
      <text>
        <r>
          <rPr>
            <b/>
            <sz val="9"/>
            <color indexed="81"/>
            <rFont val="Tahoma"/>
            <family val="2"/>
          </rPr>
          <t>Doug Powell:</t>
        </r>
        <r>
          <rPr>
            <sz val="9"/>
            <color indexed="81"/>
            <rFont val="Tahoma"/>
            <family val="2"/>
          </rPr>
          <t xml:space="preserve">
This variable cancels in MSP and IRR calculations</t>
        </r>
      </text>
    </comment>
    <comment ref="C199" authorId="0" shapeId="0">
      <text>
        <r>
          <rPr>
            <b/>
            <sz val="9"/>
            <color indexed="81"/>
            <rFont val="Tahoma"/>
            <family val="2"/>
          </rPr>
          <t>Doug Powell:</t>
        </r>
        <r>
          <rPr>
            <sz val="9"/>
            <color indexed="81"/>
            <rFont val="Tahoma"/>
            <family val="2"/>
          </rPr>
          <t xml:space="preserve">
From CPI, 12 month non-seasonally adjusted, 2.2% for October 2012.</t>
        </r>
      </text>
    </comment>
    <comment ref="C200" authorId="0" shapeId="0">
      <text>
        <r>
          <rPr>
            <b/>
            <sz val="9"/>
            <color indexed="81"/>
            <rFont val="Tahoma"/>
            <family val="2"/>
          </rPr>
          <t>Doug Powell:</t>
        </r>
        <r>
          <rPr>
            <sz val="9"/>
            <color indexed="81"/>
            <rFont val="Tahoma"/>
            <family val="2"/>
          </rPr>
          <t xml:space="preserve">
From CPI, 12 month non-seasonally adjusted, 2.2% for October 2012.</t>
        </r>
      </text>
    </comment>
    <comment ref="C201" authorId="0" shapeId="0">
      <text>
        <r>
          <rPr>
            <b/>
            <sz val="9"/>
            <color indexed="81"/>
            <rFont val="Tahoma"/>
            <family val="2"/>
          </rPr>
          <t>Doug Powell:</t>
        </r>
        <r>
          <rPr>
            <sz val="9"/>
            <color indexed="81"/>
            <rFont val="Tahoma"/>
            <family val="2"/>
          </rPr>
          <t xml:space="preserve">
Assumed value</t>
        </r>
      </text>
    </comment>
    <comment ref="C202" authorId="0" shapeId="0">
      <text>
        <r>
          <rPr>
            <b/>
            <sz val="9"/>
            <color indexed="81"/>
            <rFont val="Tahoma"/>
            <family val="2"/>
          </rPr>
          <t>Doug Powell:</t>
        </r>
        <r>
          <rPr>
            <sz val="9"/>
            <color indexed="81"/>
            <rFont val="Tahoma"/>
            <family val="2"/>
          </rPr>
          <t xml:space="preserve">
P. Dittmer, "U.S. Corporations suffer high effective tax rates by international standards," Tax Foundation, 2011.
and
C.P. Stickney and R.L. Weil, Financial accounting: An introduction to concepts, methods, and uses: Thomson South-Western, pp. 488, 2007.</t>
        </r>
      </text>
    </comment>
    <comment ref="C203"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C204"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B212" authorId="0" shapeId="0">
      <text>
        <r>
          <rPr>
            <b/>
            <sz val="9"/>
            <color indexed="81"/>
            <rFont val="Tahoma"/>
            <family val="2"/>
          </rPr>
          <t>Doug Powell:</t>
        </r>
        <r>
          <rPr>
            <sz val="9"/>
            <color indexed="81"/>
            <rFont val="Tahoma"/>
            <family val="2"/>
          </rPr>
          <t xml:space="preserve">
Separate DCF to account for different depreciation periods</t>
        </r>
      </text>
    </comment>
    <comment ref="G216"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16"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16" authorId="0" shapeId="0">
      <text>
        <r>
          <rPr>
            <b/>
            <sz val="9"/>
            <color indexed="81"/>
            <rFont val="Tahoma"/>
            <family val="2"/>
          </rPr>
          <t>Doug Powell:</t>
        </r>
        <r>
          <rPr>
            <sz val="9"/>
            <color indexed="81"/>
            <rFont val="Tahoma"/>
            <family val="2"/>
          </rPr>
          <t xml:space="preserve">
Includes selling, G&amp;A, and R&amp;D</t>
        </r>
      </text>
    </comment>
    <comment ref="N216" authorId="0" shapeId="0">
      <text>
        <r>
          <rPr>
            <b/>
            <sz val="9"/>
            <color indexed="81"/>
            <rFont val="Tahoma"/>
            <family val="2"/>
          </rPr>
          <t>Doug Powell:</t>
        </r>
        <r>
          <rPr>
            <sz val="9"/>
            <color indexed="81"/>
            <rFont val="Tahoma"/>
            <family val="2"/>
          </rPr>
          <t xml:space="preserve">
To consider tax implications of the salvage operation.</t>
        </r>
      </text>
    </comment>
    <comment ref="O216" authorId="0" shapeId="0">
      <text>
        <r>
          <rPr>
            <b/>
            <sz val="9"/>
            <color indexed="81"/>
            <rFont val="Tahoma"/>
            <family val="2"/>
          </rPr>
          <t>Doug Powell:</t>
        </r>
        <r>
          <rPr>
            <sz val="9"/>
            <color indexed="81"/>
            <rFont val="Tahoma"/>
            <family val="2"/>
          </rPr>
          <t xml:space="preserve">
Net Operating Loss
</t>
        </r>
      </text>
    </comment>
    <comment ref="P216" authorId="0" shapeId="0">
      <text>
        <r>
          <rPr>
            <b/>
            <sz val="9"/>
            <color indexed="81"/>
            <rFont val="Tahoma"/>
            <family val="2"/>
          </rPr>
          <t>Doug Powell:</t>
        </r>
        <r>
          <rPr>
            <sz val="9"/>
            <color indexed="81"/>
            <rFont val="Tahoma"/>
            <family val="2"/>
          </rPr>
          <t xml:space="preserve">
At end of  year. Unlimited Carry Forward</t>
        </r>
      </text>
    </comment>
    <comment ref="R216" authorId="0" shapeId="0">
      <text>
        <r>
          <rPr>
            <b/>
            <sz val="9"/>
            <color indexed="81"/>
            <rFont val="Tahoma"/>
            <family val="2"/>
          </rPr>
          <t>Doug Powell:</t>
        </r>
        <r>
          <rPr>
            <sz val="9"/>
            <color indexed="81"/>
            <rFont val="Tahoma"/>
            <family val="2"/>
          </rPr>
          <t xml:space="preserve">
Uses effective tax rate in conjunction with NOL</t>
        </r>
      </text>
    </comment>
    <comment ref="S216"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16"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16"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16" authorId="0" shapeId="0">
      <text>
        <r>
          <rPr>
            <b/>
            <sz val="9"/>
            <color indexed="81"/>
            <rFont val="Tahoma"/>
            <family val="2"/>
          </rPr>
          <t>Doug Powell:</t>
        </r>
        <r>
          <rPr>
            <sz val="9"/>
            <color indexed="81"/>
            <rFont val="Tahoma"/>
            <family val="2"/>
          </rPr>
          <t xml:space="preserve">
For the tax basis of salvaging the facility</t>
        </r>
      </text>
    </comment>
    <comment ref="X239" authorId="0" shapeId="0">
      <text>
        <r>
          <rPr>
            <b/>
            <sz val="9"/>
            <color indexed="81"/>
            <rFont val="Tahoma"/>
            <family val="2"/>
          </rPr>
          <t>Doug Powell:</t>
        </r>
        <r>
          <rPr>
            <sz val="9"/>
            <color indexed="81"/>
            <rFont val="Tahoma"/>
            <family val="2"/>
          </rPr>
          <t xml:space="preserve">
IRR to compare to WACC</t>
        </r>
      </text>
    </comment>
    <comment ref="G245"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45"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45" authorId="0" shapeId="0">
      <text>
        <r>
          <rPr>
            <b/>
            <sz val="9"/>
            <color indexed="81"/>
            <rFont val="Tahoma"/>
            <family val="2"/>
          </rPr>
          <t>Doug Powell:</t>
        </r>
        <r>
          <rPr>
            <sz val="9"/>
            <color indexed="81"/>
            <rFont val="Tahoma"/>
            <family val="2"/>
          </rPr>
          <t xml:space="preserve">
Includes selling, G&amp;A, and R&amp;D</t>
        </r>
      </text>
    </comment>
    <comment ref="N245" authorId="0" shapeId="0">
      <text>
        <r>
          <rPr>
            <b/>
            <sz val="9"/>
            <color indexed="81"/>
            <rFont val="Tahoma"/>
            <family val="2"/>
          </rPr>
          <t>Doug Powell:</t>
        </r>
        <r>
          <rPr>
            <sz val="9"/>
            <color indexed="81"/>
            <rFont val="Tahoma"/>
            <family val="2"/>
          </rPr>
          <t xml:space="preserve">
To consider tax implications of the salvage operation.</t>
        </r>
      </text>
    </comment>
    <comment ref="O245" authorId="0" shapeId="0">
      <text>
        <r>
          <rPr>
            <b/>
            <sz val="9"/>
            <color indexed="81"/>
            <rFont val="Tahoma"/>
            <family val="2"/>
          </rPr>
          <t>Doug Powell:</t>
        </r>
        <r>
          <rPr>
            <sz val="9"/>
            <color indexed="81"/>
            <rFont val="Tahoma"/>
            <family val="2"/>
          </rPr>
          <t xml:space="preserve">
Net Operating Loss
</t>
        </r>
      </text>
    </comment>
    <comment ref="P245" authorId="0" shapeId="0">
      <text>
        <r>
          <rPr>
            <b/>
            <sz val="9"/>
            <color indexed="81"/>
            <rFont val="Tahoma"/>
            <family val="2"/>
          </rPr>
          <t>Doug Powell:</t>
        </r>
        <r>
          <rPr>
            <sz val="9"/>
            <color indexed="81"/>
            <rFont val="Tahoma"/>
            <family val="2"/>
          </rPr>
          <t xml:space="preserve">
At end of  year. Unlimited Carry Forward</t>
        </r>
      </text>
    </comment>
    <comment ref="R245" authorId="0" shapeId="0">
      <text>
        <r>
          <rPr>
            <b/>
            <sz val="9"/>
            <color indexed="81"/>
            <rFont val="Tahoma"/>
            <family val="2"/>
          </rPr>
          <t>Doug Powell:</t>
        </r>
        <r>
          <rPr>
            <sz val="9"/>
            <color indexed="81"/>
            <rFont val="Tahoma"/>
            <family val="2"/>
          </rPr>
          <t xml:space="preserve">
Uses effective tax rate in conjunction with NOL</t>
        </r>
      </text>
    </comment>
    <comment ref="S245"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45"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45"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45" authorId="0" shapeId="0">
      <text>
        <r>
          <rPr>
            <b/>
            <sz val="9"/>
            <color indexed="81"/>
            <rFont val="Tahoma"/>
            <family val="2"/>
          </rPr>
          <t>Doug Powell:</t>
        </r>
        <r>
          <rPr>
            <sz val="9"/>
            <color indexed="81"/>
            <rFont val="Tahoma"/>
            <family val="2"/>
          </rPr>
          <t xml:space="preserve">
For the tax basis of salvaging the facility</t>
        </r>
      </text>
    </comment>
    <comment ref="X268" authorId="0" shapeId="0">
      <text>
        <r>
          <rPr>
            <b/>
            <sz val="9"/>
            <color indexed="81"/>
            <rFont val="Tahoma"/>
            <family val="2"/>
          </rPr>
          <t>Doug Powell:</t>
        </r>
        <r>
          <rPr>
            <sz val="9"/>
            <color indexed="81"/>
            <rFont val="Tahoma"/>
            <family val="2"/>
          </rPr>
          <t xml:space="preserve">
IRR to compare to WACC</t>
        </r>
      </text>
    </comment>
    <comment ref="G274"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74"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74" authorId="0" shapeId="0">
      <text>
        <r>
          <rPr>
            <b/>
            <sz val="9"/>
            <color indexed="81"/>
            <rFont val="Tahoma"/>
            <family val="2"/>
          </rPr>
          <t>Doug Powell:</t>
        </r>
        <r>
          <rPr>
            <sz val="9"/>
            <color indexed="81"/>
            <rFont val="Tahoma"/>
            <family val="2"/>
          </rPr>
          <t xml:space="preserve">
Includes selling, G&amp;A, and R&amp;D</t>
        </r>
      </text>
    </comment>
    <comment ref="N274" authorId="0" shapeId="0">
      <text>
        <r>
          <rPr>
            <b/>
            <sz val="9"/>
            <color indexed="81"/>
            <rFont val="Tahoma"/>
            <family val="2"/>
          </rPr>
          <t>Doug Powell:</t>
        </r>
        <r>
          <rPr>
            <sz val="9"/>
            <color indexed="81"/>
            <rFont val="Tahoma"/>
            <family val="2"/>
          </rPr>
          <t xml:space="preserve">
To consider tax implications of the salvage operation.</t>
        </r>
      </text>
    </comment>
    <comment ref="O274" authorId="0" shapeId="0">
      <text>
        <r>
          <rPr>
            <b/>
            <sz val="9"/>
            <color indexed="81"/>
            <rFont val="Tahoma"/>
            <family val="2"/>
          </rPr>
          <t>Doug Powell:</t>
        </r>
        <r>
          <rPr>
            <sz val="9"/>
            <color indexed="81"/>
            <rFont val="Tahoma"/>
            <family val="2"/>
          </rPr>
          <t xml:space="preserve">
Net Operating Loss
</t>
        </r>
      </text>
    </comment>
    <comment ref="P274" authorId="0" shapeId="0">
      <text>
        <r>
          <rPr>
            <b/>
            <sz val="9"/>
            <color indexed="81"/>
            <rFont val="Tahoma"/>
            <family val="2"/>
          </rPr>
          <t>Doug Powell:</t>
        </r>
        <r>
          <rPr>
            <sz val="9"/>
            <color indexed="81"/>
            <rFont val="Tahoma"/>
            <family val="2"/>
          </rPr>
          <t xml:space="preserve">
At end of  year. Unlimited Carry Forward</t>
        </r>
      </text>
    </comment>
    <comment ref="R274" authorId="0" shapeId="0">
      <text>
        <r>
          <rPr>
            <b/>
            <sz val="9"/>
            <color indexed="81"/>
            <rFont val="Tahoma"/>
            <family val="2"/>
          </rPr>
          <t>Doug Powell:</t>
        </r>
        <r>
          <rPr>
            <sz val="9"/>
            <color indexed="81"/>
            <rFont val="Tahoma"/>
            <family val="2"/>
          </rPr>
          <t xml:space="preserve">
Uses effective tax rate in conjunction with NOL</t>
        </r>
      </text>
    </comment>
    <comment ref="S274"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74"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74"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74" authorId="0" shapeId="0">
      <text>
        <r>
          <rPr>
            <b/>
            <sz val="9"/>
            <color indexed="81"/>
            <rFont val="Tahoma"/>
            <family val="2"/>
          </rPr>
          <t>Doug Powell:</t>
        </r>
        <r>
          <rPr>
            <sz val="9"/>
            <color indexed="81"/>
            <rFont val="Tahoma"/>
            <family val="2"/>
          </rPr>
          <t xml:space="preserve">
For the tax basis of salvaging the facility</t>
        </r>
      </text>
    </comment>
    <comment ref="X297" authorId="0" shapeId="0">
      <text>
        <r>
          <rPr>
            <b/>
            <sz val="9"/>
            <color indexed="81"/>
            <rFont val="Tahoma"/>
            <family val="2"/>
          </rPr>
          <t>Doug Powell:</t>
        </r>
        <r>
          <rPr>
            <sz val="9"/>
            <color indexed="81"/>
            <rFont val="Tahoma"/>
            <family val="2"/>
          </rPr>
          <t xml:space="preserve">
IRR to compare to WACC</t>
        </r>
      </text>
    </comment>
    <comment ref="G303"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303"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303" authorId="0" shapeId="0">
      <text>
        <r>
          <rPr>
            <b/>
            <sz val="9"/>
            <color indexed="81"/>
            <rFont val="Tahoma"/>
            <family val="2"/>
          </rPr>
          <t>Doug Powell:</t>
        </r>
        <r>
          <rPr>
            <sz val="9"/>
            <color indexed="81"/>
            <rFont val="Tahoma"/>
            <family val="2"/>
          </rPr>
          <t xml:space="preserve">
Includes selling, G&amp;A, and R&amp;D</t>
        </r>
      </text>
    </comment>
    <comment ref="N303" authorId="0" shapeId="0">
      <text>
        <r>
          <rPr>
            <b/>
            <sz val="9"/>
            <color indexed="81"/>
            <rFont val="Tahoma"/>
            <family val="2"/>
          </rPr>
          <t>Doug Powell:</t>
        </r>
        <r>
          <rPr>
            <sz val="9"/>
            <color indexed="81"/>
            <rFont val="Tahoma"/>
            <family val="2"/>
          </rPr>
          <t xml:space="preserve">
To consider tax implications of the salvage operation.</t>
        </r>
      </text>
    </comment>
    <comment ref="O303" authorId="0" shapeId="0">
      <text>
        <r>
          <rPr>
            <b/>
            <sz val="9"/>
            <color indexed="81"/>
            <rFont val="Tahoma"/>
            <family val="2"/>
          </rPr>
          <t>Doug Powell:</t>
        </r>
        <r>
          <rPr>
            <sz val="9"/>
            <color indexed="81"/>
            <rFont val="Tahoma"/>
            <family val="2"/>
          </rPr>
          <t xml:space="preserve">
Net Operating Loss
</t>
        </r>
      </text>
    </comment>
    <comment ref="P303" authorId="0" shapeId="0">
      <text>
        <r>
          <rPr>
            <b/>
            <sz val="9"/>
            <color indexed="81"/>
            <rFont val="Tahoma"/>
            <family val="2"/>
          </rPr>
          <t>Doug Powell:</t>
        </r>
        <r>
          <rPr>
            <sz val="9"/>
            <color indexed="81"/>
            <rFont val="Tahoma"/>
            <family val="2"/>
          </rPr>
          <t xml:space="preserve">
At end of  year. Unlimited Carry Forward</t>
        </r>
      </text>
    </comment>
    <comment ref="R303" authorId="0" shapeId="0">
      <text>
        <r>
          <rPr>
            <b/>
            <sz val="9"/>
            <color indexed="81"/>
            <rFont val="Tahoma"/>
            <family val="2"/>
          </rPr>
          <t>Doug Powell:</t>
        </r>
        <r>
          <rPr>
            <sz val="9"/>
            <color indexed="81"/>
            <rFont val="Tahoma"/>
            <family val="2"/>
          </rPr>
          <t xml:space="preserve">
Uses effective tax rate in conjunction with NOL</t>
        </r>
      </text>
    </comment>
    <comment ref="S303"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303"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303"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303" authorId="0" shapeId="0">
      <text>
        <r>
          <rPr>
            <b/>
            <sz val="9"/>
            <color indexed="81"/>
            <rFont val="Tahoma"/>
            <family val="2"/>
          </rPr>
          <t>Doug Powell:</t>
        </r>
        <r>
          <rPr>
            <sz val="9"/>
            <color indexed="81"/>
            <rFont val="Tahoma"/>
            <family val="2"/>
          </rPr>
          <t xml:space="preserve">
For the tax basis of salvaging the facility</t>
        </r>
      </text>
    </comment>
    <comment ref="X326" authorId="0" shapeId="0">
      <text>
        <r>
          <rPr>
            <b/>
            <sz val="9"/>
            <color indexed="81"/>
            <rFont val="Tahoma"/>
            <family val="2"/>
          </rPr>
          <t>Doug Powell:</t>
        </r>
        <r>
          <rPr>
            <sz val="9"/>
            <color indexed="81"/>
            <rFont val="Tahoma"/>
            <family val="2"/>
          </rPr>
          <t xml:space="preserve">
IRR to compare to WACC</t>
        </r>
      </text>
    </comment>
    <comment ref="C330" authorId="0" shapeId="0">
      <text>
        <r>
          <rPr>
            <b/>
            <sz val="9"/>
            <color indexed="81"/>
            <rFont val="Tahoma"/>
            <family val="2"/>
          </rPr>
          <t>Doug Powell:</t>
        </r>
        <r>
          <rPr>
            <sz val="9"/>
            <color indexed="81"/>
            <rFont val="Tahoma"/>
            <family val="2"/>
          </rPr>
          <t xml:space="preserve">
Assumed for income statement, with input from A. Goodrich's work</t>
        </r>
      </text>
    </comment>
    <comment ref="C331" authorId="0" shapeId="0">
      <text>
        <r>
          <rPr>
            <b/>
            <sz val="9"/>
            <color indexed="81"/>
            <rFont val="Tahoma"/>
            <family val="2"/>
          </rPr>
          <t>Doug Powell:</t>
        </r>
        <r>
          <rPr>
            <sz val="9"/>
            <color indexed="81"/>
            <rFont val="Tahoma"/>
            <family val="2"/>
          </rPr>
          <t xml:space="preserve">
Assumed for income statement</t>
        </r>
      </text>
    </comment>
    <comment ref="C332" authorId="0" shapeId="0">
      <text>
        <r>
          <rPr>
            <b/>
            <sz val="9"/>
            <color indexed="81"/>
            <rFont val="Tahoma"/>
            <family val="2"/>
          </rPr>
          <t>Doug Powell:</t>
        </r>
        <r>
          <rPr>
            <sz val="9"/>
            <color indexed="81"/>
            <rFont val="Tahoma"/>
            <family val="2"/>
          </rPr>
          <t xml:space="preserve">
Assumed for income statement</t>
        </r>
      </text>
    </comment>
    <comment ref="F355" authorId="0" shapeId="0">
      <text>
        <r>
          <rPr>
            <b/>
            <sz val="9"/>
            <color indexed="81"/>
            <rFont val="Tahoma"/>
            <family val="2"/>
          </rPr>
          <t>Doug Powell:</t>
        </r>
        <r>
          <rPr>
            <sz val="9"/>
            <color indexed="81"/>
            <rFont val="Tahoma"/>
            <family val="2"/>
          </rPr>
          <t xml:space="preserve">
Assuming Operating expenses are fixed</t>
        </r>
      </text>
    </comment>
    <comment ref="I355" authorId="0" shapeId="0">
      <text>
        <r>
          <rPr>
            <b/>
            <sz val="9"/>
            <color indexed="81"/>
            <rFont val="Tahoma"/>
            <family val="2"/>
          </rPr>
          <t>Doug Powell:</t>
        </r>
        <r>
          <rPr>
            <sz val="9"/>
            <color indexed="81"/>
            <rFont val="Tahoma"/>
            <family val="2"/>
          </rPr>
          <t xml:space="preserve">
Assuming Operating expenses are fixed</t>
        </r>
      </text>
    </comment>
    <comment ref="C378"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 ref="C379"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List>
</comments>
</file>

<file path=xl/comments6.xml><?xml version="1.0" encoding="utf-8"?>
<comments xmlns="http://schemas.openxmlformats.org/spreadsheetml/2006/main">
  <authors>
    <author>Doug Powell</author>
  </authors>
  <commentList>
    <comment ref="C8" authorId="0" shapeId="0">
      <text>
        <r>
          <rPr>
            <b/>
            <sz val="9"/>
            <color indexed="81"/>
            <rFont val="Tahoma"/>
            <family val="2"/>
          </rPr>
          <t>Doug Powell:</t>
        </r>
        <r>
          <rPr>
            <sz val="9"/>
            <color indexed="81"/>
            <rFont val="Tahoma"/>
            <family val="2"/>
          </rPr>
          <t xml:space="preserve">
ITRPV Roadmap 20% cells from pseudo-mono, and improved AR glass and encapsulation technologies to improve module knockdown by 98.5/96 = 2.5 % to .88*1.025=.9. 20*.9 app. 18%
Module Knockdown Factors (module vs lab cell efficiency)
0.84 Sunpower from 24 to 20.2
.88 for Sayno Hit Cell
.88 Suntech Pluto average cell (17) to Pluto module (14.8)</t>
        </r>
      </text>
    </comment>
    <comment ref="C10" authorId="0" shapeId="0">
      <text>
        <r>
          <rPr>
            <b/>
            <sz val="9"/>
            <color indexed="81"/>
            <rFont val="Tahoma"/>
            <family val="2"/>
          </rPr>
          <t xml:space="preserve">Doug Powell:
</t>
        </r>
        <r>
          <rPr>
            <sz val="9"/>
            <color indexed="81"/>
            <rFont val="Tahoma"/>
            <family val="2"/>
          </rPr>
          <t>Assume some waste in kerfless process.</t>
        </r>
      </text>
    </comment>
    <comment ref="C12" authorId="0" shapeId="0">
      <text>
        <r>
          <rPr>
            <b/>
            <sz val="9"/>
            <color indexed="81"/>
            <rFont val="Tahoma"/>
            <family val="2"/>
          </rPr>
          <t xml:space="preserve">Doug Powell:
</t>
        </r>
        <r>
          <rPr>
            <sz val="9"/>
            <color indexed="81"/>
            <rFont val="Tahoma"/>
            <family val="2"/>
          </rPr>
          <t xml:space="preserve">Approximate average of median wage for job code 51-2022, "Electrical and Electronic Equipment Assemblers" and 51-9141 "Semiconductor Processors" in the U.S. Department of Labor Bureau of Labor Statistics, May 2011 National Industry-Specific Occupational Employment and Wage Estimates: NAICS 334400 - Semiconductor and Other Electronic Component Manufacturing, 2011.
</t>
        </r>
      </text>
    </comment>
    <comment ref="C13" authorId="0" shapeId="0">
      <text>
        <r>
          <rPr>
            <b/>
            <sz val="9"/>
            <color indexed="81"/>
            <rFont val="Tahoma"/>
            <family val="2"/>
          </rPr>
          <t xml:space="preserve">Doug Powell:
</t>
        </r>
        <r>
          <rPr>
            <sz val="9"/>
            <color indexed="81"/>
            <rFont val="Tahoma"/>
            <family val="2"/>
          </rPr>
          <t xml:space="preserve">Approximate average of median wage for job code 51-4012 "Computer Numerically Controlled Machine Tool Programmers, Metal and Plastic" in the U.S. Department of Labor Bureau of Labor Statistics, May 2011 National Industry-Specific Occupational Employment and Wage Estimates: NAICS 334400 - Semiconductor and Other Electronic Component Manufacturing, 2011.
</t>
        </r>
      </text>
    </comment>
    <comment ref="C14" authorId="0" shapeId="0">
      <text>
        <r>
          <rPr>
            <b/>
            <sz val="9"/>
            <color indexed="81"/>
            <rFont val="Tahoma"/>
            <family val="2"/>
          </rPr>
          <t xml:space="preserve">Doug Powell:
</t>
        </r>
        <r>
          <rPr>
            <sz val="9"/>
            <color indexed="81"/>
            <rFont val="Tahoma"/>
            <family val="2"/>
          </rPr>
          <t xml:space="preserve">Approximate average of median wage for job code 51-1011 "First-Line Supervisors of Production and Operating Workers" in the U.S. Department of Labor Bureau of Labor Statistics, May 2011 National Industry-Specific Occupational Employment and Wage Estimates: NAICS 334400 - Semiconductor and Other Electronic Component Manufacturing, 2011.
</t>
        </r>
      </text>
    </comment>
    <comment ref="C15" authorId="0" shapeId="0">
      <text>
        <r>
          <rPr>
            <b/>
            <sz val="9"/>
            <color indexed="81"/>
            <rFont val="Tahoma"/>
            <family val="2"/>
          </rPr>
          <t xml:space="preserve">Doug Powell:
</t>
        </r>
        <r>
          <rPr>
            <sz val="9"/>
            <color indexed="81"/>
            <rFont val="Tahoma"/>
            <family val="2"/>
          </rPr>
          <t xml:space="preserve">Base pay times 1.325 for US
http://web.mit.edu/e-club/hadzima/how-much-does-an-employee-cost.html
</t>
        </r>
      </text>
    </comment>
    <comment ref="C16" authorId="0" shapeId="0">
      <text>
        <r>
          <rPr>
            <b/>
            <sz val="9"/>
            <color indexed="81"/>
            <rFont val="Tahoma"/>
            <family val="2"/>
          </rPr>
          <t>Doug Powell:</t>
        </r>
        <r>
          <rPr>
            <sz val="9"/>
            <color indexed="81"/>
            <rFont val="Tahoma"/>
            <family val="2"/>
          </rPr>
          <t xml:space="preserve">
2011 Industrial Average from 
U.S. EIA, Electric Power Monthly February 2012 (data to December) 
Table 5.6.B</t>
        </r>
      </text>
    </comment>
    <comment ref="C18" authorId="0" shapeId="0">
      <text>
        <r>
          <rPr>
            <b/>
            <sz val="9"/>
            <color indexed="81"/>
            <rFont val="Tahoma"/>
            <family val="2"/>
          </rPr>
          <t>Doug Powell:</t>
        </r>
        <r>
          <rPr>
            <sz val="9"/>
            <color indexed="81"/>
            <rFont val="Tahoma"/>
            <family val="2"/>
          </rPr>
          <t xml:space="preserve">
ITRPV Roadmap</t>
        </r>
      </text>
    </comment>
    <comment ref="C25" authorId="0" shapeId="0">
      <text>
        <r>
          <rPr>
            <b/>
            <sz val="9"/>
            <color indexed="81"/>
            <rFont val="Tahoma"/>
            <family val="2"/>
          </rPr>
          <t>Doug Powell:</t>
        </r>
        <r>
          <rPr>
            <sz val="9"/>
            <color indexed="81"/>
            <rFont val="Tahoma"/>
            <family val="2"/>
          </rPr>
          <t xml:space="preserve">
Includes Breakage</t>
        </r>
      </text>
    </comment>
    <comment ref="L28" authorId="0" shapeId="0">
      <text>
        <r>
          <rPr>
            <b/>
            <sz val="9"/>
            <color indexed="81"/>
            <rFont val="Tahoma"/>
            <family val="2"/>
          </rPr>
          <t>Doug Powell:</t>
        </r>
        <r>
          <rPr>
            <sz val="9"/>
            <color indexed="81"/>
            <rFont val="Tahoma"/>
            <family val="2"/>
          </rPr>
          <t xml:space="preserve">
Pre-multiplier</t>
        </r>
      </text>
    </comment>
    <comment ref="D29" authorId="0" shapeId="0">
      <text>
        <r>
          <rPr>
            <b/>
            <sz val="9"/>
            <color indexed="81"/>
            <rFont val="Tahoma"/>
            <family val="2"/>
          </rPr>
          <t>Doug Powell:</t>
        </r>
        <r>
          <rPr>
            <sz val="9"/>
            <color indexed="81"/>
            <rFont val="Tahoma"/>
            <family val="2"/>
          </rPr>
          <t xml:space="preserve">
Pre-multiplier</t>
        </r>
      </text>
    </comment>
    <comment ref="F29" authorId="0" shapeId="0">
      <text>
        <r>
          <rPr>
            <b/>
            <sz val="9"/>
            <color indexed="81"/>
            <rFont val="Tahoma"/>
            <family val="2"/>
          </rPr>
          <t>Doug Powell:</t>
        </r>
        <r>
          <rPr>
            <sz val="9"/>
            <color indexed="81"/>
            <rFont val="Tahoma"/>
            <family val="2"/>
          </rPr>
          <t xml:space="preserve">
Note that some of theses costs are not naturally area dependent, e.g. JB and Cable.</t>
        </r>
      </text>
    </comment>
    <comment ref="E31" authorId="0" shapeId="0">
      <text>
        <r>
          <rPr>
            <b/>
            <sz val="9"/>
            <color indexed="81"/>
            <rFont val="Tahoma"/>
            <family val="2"/>
          </rPr>
          <t>Doug Powell:</t>
        </r>
        <r>
          <rPr>
            <sz val="9"/>
            <color indexed="81"/>
            <rFont val="Tahoma"/>
            <family val="2"/>
          </rPr>
          <t xml:space="preserve">
Modify with Capex Multiplier in Depreciation box in order to fully reflect change in DCF analysis.</t>
        </r>
      </text>
    </comment>
    <comment ref="C43" authorId="0" shapeId="0">
      <text>
        <r>
          <rPr>
            <b/>
            <sz val="9"/>
            <color indexed="81"/>
            <rFont val="Tahoma"/>
            <family val="2"/>
          </rPr>
          <t>Doug Powell:</t>
        </r>
        <r>
          <rPr>
            <sz val="9"/>
            <color indexed="81"/>
            <rFont val="Tahoma"/>
            <family val="2"/>
          </rPr>
          <t xml:space="preserve">
Based off GTM PV Bill of Materials Excerpt, in March 2011 PV news.
Adjusted down to 20% of original value from looking at 
J. Herron, "Looking under the hood: Equipment makers disclose cost analyses, showing room for improvement as module makers search for profits," PHOTON International, vol. 5, pp. 90-98, 2012
Then doubled.  Final answer aligns with J. Berwind, "PV manufacturing materials: Technological and process-related options for cost reduction," Photovoltaics International, vol. 1st Quarter, 2012.</t>
        </r>
      </text>
    </comment>
    <comment ref="C55" authorId="0" shapeId="0">
      <text>
        <r>
          <rPr>
            <b/>
            <sz val="9"/>
            <color indexed="81"/>
            <rFont val="Tahoma"/>
            <family val="2"/>
          </rPr>
          <t xml:space="preserve">Doug Powell:
</t>
        </r>
        <r>
          <rPr>
            <sz val="9"/>
            <color indexed="81"/>
            <rFont val="Tahoma"/>
            <family val="2"/>
          </rPr>
          <t>156 mm wafer</t>
        </r>
      </text>
    </comment>
    <comment ref="C56" authorId="0" shapeId="0">
      <text>
        <r>
          <rPr>
            <b/>
            <sz val="9"/>
            <color indexed="81"/>
            <rFont val="Tahoma"/>
            <family val="2"/>
          </rPr>
          <t>Doug Powell:</t>
        </r>
        <r>
          <rPr>
            <sz val="9"/>
            <color indexed="81"/>
            <rFont val="Tahoma"/>
            <family val="2"/>
          </rPr>
          <t xml:space="preserve">
89% for six inch square multi. 
http://www.gaccsouth.com/fileadmin/ahk_atlanta/Bilder_Houston/Bilder/Texas_Renewables/05_Centrotherm_Faller.ppt_ohne_extra_slides.pdf_web.pdf</t>
        </r>
      </text>
    </comment>
    <comment ref="B68" authorId="0" shapeId="0">
      <text>
        <r>
          <rPr>
            <b/>
            <sz val="9"/>
            <color indexed="81"/>
            <rFont val="Tahoma"/>
            <family val="2"/>
          </rPr>
          <t>Doug Powell:</t>
        </r>
        <r>
          <rPr>
            <sz val="9"/>
            <color indexed="81"/>
            <rFont val="Tahoma"/>
            <family val="2"/>
          </rPr>
          <t xml:space="preserve">
at 100% yield and uptime
</t>
        </r>
      </text>
    </comment>
    <comment ref="C68" authorId="0" shapeId="0">
      <text>
        <r>
          <rPr>
            <b/>
            <sz val="9"/>
            <color indexed="81"/>
            <rFont val="Tahoma"/>
            <family val="2"/>
          </rPr>
          <t>Doug Powell:</t>
        </r>
        <r>
          <rPr>
            <sz val="9"/>
            <color indexed="81"/>
            <rFont val="Tahoma"/>
            <family val="2"/>
          </rPr>
          <t xml:space="preserve">
A. Kreutzmann and M. Schmela, Photon International, 2008, 12, 84-92.
From stated throughput of 347 MW/yr with assumed uptime of 95% and net yield of 92%</t>
        </r>
      </text>
    </comment>
    <comment ref="C69" authorId="0" shapeId="0">
      <text>
        <r>
          <rPr>
            <b/>
            <sz val="9"/>
            <color indexed="81"/>
            <rFont val="Tahoma"/>
            <family val="2"/>
          </rPr>
          <t>Doug Powell:</t>
        </r>
        <r>
          <rPr>
            <sz val="9"/>
            <color indexed="81"/>
            <rFont val="Tahoma"/>
            <family val="2"/>
          </rPr>
          <t xml:space="preserve">
A. Kreutzmann and M. Schmela, Photon International, 2008, 12, 84-92.
217 W from 1.6 m^2
</t>
        </r>
      </text>
    </comment>
    <comment ref="B70" authorId="0" shapeId="0">
      <text>
        <r>
          <rPr>
            <b/>
            <sz val="9"/>
            <color indexed="81"/>
            <rFont val="Tahoma"/>
            <family val="2"/>
          </rPr>
          <t>Doug Powell:</t>
        </r>
        <r>
          <rPr>
            <sz val="9"/>
            <color indexed="81"/>
            <rFont val="Tahoma"/>
            <family val="2"/>
          </rPr>
          <t xml:space="preserve">
at 100% yield and uptime
</t>
        </r>
      </text>
    </comment>
    <comment ref="B73" authorId="0" shapeId="0">
      <text>
        <r>
          <rPr>
            <b/>
            <sz val="9"/>
            <color indexed="81"/>
            <rFont val="Tahoma"/>
            <family val="2"/>
          </rPr>
          <t>Doug Powell:</t>
        </r>
        <r>
          <rPr>
            <sz val="9"/>
            <color indexed="81"/>
            <rFont val="Tahoma"/>
            <family val="2"/>
          </rPr>
          <t xml:space="preserve">
With actual yield and uptime</t>
        </r>
      </text>
    </comment>
    <comment ref="C73" authorId="0" shapeId="0">
      <text>
        <r>
          <rPr>
            <b/>
            <sz val="9"/>
            <color indexed="81"/>
            <rFont val="Tahoma"/>
            <family val="2"/>
          </rPr>
          <t>Doug Powell:</t>
        </r>
        <r>
          <rPr>
            <sz val="9"/>
            <color indexed="81"/>
            <rFont val="Tahoma"/>
            <family val="2"/>
          </rPr>
          <t xml:space="preserve">
Assume infinite buffers between steps</t>
        </r>
      </text>
    </comment>
    <comment ref="C75"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6"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7" authorId="0" shapeId="0">
      <text>
        <r>
          <rPr>
            <b/>
            <sz val="9"/>
            <color indexed="81"/>
            <rFont val="Tahoma"/>
            <family val="2"/>
          </rPr>
          <t>Doug Powell:</t>
        </r>
        <r>
          <rPr>
            <sz val="9"/>
            <color indexed="81"/>
            <rFont val="Tahoma"/>
            <family val="2"/>
          </rPr>
          <t xml:space="preserve">
From personal communication. 
5 years from J. Herron, "Looking under the hood: Equipment makers disclose cost analyses, showing room for improvement as module makers search for profits", Photon International, vol. 5, pp. 90-98, 2012.</t>
        </r>
      </text>
    </comment>
    <comment ref="C78"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79"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t>
        </r>
      </text>
    </comment>
    <comment ref="C82"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0.7 was applied as we received feedback of our estimates being too high for ingot casting. 
In S.K. Chunduri, “The bigger, the better: Market survey on crystal growth equipment,” PHOTON International, 6 , 2012, 158 – 179 the depreciation expense of crystallization is approximately 1.5 times the cost of the electricity for ingot and the crucible.
</t>
        </r>
      </text>
    </comment>
    <comment ref="C83"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t>
        </r>
      </text>
    </comment>
    <comment ref="C84"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t>
        </r>
      </text>
    </comment>
    <comment ref="C85" authorId="0" shapeId="0">
      <text>
        <r>
          <rPr>
            <b/>
            <sz val="9"/>
            <color indexed="81"/>
            <rFont val="Tahoma"/>
            <family val="2"/>
          </rPr>
          <t>Doug Powell:</t>
        </r>
        <r>
          <rPr>
            <sz val="9"/>
            <color indexed="81"/>
            <rFont val="Tahoma"/>
            <family val="2"/>
          </rPr>
          <t xml:space="preserve">
A. Kreutzmann and M. Schmela, Photon International, 2008, 12, 84-92.
Adjusted down with Investment per Wp chart of the ITRPV roadmap from 2009 (backwards extrapolated) to 2020 assuming constant dollars = 0.51, but to decouple the effect of efficiency, the weighted average efficiency in the roadmap was calculated (2009 was again backwards extrapolated).  When the effects of efficiency were canceled, the resulting savings form 2009 to 2012 are 0.66. Additionally a factor of 0.9 was applied.
The result in 2012 was still much higher than expected by the evidence presented in the Intertech PV Webinar, "Competitive Manufacturing of Crystalline Silicon PV Modules in the US", given by Roger G. Little of Spire, and the data presented in J. Herron, "Looking under the hood: Equipment makers disclose cost analyses, showing room for improvement as module makers search for profits", Photon International, vol. 5, pp. 90-98, 2012.  Therefore, the value was further adjusted down with the multiplier determined for the standard mc-Si case.</t>
        </r>
      </text>
    </comment>
    <comment ref="C89"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89" authorId="0" shapeId="0">
      <text>
        <r>
          <rPr>
            <b/>
            <sz val="9"/>
            <color indexed="81"/>
            <rFont val="Tahoma"/>
            <family val="2"/>
          </rPr>
          <t>Doug Powell:</t>
        </r>
        <r>
          <rPr>
            <sz val="9"/>
            <color indexed="81"/>
            <rFont val="Tahoma"/>
            <family val="2"/>
          </rPr>
          <t xml:space="preserve">
For completing sensitivity analysis</t>
        </r>
      </text>
    </comment>
    <comment ref="C90" authorId="0" shapeId="0">
      <text>
        <r>
          <rPr>
            <b/>
            <sz val="9"/>
            <color indexed="81"/>
            <rFont val="Tahoma"/>
            <family val="2"/>
          </rPr>
          <t>Doug Powell:</t>
        </r>
        <r>
          <rPr>
            <sz val="9"/>
            <color indexed="81"/>
            <rFont val="Tahoma"/>
            <family val="2"/>
          </rPr>
          <t xml:space="preserve">
A. Kreutzmann and M. Schmela, Photon International, 2008, 12, 84-92.
Matches other rule of thumb maintenance cost estimates
</t>
        </r>
      </text>
    </comment>
    <comment ref="F91" authorId="0" shapeId="0">
      <text>
        <r>
          <rPr>
            <b/>
            <sz val="9"/>
            <color indexed="81"/>
            <rFont val="Tahoma"/>
            <family val="2"/>
          </rPr>
          <t>Doug Powell:</t>
        </r>
        <r>
          <rPr>
            <sz val="9"/>
            <color indexed="81"/>
            <rFont val="Tahoma"/>
            <family val="2"/>
          </rPr>
          <t xml:space="preserve">
For completing sensitivity analysis</t>
        </r>
      </text>
    </comment>
    <comment ref="C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D100"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1/1.35 because of throughput increases (wafer/hr) based on SEMI PV roadmap for Ingot Crystallization</t>
        </r>
      </text>
    </comment>
    <comment ref="E100"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D101"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1/1.32 because of throughput increases (wafer/hr) based on SEMI PV roadmap for Slurry based sawing</t>
        </r>
      </text>
    </comment>
    <comment ref="E101"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D102"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1/1.48 because of throughput increases (wafer/hr) based on average of SEMI PV roadmap for Slurry based wafering and module manufacturing</t>
        </r>
      </text>
    </comment>
    <comment ref="E102"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D103" authorId="0" shapeId="0">
      <text>
        <r>
          <rPr>
            <b/>
            <sz val="9"/>
            <color indexed="81"/>
            <rFont val="Tahoma"/>
            <family val="2"/>
          </rPr>
          <t>Doug Powell:</t>
        </r>
        <r>
          <rPr>
            <sz val="9"/>
            <color indexed="81"/>
            <rFont val="Tahoma"/>
            <family val="2"/>
          </rPr>
          <t xml:space="preserve">
A. Kreutzmann and M. Schmela, Photon International, 2008, 12, 84-92.
Reduced from baseline value by 1/1.65 because of throughput increases (wafer/hr) based on SEMI PV roadmap for Module encapsulation and interconnection</t>
        </r>
      </text>
    </comment>
    <comment ref="E103" authorId="0" shapeId="0">
      <text>
        <r>
          <rPr>
            <b/>
            <sz val="9"/>
            <color indexed="81"/>
            <rFont val="Tahoma"/>
            <family val="2"/>
          </rPr>
          <t>Doug Powell:</t>
        </r>
        <r>
          <rPr>
            <sz val="9"/>
            <color indexed="81"/>
            <rFont val="Tahoma"/>
            <family val="2"/>
          </rPr>
          <t xml:space="preserve">
Ratio between number of managers and operators + technicians calculated from A. Kreutzmann and M. Schmela, Photon International, 2008, 12, 84-92.</t>
        </r>
      </text>
    </comment>
    <comment ref="C107" authorId="0" shapeId="0">
      <text>
        <r>
          <rPr>
            <b/>
            <sz val="9"/>
            <color indexed="81"/>
            <rFont val="Tahoma"/>
            <family val="2"/>
          </rPr>
          <t>Doug Powell:</t>
        </r>
        <r>
          <rPr>
            <sz val="9"/>
            <color indexed="81"/>
            <rFont val="Tahoma"/>
            <family val="2"/>
          </rPr>
          <t xml:space="preserve">
1000 kg gen 6 from ITRPV PV Roadmap </t>
        </r>
      </text>
    </comment>
    <comment ref="C108" authorId="0" shapeId="0">
      <text>
        <r>
          <rPr>
            <b/>
            <sz val="9"/>
            <color indexed="81"/>
            <rFont val="Tahoma"/>
            <family val="2"/>
          </rPr>
          <t>Doug Powell:</t>
        </r>
        <r>
          <rPr>
            <sz val="9"/>
            <color indexed="81"/>
            <rFont val="Tahoma"/>
            <family val="2"/>
          </rPr>
          <t xml:space="preserve">
A. Kreutzmann and M. Schmela, Photon International, 2008, 12, 84-92, gen 5 crucible cost $1850, 
Alibaba cost in 5/2012 for only listed supplier for gen 4 = ~750 for gen 5 = ~850
http://www.alibaba.com/trade/search?SearchText=gen+crucible&amp;Country=&amp;IndexArea=product_en&amp;fsb=y
Assume 1.5 times cost for Alibaba supplier for more mainstream supplier estimate, i.e. Ceradyne, to create crucible cost vs. Ingot mass curve</t>
        </r>
      </text>
    </comment>
    <comment ref="C114" authorId="0" shapeId="0">
      <text>
        <r>
          <rPr>
            <b/>
            <sz val="9"/>
            <color indexed="81"/>
            <rFont val="Tahoma"/>
            <family val="2"/>
          </rPr>
          <t>Doug Powell:</t>
        </r>
        <r>
          <rPr>
            <sz val="9"/>
            <color indexed="81"/>
            <rFont val="Tahoma"/>
            <family val="2"/>
          </rPr>
          <t xml:space="preserve">
Based on estimated 2012 price of 76,800 RMB / tonne for Bekaert: M. Bakker, "Adjusting to new sawing wire reality - downgrade to HOLD," ABN AMRO Bank N.V., June 2011. and calculated price of 55,000 RMB / tonne from: Xingda International Holdings Limited, "Annual Report 2011," 2012.  while assuming a wire density of  about 11000 km/tonne and .1568 USD/RMB.
This is below two earlier estimates:
1.28 $/km for standard wire -Berwid, "PV Manufacturing materials: Technological and process-related options for cost reduction" PVI 2012, First Quarter
1.5 to 2.0 $/km for standard wire, $200 for diamond wire. S.K. Chunduri, "Diamond Wire - The Die has been cast", Photon international 5 (2011)</t>
        </r>
      </text>
    </comment>
    <comment ref="C115"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6"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19" authorId="0" shapeId="0">
      <text>
        <r>
          <rPr>
            <b/>
            <sz val="9"/>
            <color indexed="81"/>
            <rFont val="Tahoma"/>
            <family val="2"/>
          </rPr>
          <t>Doug Powell:</t>
        </r>
        <r>
          <rPr>
            <sz val="9"/>
            <color indexed="81"/>
            <rFont val="Tahoma"/>
            <family val="2"/>
          </rPr>
          <t xml:space="preserve">
Applied Materials Wire Sawing Economics White Paper
also:
http://www.renewableenergyworld.com/rea/news/article/2010/12/advanced-wire-saws-more-than-just-thinner-wafers</t>
        </r>
      </text>
    </comment>
    <comment ref="C120" authorId="0" shapeId="0">
      <text>
        <r>
          <rPr>
            <b/>
            <sz val="9"/>
            <color indexed="81"/>
            <rFont val="Tahoma"/>
            <family val="2"/>
          </rPr>
          <t>Doug Powell:</t>
        </r>
        <r>
          <rPr>
            <sz val="9"/>
            <color indexed="81"/>
            <rFont val="Tahoma"/>
            <family val="2"/>
          </rPr>
          <t xml:space="preserve">
Not the same as total material yield because a significant amount is lost in squaring and bricking the ingot</t>
        </r>
      </text>
    </comment>
    <comment ref="C128" authorId="0" shapeId="0">
      <text>
        <r>
          <rPr>
            <b/>
            <sz val="9"/>
            <color indexed="81"/>
            <rFont val="Tahoma"/>
            <family val="2"/>
          </rPr>
          <t>Doug Powell:</t>
        </r>
        <r>
          <rPr>
            <sz val="9"/>
            <color indexed="81"/>
            <rFont val="Tahoma"/>
            <family val="2"/>
          </rPr>
          <t xml:space="preserve">
"Together with our customers, we race for grid parity" Ask the Experts with Bekaert Group in Power &amp; Energy Solutions
0.137 kg/wafer for 120 </t>
        </r>
        <r>
          <rPr>
            <sz val="9"/>
            <color indexed="81"/>
            <rFont val="Calibri"/>
            <family val="2"/>
          </rPr>
          <t>μ</t>
        </r>
        <r>
          <rPr>
            <sz val="9"/>
            <color indexed="81"/>
            <rFont val="Tahoma"/>
            <family val="2"/>
          </rPr>
          <t>m wire
.091 kg/wafer for 80 μm wire</t>
        </r>
      </text>
    </comment>
    <comment ref="C129" authorId="0" shapeId="0">
      <text>
        <r>
          <rPr>
            <b/>
            <sz val="9"/>
            <color indexed="81"/>
            <rFont val="Tahoma"/>
            <family val="2"/>
          </rPr>
          <t>Doug Powell:</t>
        </r>
        <r>
          <rPr>
            <sz val="9"/>
            <color indexed="81"/>
            <rFont val="Tahoma"/>
            <family val="2"/>
          </rPr>
          <t xml:space="preserve">
Slurry cost is roughly estimated from the proportion of slurry cost to wire cost 8/6 = 1.33 reported by Applied Materials, "Wafer Wire Sawing Economics and Total Cost of Ownership Optimization", 2011
The resulting per wafer cost is less than the 0.16 $/wafer reported by Berwid, "PV Manufacturing materials: Technological and process-related options for cost reduction" PVI 2012, First Quarter</t>
        </r>
      </text>
    </comment>
    <comment ref="C135" authorId="0" shapeId="0">
      <text>
        <r>
          <rPr>
            <b/>
            <sz val="9"/>
            <color indexed="81"/>
            <rFont val="Tahoma"/>
            <family val="2"/>
          </rPr>
          <t>Doug Powell:</t>
        </r>
        <r>
          <rPr>
            <sz val="9"/>
            <color indexed="81"/>
            <rFont val="Tahoma"/>
            <family val="2"/>
          </rPr>
          <t xml:space="preserve">
A. Kreutzmann and M. Schmela, Photon International, 2008, 12, 84-92.
217 W/1.6m^2 module</t>
        </r>
      </text>
    </comment>
    <comment ref="C136" authorId="0" shapeId="0">
      <text>
        <r>
          <rPr>
            <b/>
            <sz val="9"/>
            <color indexed="81"/>
            <rFont val="Tahoma"/>
            <family val="2"/>
          </rPr>
          <t>Doug Powell:</t>
        </r>
        <r>
          <rPr>
            <sz val="9"/>
            <color indexed="81"/>
            <rFont val="Tahoma"/>
            <family val="2"/>
          </rPr>
          <t xml:space="preserve">
A. Kreutzmann and M. Schmela, Photon International, 2008, 12, 84-92.</t>
        </r>
      </text>
    </comment>
    <comment ref="C137" authorId="0" shapeId="0">
      <text>
        <r>
          <rPr>
            <b/>
            <sz val="9"/>
            <color indexed="81"/>
            <rFont val="Tahoma"/>
            <family val="2"/>
          </rPr>
          <t>Doug Powell:</t>
        </r>
        <r>
          <rPr>
            <sz val="9"/>
            <color indexed="81"/>
            <rFont val="Tahoma"/>
            <family val="2"/>
          </rPr>
          <t xml:space="preserve">
A. Kreutzmann and M. Schmela, Photon International, 2008, 12, 84-92.
</t>
        </r>
      </text>
    </comment>
    <comment ref="C138" authorId="0" shapeId="0">
      <text>
        <r>
          <rPr>
            <b/>
            <sz val="9"/>
            <color indexed="81"/>
            <rFont val="Tahoma"/>
            <family val="2"/>
          </rPr>
          <t>Doug Powell:</t>
        </r>
        <r>
          <rPr>
            <sz val="9"/>
            <color indexed="81"/>
            <rFont val="Tahoma"/>
            <family val="2"/>
          </rPr>
          <t xml:space="preserve">
A. Kreutzmann and M. Schmela, Photon International, 2008, 12, 84-92.
</t>
        </r>
      </text>
    </comment>
    <comment ref="C139" authorId="0" shapeId="0">
      <text>
        <r>
          <rPr>
            <b/>
            <sz val="9"/>
            <color indexed="81"/>
            <rFont val="Tahoma"/>
            <family val="2"/>
          </rPr>
          <t>Doug Powell:</t>
        </r>
        <r>
          <rPr>
            <sz val="9"/>
            <color indexed="81"/>
            <rFont val="Tahoma"/>
            <family val="2"/>
          </rPr>
          <t xml:space="preserve">
A. Kreutzmann and M. Schmela, Photon International, 2008, 12, 84-92.
</t>
        </r>
      </text>
    </comment>
    <comment ref="B147" authorId="0" shapeId="0">
      <text>
        <r>
          <rPr>
            <b/>
            <sz val="9"/>
            <color indexed="81"/>
            <rFont val="Tahoma"/>
            <family val="2"/>
          </rPr>
          <t>Doug Powell:</t>
        </r>
        <r>
          <rPr>
            <sz val="9"/>
            <color indexed="81"/>
            <rFont val="Tahoma"/>
            <family val="2"/>
          </rPr>
          <t xml:space="preserve">
The impact of yield loss is calculated in each cost category</t>
        </r>
      </text>
    </comment>
    <comment ref="C148" authorId="0" shapeId="0">
      <text>
        <r>
          <rPr>
            <b/>
            <sz val="9"/>
            <color indexed="81"/>
            <rFont val="Tahoma"/>
            <family val="2"/>
          </rPr>
          <t>Doug Powell:</t>
        </r>
        <r>
          <rPr>
            <sz val="9"/>
            <color indexed="81"/>
            <rFont val="Tahoma"/>
            <family val="2"/>
          </rPr>
          <t xml:space="preserve">
Applied Materials Wafering Economics Whitepaper, minimum of 95% quality yield</t>
        </r>
      </text>
    </comment>
    <comment ref="C149"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0" authorId="0" shapeId="0">
      <text>
        <r>
          <rPr>
            <b/>
            <sz val="9"/>
            <color indexed="81"/>
            <rFont val="Tahoma"/>
            <family val="2"/>
          </rPr>
          <t>Doug Powell:</t>
        </r>
        <r>
          <rPr>
            <sz val="9"/>
            <color indexed="81"/>
            <rFont val="Tahoma"/>
            <family val="2"/>
          </rPr>
          <t xml:space="preserve">
ITRPV Roadmap
Frank Faller, Centrotherm photovoltaics, 2010 Texas Renewable, San Antonio Nov 7-10 </t>
        </r>
      </text>
    </comment>
    <comment ref="C154" authorId="0" shapeId="0">
      <text>
        <r>
          <rPr>
            <b/>
            <sz val="9"/>
            <color indexed="81"/>
            <rFont val="Tahoma"/>
            <family val="2"/>
          </rPr>
          <t>Doug Powell:</t>
        </r>
        <r>
          <rPr>
            <sz val="9"/>
            <color indexed="81"/>
            <rFont val="Tahoma"/>
            <family val="2"/>
          </rPr>
          <t xml:space="preserve">
http://answers.yahoo.com/question/index?qid=20110405132256AALC8wK</t>
        </r>
      </text>
    </comment>
    <comment ref="C155" authorId="0" shapeId="0">
      <text>
        <r>
          <rPr>
            <b/>
            <sz val="9"/>
            <color indexed="81"/>
            <rFont val="Tahoma"/>
            <family val="2"/>
          </rPr>
          <t>Doug Powell:</t>
        </r>
        <r>
          <rPr>
            <sz val="9"/>
            <color indexed="81"/>
            <rFont val="Tahoma"/>
            <family val="2"/>
          </rPr>
          <t xml:space="preserve">
3 sheets per to also account for shrink wrap
</t>
        </r>
      </text>
    </comment>
    <comment ref="C161" authorId="0" shapeId="0">
      <text>
        <r>
          <rPr>
            <b/>
            <sz val="9"/>
            <color indexed="81"/>
            <rFont val="Tahoma"/>
            <family val="2"/>
          </rPr>
          <t>Doug Powell:</t>
        </r>
        <r>
          <rPr>
            <sz val="9"/>
            <color indexed="81"/>
            <rFont val="Tahoma"/>
            <family val="2"/>
          </rPr>
          <t xml:space="preserve">
Based on 75% of paste cost being silver in J. Herron, Photon International, 8, 2011, 100-105
So Ni/Cu material is 25% of silver paste.
Silver paste price from: J. Herron, "Looking under the hood: Equipment makers disclose cost analyses, showing room for improvement as module makers search for profits", Photon International, vol. 5, pp. 90-98, 2012</t>
        </r>
      </text>
    </comment>
    <comment ref="B162" authorId="0" shapeId="0">
      <text>
        <r>
          <rPr>
            <b/>
            <sz val="9"/>
            <color indexed="81"/>
            <rFont val="Tahoma"/>
            <family val="2"/>
          </rPr>
          <t>Doug Powell:</t>
        </r>
        <r>
          <rPr>
            <sz val="9"/>
            <color indexed="81"/>
            <rFont val="Tahoma"/>
            <family val="2"/>
          </rPr>
          <t xml:space="preserve">
Assumes same use as silver paste in 2012</t>
        </r>
      </text>
    </comment>
    <comment ref="C162" authorId="0" shapeId="0">
      <text>
        <r>
          <rPr>
            <b/>
            <sz val="9"/>
            <color indexed="81"/>
            <rFont val="Tahoma"/>
            <family val="2"/>
          </rPr>
          <t>Doug Powell:</t>
        </r>
        <r>
          <rPr>
            <sz val="9"/>
            <color indexed="81"/>
            <rFont val="Tahoma"/>
            <family val="2"/>
          </rPr>
          <t xml:space="preserve">
2012 target on 
Crystalline Silicon PV Technology and Manufacturing (CTM) Group, "International technology roadmap for photovoltaics: Results 2011," SEMI PV Group, 2012.</t>
        </r>
      </text>
    </comment>
    <comment ref="C16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65" authorId="0" shapeId="0">
      <text>
        <r>
          <rPr>
            <b/>
            <sz val="9"/>
            <color indexed="81"/>
            <rFont val="Tahoma"/>
            <family val="2"/>
          </rPr>
          <t>Doug Powell:</t>
        </r>
        <r>
          <rPr>
            <sz val="9"/>
            <color indexed="81"/>
            <rFont val="Tahoma"/>
            <family val="2"/>
          </rPr>
          <t xml:space="preserve">
http://www.targray.com/documents/Al_Paste_for_Solar_Cells.pdf,
In line with S. Kim et al., "Aluminum Pastes (Lead-Free/Low-Bow) for Thin Wafers", IEEE 31st Photovoltaic Specialists Conference and Exhibition, Jan. 3-7, Orlando, Florida, USA</t>
        </r>
      </text>
    </comment>
    <comment ref="C174" authorId="0" shapeId="0">
      <text>
        <r>
          <rPr>
            <b/>
            <sz val="9"/>
            <color indexed="81"/>
            <rFont val="Tahoma"/>
            <family val="2"/>
          </rPr>
          <t>Doug Powell:</t>
        </r>
        <r>
          <rPr>
            <sz val="9"/>
            <color indexed="81"/>
            <rFont val="Tahoma"/>
            <family val="2"/>
          </rPr>
          <t xml:space="preserve">
J. Herron, "Looking under the hood: Equipment makers disclose cost analyses, showing room for improvement as module makers search for profits", Photon International, vol. 5, pp. 90-98, 2012.
Also Browsing: http://www.alibaba.com/product-gs/249780630/Solar_Energy_paste_aluminum_powder.html 
on July 4th 2012</t>
        </r>
      </text>
    </comment>
    <comment ref="C181" authorId="0" shapeId="0">
      <text>
        <r>
          <rPr>
            <b/>
            <sz val="9"/>
            <color indexed="81"/>
            <rFont val="Tahoma"/>
            <family val="2"/>
          </rPr>
          <t>Doug Powell:</t>
        </r>
        <r>
          <rPr>
            <sz val="9"/>
            <color indexed="81"/>
            <rFont val="Tahoma"/>
            <family val="2"/>
          </rPr>
          <t xml:space="preserve">
From browsing:
http://www.alibaba.com/trade/search?SearchText=solar+frame+price&amp;IndexArea=product_en&amp;fsb=y 
Agrees well with GTM PV Bill of Materials Excerpt, in March 2011 PV news, estimate for 2010:
Based on perimeter $15/1.6m^2 module assuming 1.6 x 1 module</t>
        </r>
      </text>
    </comment>
    <comment ref="D181" authorId="0" shapeId="0">
      <text>
        <r>
          <rPr>
            <b/>
            <sz val="9"/>
            <color indexed="81"/>
            <rFont val="Tahoma"/>
            <family val="2"/>
          </rPr>
          <t>Doug Powell:</t>
        </r>
        <r>
          <rPr>
            <sz val="9"/>
            <color indexed="81"/>
            <rFont val="Tahoma"/>
            <family val="2"/>
          </rPr>
          <t xml:space="preserve">
Scales with Perimeter, assumes 1m base.</t>
        </r>
      </text>
    </comment>
    <comment ref="C183" authorId="0" shapeId="0">
      <text>
        <r>
          <rPr>
            <b/>
            <sz val="9"/>
            <color indexed="81"/>
            <rFont val="Tahoma"/>
            <family val="2"/>
          </rPr>
          <t>Doug Powell:</t>
        </r>
        <r>
          <rPr>
            <sz val="9"/>
            <color indexed="81"/>
            <rFont val="Tahoma"/>
            <family val="2"/>
          </rPr>
          <t xml:space="preserve">
From browsing:
http://www.alibaba.com/trade/search?SearchText=solar+backsheet&amp;IndexArea=Products&amp;fsb=y on July 4th 2012 and July 30th 2012
A little lower than
GTM PV Bill of Materials Excerpt, in March 2011 PV news, estimate for 2010:
$11.5/1.6m^2 module
</t>
        </r>
      </text>
    </comment>
    <comment ref="C184" authorId="0" shapeId="0">
      <text>
        <r>
          <rPr>
            <b/>
            <sz val="9"/>
            <color indexed="81"/>
            <rFont val="Tahoma"/>
            <family val="2"/>
          </rPr>
          <t>Doug Powell:</t>
        </r>
        <r>
          <rPr>
            <sz val="9"/>
            <color indexed="81"/>
            <rFont val="Tahoma"/>
            <family val="2"/>
          </rPr>
          <t xml:space="preserve">
From browsing:
http://www.alibaba.com/trade/search?SearchText=solar+eva&amp;IndexArea=Products&amp;fsb=y 
on July 4th 2012
GTM PV Bill of Materials Excerpt, in March 2011 PV news, estimate for 2010:
$9/1.6m^2 module,
but 2 sheets so
$9/3.2m^2 of material</t>
        </r>
      </text>
    </comment>
    <comment ref="C185" authorId="0" shapeId="0">
      <text>
        <r>
          <rPr>
            <b/>
            <sz val="9"/>
            <color indexed="81"/>
            <rFont val="Tahoma"/>
            <family val="2"/>
          </rPr>
          <t>Doug Powell:</t>
        </r>
        <r>
          <rPr>
            <sz val="9"/>
            <color indexed="81"/>
            <rFont val="Tahoma"/>
            <family val="2"/>
          </rPr>
          <t xml:space="preserve">
From browsing:
http://www.alibaba.com/showroom/solar-glass-price.html 
on July 4th 2012 and July 30th 2012.
Is a bit lower than  GTM PV Bill of Materials Excerpt, in March 2011 PV news, estimate for 2010:
$17/1.6m^2 module</t>
        </r>
      </text>
    </comment>
    <comment ref="C186" authorId="0" shapeId="0">
      <text>
        <r>
          <rPr>
            <b/>
            <sz val="9"/>
            <color indexed="81"/>
            <rFont val="Tahoma"/>
            <family val="2"/>
          </rPr>
          <t>Doug Powell:</t>
        </r>
        <r>
          <rPr>
            <sz val="9"/>
            <color indexed="81"/>
            <rFont val="Tahoma"/>
            <family val="2"/>
          </rPr>
          <t xml:space="preserve">
Calculated from plots in GTM PV Bill of Materials Excerpt, in March 2011 PV news, estimate for 2010:
$7.5/1.6m^2 module</t>
        </r>
      </text>
    </comment>
    <comment ref="C188" authorId="0" shapeId="0">
      <text>
        <r>
          <rPr>
            <b/>
            <sz val="9"/>
            <color indexed="81"/>
            <rFont val="Tahoma"/>
            <family val="2"/>
          </rPr>
          <t>Doug Powell:</t>
        </r>
        <r>
          <rPr>
            <sz val="9"/>
            <color indexed="81"/>
            <rFont val="Tahoma"/>
            <family val="2"/>
          </rPr>
          <t xml:space="preserve">
From browsing:
http://www.alibaba.com/trade/search?SearchText=solar+junction+box+price&amp;IndexArea=product_en&amp;fsb=y
on July 4th 2012 and July 30th 2012</t>
        </r>
      </text>
    </comment>
    <comment ref="C191" authorId="0" shapeId="0">
      <text>
        <r>
          <rPr>
            <b/>
            <sz val="9"/>
            <color indexed="81"/>
            <rFont val="Tahoma"/>
            <family val="2"/>
          </rPr>
          <t>Doug Powell:</t>
        </r>
        <r>
          <rPr>
            <sz val="9"/>
            <color indexed="81"/>
            <rFont val="Tahoma"/>
            <family val="2"/>
          </rPr>
          <t xml:space="preserve">
40 ft HC container
http://am.suntech-power.com/images/stories/pdf/datasheets/july2011/stp280_24vd_ulh4%20connector.pdf</t>
        </r>
      </text>
    </comment>
    <comment ref="B197" authorId="0" shapeId="0">
      <text>
        <r>
          <rPr>
            <b/>
            <sz val="9"/>
            <color indexed="81"/>
            <rFont val="Tahoma"/>
            <family val="2"/>
          </rPr>
          <t>Doug Powell:</t>
        </r>
        <r>
          <rPr>
            <sz val="9"/>
            <color indexed="81"/>
            <rFont val="Tahoma"/>
            <family val="2"/>
          </rPr>
          <t xml:space="preserve">
Following methodology of
A. Goodrich, et al., "A wafer-based monocrystalline silicon photovoltaics road map: Utilizing known technical improvement opportunities for further reductions in manufacturing costs," Solar Energy Materials &amp; Solar Cells, submitted
with formulation from 
R.D. Boehme, (2012, May 22). "Chapter 7: Capital budgeting cash flows," [Online]. Available: www.rdboehme.com/MBA_CF/Chapter07_emba.ppt 
and
D.A. Volkman, (2012, Oct 25). "Project Cash Flow Analysis," [Online]. Available: http://cba.unomaha.edu/faculty/dvolkman/WEB/bsad8360/embacashflow.ppt</t>
        </r>
      </text>
    </comment>
    <comment ref="C198" authorId="0" shapeId="0">
      <text>
        <r>
          <rPr>
            <b/>
            <sz val="9"/>
            <color indexed="81"/>
            <rFont val="Tahoma"/>
            <family val="2"/>
          </rPr>
          <t>Doug Powell:</t>
        </r>
        <r>
          <rPr>
            <sz val="9"/>
            <color indexed="81"/>
            <rFont val="Tahoma"/>
            <family val="2"/>
          </rPr>
          <t xml:space="preserve">
This variable cancels in MSP and IRR calculations</t>
        </r>
      </text>
    </comment>
    <comment ref="C199" authorId="0" shapeId="0">
      <text>
        <r>
          <rPr>
            <b/>
            <sz val="9"/>
            <color indexed="81"/>
            <rFont val="Tahoma"/>
            <family val="2"/>
          </rPr>
          <t>Doug Powell:</t>
        </r>
        <r>
          <rPr>
            <sz val="9"/>
            <color indexed="81"/>
            <rFont val="Tahoma"/>
            <family val="2"/>
          </rPr>
          <t xml:space="preserve">
From CPI, 12 month non-seasonally adjusted, 2.2% for October 2012.</t>
        </r>
      </text>
    </comment>
    <comment ref="C200" authorId="0" shapeId="0">
      <text>
        <r>
          <rPr>
            <b/>
            <sz val="9"/>
            <color indexed="81"/>
            <rFont val="Tahoma"/>
            <family val="2"/>
          </rPr>
          <t>Doug Powell:</t>
        </r>
        <r>
          <rPr>
            <sz val="9"/>
            <color indexed="81"/>
            <rFont val="Tahoma"/>
            <family val="2"/>
          </rPr>
          <t xml:space="preserve">
From CPI, 12 month non-seasonally adjusted, 2.2% for October 2012.</t>
        </r>
      </text>
    </comment>
    <comment ref="C201" authorId="0" shapeId="0">
      <text>
        <r>
          <rPr>
            <b/>
            <sz val="9"/>
            <color indexed="81"/>
            <rFont val="Tahoma"/>
            <family val="2"/>
          </rPr>
          <t>Doug Powell:</t>
        </r>
        <r>
          <rPr>
            <sz val="9"/>
            <color indexed="81"/>
            <rFont val="Tahoma"/>
            <family val="2"/>
          </rPr>
          <t xml:space="preserve">
Assumed value</t>
        </r>
      </text>
    </comment>
    <comment ref="C202" authorId="0" shapeId="0">
      <text>
        <r>
          <rPr>
            <b/>
            <sz val="9"/>
            <color indexed="81"/>
            <rFont val="Tahoma"/>
            <family val="2"/>
          </rPr>
          <t>Doug Powell:</t>
        </r>
        <r>
          <rPr>
            <sz val="9"/>
            <color indexed="81"/>
            <rFont val="Tahoma"/>
            <family val="2"/>
          </rPr>
          <t xml:space="preserve">
P. Dittmer, "U.S. Corporations suffer high effective tax rates by international standards," Tax Foundation, 2011.
and
C.P. Stickney and R.L. Weil, Financial accounting: An introduction to concepts, methods, and uses: Thomson South-Western, pp. 488, 2007.</t>
        </r>
      </text>
    </comment>
    <comment ref="C203"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C204"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B212" authorId="0" shapeId="0">
      <text>
        <r>
          <rPr>
            <b/>
            <sz val="9"/>
            <color indexed="81"/>
            <rFont val="Tahoma"/>
            <family val="2"/>
          </rPr>
          <t>Doug Powell:</t>
        </r>
        <r>
          <rPr>
            <sz val="9"/>
            <color indexed="81"/>
            <rFont val="Tahoma"/>
            <family val="2"/>
          </rPr>
          <t xml:space="preserve">
Separate DCF to account for different depreciation periods</t>
        </r>
      </text>
    </comment>
    <comment ref="G216"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16"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16" authorId="0" shapeId="0">
      <text>
        <r>
          <rPr>
            <b/>
            <sz val="9"/>
            <color indexed="81"/>
            <rFont val="Tahoma"/>
            <family val="2"/>
          </rPr>
          <t>Doug Powell:</t>
        </r>
        <r>
          <rPr>
            <sz val="9"/>
            <color indexed="81"/>
            <rFont val="Tahoma"/>
            <family val="2"/>
          </rPr>
          <t xml:space="preserve">
Includes selling, G&amp;A, and R&amp;D</t>
        </r>
      </text>
    </comment>
    <comment ref="N216" authorId="0" shapeId="0">
      <text>
        <r>
          <rPr>
            <b/>
            <sz val="9"/>
            <color indexed="81"/>
            <rFont val="Tahoma"/>
            <family val="2"/>
          </rPr>
          <t>Doug Powell:</t>
        </r>
        <r>
          <rPr>
            <sz val="9"/>
            <color indexed="81"/>
            <rFont val="Tahoma"/>
            <family val="2"/>
          </rPr>
          <t xml:space="preserve">
To consider tax implications of the salvage operation.</t>
        </r>
      </text>
    </comment>
    <comment ref="O216" authorId="0" shapeId="0">
      <text>
        <r>
          <rPr>
            <b/>
            <sz val="9"/>
            <color indexed="81"/>
            <rFont val="Tahoma"/>
            <family val="2"/>
          </rPr>
          <t>Doug Powell:</t>
        </r>
        <r>
          <rPr>
            <sz val="9"/>
            <color indexed="81"/>
            <rFont val="Tahoma"/>
            <family val="2"/>
          </rPr>
          <t xml:space="preserve">
Net Operating Loss
</t>
        </r>
      </text>
    </comment>
    <comment ref="P216" authorId="0" shapeId="0">
      <text>
        <r>
          <rPr>
            <b/>
            <sz val="9"/>
            <color indexed="81"/>
            <rFont val="Tahoma"/>
            <family val="2"/>
          </rPr>
          <t>Doug Powell:</t>
        </r>
        <r>
          <rPr>
            <sz val="9"/>
            <color indexed="81"/>
            <rFont val="Tahoma"/>
            <family val="2"/>
          </rPr>
          <t xml:space="preserve">
At end of  year. Unlimited Carry Forward</t>
        </r>
      </text>
    </comment>
    <comment ref="R216" authorId="0" shapeId="0">
      <text>
        <r>
          <rPr>
            <b/>
            <sz val="9"/>
            <color indexed="81"/>
            <rFont val="Tahoma"/>
            <family val="2"/>
          </rPr>
          <t>Doug Powell:</t>
        </r>
        <r>
          <rPr>
            <sz val="9"/>
            <color indexed="81"/>
            <rFont val="Tahoma"/>
            <family val="2"/>
          </rPr>
          <t xml:space="preserve">
Uses effective tax rate in conjunction with NOL</t>
        </r>
      </text>
    </comment>
    <comment ref="S216"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16"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16"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16" authorId="0" shapeId="0">
      <text>
        <r>
          <rPr>
            <b/>
            <sz val="9"/>
            <color indexed="81"/>
            <rFont val="Tahoma"/>
            <family val="2"/>
          </rPr>
          <t>Doug Powell:</t>
        </r>
        <r>
          <rPr>
            <sz val="9"/>
            <color indexed="81"/>
            <rFont val="Tahoma"/>
            <family val="2"/>
          </rPr>
          <t xml:space="preserve">
For the tax basis of salvaging the facility</t>
        </r>
      </text>
    </comment>
    <comment ref="X239" authorId="0" shapeId="0">
      <text>
        <r>
          <rPr>
            <b/>
            <sz val="9"/>
            <color indexed="81"/>
            <rFont val="Tahoma"/>
            <family val="2"/>
          </rPr>
          <t>Doug Powell:</t>
        </r>
        <r>
          <rPr>
            <sz val="9"/>
            <color indexed="81"/>
            <rFont val="Tahoma"/>
            <family val="2"/>
          </rPr>
          <t xml:space="preserve">
IRR to compare to WACC</t>
        </r>
      </text>
    </comment>
    <comment ref="G245"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45"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45" authorId="0" shapeId="0">
      <text>
        <r>
          <rPr>
            <b/>
            <sz val="9"/>
            <color indexed="81"/>
            <rFont val="Tahoma"/>
            <family val="2"/>
          </rPr>
          <t>Doug Powell:</t>
        </r>
        <r>
          <rPr>
            <sz val="9"/>
            <color indexed="81"/>
            <rFont val="Tahoma"/>
            <family val="2"/>
          </rPr>
          <t xml:space="preserve">
Includes selling, G&amp;A, and R&amp;D</t>
        </r>
      </text>
    </comment>
    <comment ref="N245" authorId="0" shapeId="0">
      <text>
        <r>
          <rPr>
            <b/>
            <sz val="9"/>
            <color indexed="81"/>
            <rFont val="Tahoma"/>
            <family val="2"/>
          </rPr>
          <t>Doug Powell:</t>
        </r>
        <r>
          <rPr>
            <sz val="9"/>
            <color indexed="81"/>
            <rFont val="Tahoma"/>
            <family val="2"/>
          </rPr>
          <t xml:space="preserve">
To consider tax implications of the salvage operation.</t>
        </r>
      </text>
    </comment>
    <comment ref="O245" authorId="0" shapeId="0">
      <text>
        <r>
          <rPr>
            <b/>
            <sz val="9"/>
            <color indexed="81"/>
            <rFont val="Tahoma"/>
            <family val="2"/>
          </rPr>
          <t>Doug Powell:</t>
        </r>
        <r>
          <rPr>
            <sz val="9"/>
            <color indexed="81"/>
            <rFont val="Tahoma"/>
            <family val="2"/>
          </rPr>
          <t xml:space="preserve">
Net Operating Loss
</t>
        </r>
      </text>
    </comment>
    <comment ref="P245" authorId="0" shapeId="0">
      <text>
        <r>
          <rPr>
            <b/>
            <sz val="9"/>
            <color indexed="81"/>
            <rFont val="Tahoma"/>
            <family val="2"/>
          </rPr>
          <t>Doug Powell:</t>
        </r>
        <r>
          <rPr>
            <sz val="9"/>
            <color indexed="81"/>
            <rFont val="Tahoma"/>
            <family val="2"/>
          </rPr>
          <t xml:space="preserve">
At end of  year. Unlimited Carry Forward</t>
        </r>
      </text>
    </comment>
    <comment ref="R245" authorId="0" shapeId="0">
      <text>
        <r>
          <rPr>
            <b/>
            <sz val="9"/>
            <color indexed="81"/>
            <rFont val="Tahoma"/>
            <family val="2"/>
          </rPr>
          <t>Doug Powell:</t>
        </r>
        <r>
          <rPr>
            <sz val="9"/>
            <color indexed="81"/>
            <rFont val="Tahoma"/>
            <family val="2"/>
          </rPr>
          <t xml:space="preserve">
Uses effective tax rate in conjunction with NOL</t>
        </r>
      </text>
    </comment>
    <comment ref="S245"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45"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45"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45" authorId="0" shapeId="0">
      <text>
        <r>
          <rPr>
            <b/>
            <sz val="9"/>
            <color indexed="81"/>
            <rFont val="Tahoma"/>
            <family val="2"/>
          </rPr>
          <t>Doug Powell:</t>
        </r>
        <r>
          <rPr>
            <sz val="9"/>
            <color indexed="81"/>
            <rFont val="Tahoma"/>
            <family val="2"/>
          </rPr>
          <t xml:space="preserve">
For the tax basis of salvaging the facility</t>
        </r>
      </text>
    </comment>
    <comment ref="X268" authorId="0" shapeId="0">
      <text>
        <r>
          <rPr>
            <b/>
            <sz val="9"/>
            <color indexed="81"/>
            <rFont val="Tahoma"/>
            <family val="2"/>
          </rPr>
          <t>Doug Powell:</t>
        </r>
        <r>
          <rPr>
            <sz val="9"/>
            <color indexed="81"/>
            <rFont val="Tahoma"/>
            <family val="2"/>
          </rPr>
          <t xml:space="preserve">
IRR to compare to WACC</t>
        </r>
      </text>
    </comment>
    <comment ref="G274"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274"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274" authorId="0" shapeId="0">
      <text>
        <r>
          <rPr>
            <b/>
            <sz val="9"/>
            <color indexed="81"/>
            <rFont val="Tahoma"/>
            <family val="2"/>
          </rPr>
          <t>Doug Powell:</t>
        </r>
        <r>
          <rPr>
            <sz val="9"/>
            <color indexed="81"/>
            <rFont val="Tahoma"/>
            <family val="2"/>
          </rPr>
          <t xml:space="preserve">
Includes selling, G&amp;A, and R&amp;D</t>
        </r>
      </text>
    </comment>
    <comment ref="N274" authorId="0" shapeId="0">
      <text>
        <r>
          <rPr>
            <b/>
            <sz val="9"/>
            <color indexed="81"/>
            <rFont val="Tahoma"/>
            <family val="2"/>
          </rPr>
          <t>Doug Powell:</t>
        </r>
        <r>
          <rPr>
            <sz val="9"/>
            <color indexed="81"/>
            <rFont val="Tahoma"/>
            <family val="2"/>
          </rPr>
          <t xml:space="preserve">
To consider tax implications of the salvage operation.</t>
        </r>
      </text>
    </comment>
    <comment ref="O274" authorId="0" shapeId="0">
      <text>
        <r>
          <rPr>
            <b/>
            <sz val="9"/>
            <color indexed="81"/>
            <rFont val="Tahoma"/>
            <family val="2"/>
          </rPr>
          <t>Doug Powell:</t>
        </r>
        <r>
          <rPr>
            <sz val="9"/>
            <color indexed="81"/>
            <rFont val="Tahoma"/>
            <family val="2"/>
          </rPr>
          <t xml:space="preserve">
Net Operating Loss
</t>
        </r>
      </text>
    </comment>
    <comment ref="P274" authorId="0" shapeId="0">
      <text>
        <r>
          <rPr>
            <b/>
            <sz val="9"/>
            <color indexed="81"/>
            <rFont val="Tahoma"/>
            <family val="2"/>
          </rPr>
          <t>Doug Powell:</t>
        </r>
        <r>
          <rPr>
            <sz val="9"/>
            <color indexed="81"/>
            <rFont val="Tahoma"/>
            <family val="2"/>
          </rPr>
          <t xml:space="preserve">
At end of  year. Unlimited Carry Forward</t>
        </r>
      </text>
    </comment>
    <comment ref="R274" authorId="0" shapeId="0">
      <text>
        <r>
          <rPr>
            <b/>
            <sz val="9"/>
            <color indexed="81"/>
            <rFont val="Tahoma"/>
            <family val="2"/>
          </rPr>
          <t>Doug Powell:</t>
        </r>
        <r>
          <rPr>
            <sz val="9"/>
            <color indexed="81"/>
            <rFont val="Tahoma"/>
            <family val="2"/>
          </rPr>
          <t xml:space="preserve">
Uses effective tax rate in conjunction with NOL</t>
        </r>
      </text>
    </comment>
    <comment ref="S274"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274"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274"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274" authorId="0" shapeId="0">
      <text>
        <r>
          <rPr>
            <b/>
            <sz val="9"/>
            <color indexed="81"/>
            <rFont val="Tahoma"/>
            <family val="2"/>
          </rPr>
          <t>Doug Powell:</t>
        </r>
        <r>
          <rPr>
            <sz val="9"/>
            <color indexed="81"/>
            <rFont val="Tahoma"/>
            <family val="2"/>
          </rPr>
          <t xml:space="preserve">
For the tax basis of salvaging the facility</t>
        </r>
      </text>
    </comment>
    <comment ref="X297" authorId="0" shapeId="0">
      <text>
        <r>
          <rPr>
            <b/>
            <sz val="9"/>
            <color indexed="81"/>
            <rFont val="Tahoma"/>
            <family val="2"/>
          </rPr>
          <t>Doug Powell:</t>
        </r>
        <r>
          <rPr>
            <sz val="9"/>
            <color indexed="81"/>
            <rFont val="Tahoma"/>
            <family val="2"/>
          </rPr>
          <t xml:space="preserve">
IRR to compare to WACC</t>
        </r>
      </text>
    </comment>
    <comment ref="G303"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303"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303" authorId="0" shapeId="0">
      <text>
        <r>
          <rPr>
            <b/>
            <sz val="9"/>
            <color indexed="81"/>
            <rFont val="Tahoma"/>
            <family val="2"/>
          </rPr>
          <t>Doug Powell:</t>
        </r>
        <r>
          <rPr>
            <sz val="9"/>
            <color indexed="81"/>
            <rFont val="Tahoma"/>
            <family val="2"/>
          </rPr>
          <t xml:space="preserve">
Includes selling, G&amp;A, and R&amp;D</t>
        </r>
      </text>
    </comment>
    <comment ref="N303" authorId="0" shapeId="0">
      <text>
        <r>
          <rPr>
            <b/>
            <sz val="9"/>
            <color indexed="81"/>
            <rFont val="Tahoma"/>
            <family val="2"/>
          </rPr>
          <t>Doug Powell:</t>
        </r>
        <r>
          <rPr>
            <sz val="9"/>
            <color indexed="81"/>
            <rFont val="Tahoma"/>
            <family val="2"/>
          </rPr>
          <t xml:space="preserve">
To consider tax implications of the salvage operation.</t>
        </r>
      </text>
    </comment>
    <comment ref="O303" authorId="0" shapeId="0">
      <text>
        <r>
          <rPr>
            <b/>
            <sz val="9"/>
            <color indexed="81"/>
            <rFont val="Tahoma"/>
            <family val="2"/>
          </rPr>
          <t>Doug Powell:</t>
        </r>
        <r>
          <rPr>
            <sz val="9"/>
            <color indexed="81"/>
            <rFont val="Tahoma"/>
            <family val="2"/>
          </rPr>
          <t xml:space="preserve">
Net Operating Loss
</t>
        </r>
      </text>
    </comment>
    <comment ref="P303" authorId="0" shapeId="0">
      <text>
        <r>
          <rPr>
            <b/>
            <sz val="9"/>
            <color indexed="81"/>
            <rFont val="Tahoma"/>
            <family val="2"/>
          </rPr>
          <t>Doug Powell:</t>
        </r>
        <r>
          <rPr>
            <sz val="9"/>
            <color indexed="81"/>
            <rFont val="Tahoma"/>
            <family val="2"/>
          </rPr>
          <t xml:space="preserve">
At end of  year. Unlimited Carry Forward</t>
        </r>
      </text>
    </comment>
    <comment ref="R303" authorId="0" shapeId="0">
      <text>
        <r>
          <rPr>
            <b/>
            <sz val="9"/>
            <color indexed="81"/>
            <rFont val="Tahoma"/>
            <family val="2"/>
          </rPr>
          <t>Doug Powell:</t>
        </r>
        <r>
          <rPr>
            <sz val="9"/>
            <color indexed="81"/>
            <rFont val="Tahoma"/>
            <family val="2"/>
          </rPr>
          <t xml:space="preserve">
Uses effective tax rate in conjunction with NOL</t>
        </r>
      </text>
    </comment>
    <comment ref="S303"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303"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303"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7 year equipment does not have remaining value, so even though the MACRS depreciation is not completed, so no salvage value is present. A loss is incurred on the sale of the facility, as the COGS deprecation period is more rapid than the assumed taxation depreciation period.  The tax impact of this is considered in the cash flow of the final year.</t>
        </r>
      </text>
    </comment>
    <comment ref="W303" authorId="0" shapeId="0">
      <text>
        <r>
          <rPr>
            <b/>
            <sz val="9"/>
            <color indexed="81"/>
            <rFont val="Tahoma"/>
            <family val="2"/>
          </rPr>
          <t>Doug Powell:</t>
        </r>
        <r>
          <rPr>
            <sz val="9"/>
            <color indexed="81"/>
            <rFont val="Tahoma"/>
            <family val="2"/>
          </rPr>
          <t xml:space="preserve">
For the tax basis of salvaging the facility</t>
        </r>
      </text>
    </comment>
    <comment ref="X326" authorId="0" shapeId="0">
      <text>
        <r>
          <rPr>
            <b/>
            <sz val="9"/>
            <color indexed="81"/>
            <rFont val="Tahoma"/>
            <family val="2"/>
          </rPr>
          <t>Doug Powell:</t>
        </r>
        <r>
          <rPr>
            <sz val="9"/>
            <color indexed="81"/>
            <rFont val="Tahoma"/>
            <family val="2"/>
          </rPr>
          <t xml:space="preserve">
IRR to compare to WACC</t>
        </r>
      </text>
    </comment>
    <comment ref="C330" authorId="0" shapeId="0">
      <text>
        <r>
          <rPr>
            <b/>
            <sz val="9"/>
            <color indexed="81"/>
            <rFont val="Tahoma"/>
            <family val="2"/>
          </rPr>
          <t>Doug Powell:</t>
        </r>
        <r>
          <rPr>
            <sz val="9"/>
            <color indexed="81"/>
            <rFont val="Tahoma"/>
            <family val="2"/>
          </rPr>
          <t xml:space="preserve">
Assumed for income statement, with input from A. Goodrich's work</t>
        </r>
      </text>
    </comment>
    <comment ref="C331" authorId="0" shapeId="0">
      <text>
        <r>
          <rPr>
            <b/>
            <sz val="9"/>
            <color indexed="81"/>
            <rFont val="Tahoma"/>
            <family val="2"/>
          </rPr>
          <t>Doug Powell:</t>
        </r>
        <r>
          <rPr>
            <sz val="9"/>
            <color indexed="81"/>
            <rFont val="Tahoma"/>
            <family val="2"/>
          </rPr>
          <t xml:space="preserve">
Assumed for income statement</t>
        </r>
      </text>
    </comment>
    <comment ref="C332" authorId="0" shapeId="0">
      <text>
        <r>
          <rPr>
            <b/>
            <sz val="9"/>
            <color indexed="81"/>
            <rFont val="Tahoma"/>
            <family val="2"/>
          </rPr>
          <t>Doug Powell:</t>
        </r>
        <r>
          <rPr>
            <sz val="9"/>
            <color indexed="81"/>
            <rFont val="Tahoma"/>
            <family val="2"/>
          </rPr>
          <t xml:space="preserve">
Assumed for income statement</t>
        </r>
      </text>
    </comment>
    <comment ref="F355" authorId="0" shapeId="0">
      <text>
        <r>
          <rPr>
            <b/>
            <sz val="9"/>
            <color indexed="81"/>
            <rFont val="Tahoma"/>
            <family val="2"/>
          </rPr>
          <t>Doug Powell:</t>
        </r>
        <r>
          <rPr>
            <sz val="9"/>
            <color indexed="81"/>
            <rFont val="Tahoma"/>
            <family val="2"/>
          </rPr>
          <t xml:space="preserve">
Assuming Operating expenses are fixed</t>
        </r>
      </text>
    </comment>
    <comment ref="I355" authorId="0" shapeId="0">
      <text>
        <r>
          <rPr>
            <b/>
            <sz val="9"/>
            <color indexed="81"/>
            <rFont val="Tahoma"/>
            <family val="2"/>
          </rPr>
          <t>Doug Powell:</t>
        </r>
        <r>
          <rPr>
            <sz val="9"/>
            <color indexed="81"/>
            <rFont val="Tahoma"/>
            <family val="2"/>
          </rPr>
          <t xml:space="preserve">
Assuming Operating expenses are fixed</t>
        </r>
      </text>
    </comment>
    <comment ref="C378"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 ref="C379" authorId="0" shapeId="0">
      <text>
        <r>
          <rPr>
            <b/>
            <sz val="9"/>
            <color indexed="81"/>
            <rFont val="Tahoma"/>
            <family val="2"/>
          </rPr>
          <t>Doug Powell:</t>
        </r>
        <r>
          <rPr>
            <sz val="9"/>
            <color indexed="81"/>
            <rFont val="Tahoma"/>
            <family val="2"/>
          </rPr>
          <t xml:space="preserve">
P. L. Kimmel, J. J. Weygandt, and D. E. Kieso, Financial Accounting:
Tools For Business Decision Making. New York:Wiley, 2007, pp. 228–
236.</t>
        </r>
      </text>
    </comment>
  </commentList>
</comments>
</file>

<file path=xl/comments7.xml><?xml version="1.0" encoding="utf-8"?>
<comments xmlns="http://schemas.openxmlformats.org/spreadsheetml/2006/main">
  <authors>
    <author>Doug Powell</author>
  </authors>
  <commentList>
    <comment ref="F9" authorId="0" shapeId="0">
      <text>
        <r>
          <rPr>
            <b/>
            <sz val="9"/>
            <color indexed="81"/>
            <rFont val="Tahoma"/>
            <family val="2"/>
          </rPr>
          <t>Doug Powell:</t>
        </r>
        <r>
          <rPr>
            <sz val="9"/>
            <color indexed="81"/>
            <rFont val="Tahoma"/>
            <family val="2"/>
          </rPr>
          <t xml:space="preserve">
Depreciation </t>
        </r>
      </text>
    </comment>
    <comment ref="F15" authorId="0" shapeId="0">
      <text>
        <r>
          <rPr>
            <b/>
            <sz val="9"/>
            <color indexed="81"/>
            <rFont val="Tahoma"/>
            <family val="2"/>
          </rPr>
          <t>Doug Powell:</t>
        </r>
        <r>
          <rPr>
            <sz val="9"/>
            <color indexed="81"/>
            <rFont val="Tahoma"/>
            <family val="2"/>
          </rPr>
          <t xml:space="preserve">
Depreciation </t>
        </r>
      </text>
    </comment>
    <comment ref="F21" authorId="0" shapeId="0">
      <text>
        <r>
          <rPr>
            <b/>
            <sz val="9"/>
            <color indexed="81"/>
            <rFont val="Tahoma"/>
            <family val="2"/>
          </rPr>
          <t>Doug Powell:</t>
        </r>
        <r>
          <rPr>
            <sz val="9"/>
            <color indexed="81"/>
            <rFont val="Tahoma"/>
            <family val="2"/>
          </rPr>
          <t xml:space="preserve">
Depreciation </t>
        </r>
      </text>
    </comment>
    <comment ref="F27" authorId="0" shapeId="0">
      <text>
        <r>
          <rPr>
            <b/>
            <sz val="9"/>
            <color indexed="81"/>
            <rFont val="Tahoma"/>
            <family val="2"/>
          </rPr>
          <t>Doug Powell:</t>
        </r>
        <r>
          <rPr>
            <sz val="9"/>
            <color indexed="81"/>
            <rFont val="Tahoma"/>
            <family val="2"/>
          </rPr>
          <t xml:space="preserve">
Depreciation </t>
        </r>
      </text>
    </comment>
    <comment ref="F33" authorId="0" shapeId="0">
      <text>
        <r>
          <rPr>
            <b/>
            <sz val="9"/>
            <color indexed="81"/>
            <rFont val="Tahoma"/>
            <family val="2"/>
          </rPr>
          <t>Doug Powell:</t>
        </r>
        <r>
          <rPr>
            <sz val="9"/>
            <color indexed="81"/>
            <rFont val="Tahoma"/>
            <family val="2"/>
          </rPr>
          <t xml:space="preserve">
Depreciation </t>
        </r>
      </text>
    </comment>
    <comment ref="E39" authorId="0" shapeId="0">
      <text>
        <r>
          <rPr>
            <b/>
            <sz val="9"/>
            <color indexed="81"/>
            <rFont val="Tahoma"/>
            <family val="2"/>
          </rPr>
          <t>Doug Powell:</t>
        </r>
        <r>
          <rPr>
            <sz val="9"/>
            <color indexed="81"/>
            <rFont val="Tahoma"/>
            <family val="2"/>
          </rPr>
          <t xml:space="preserve">
Depreciation </t>
        </r>
      </text>
    </comment>
    <comment ref="G39" authorId="0" shapeId="0">
      <text>
        <r>
          <rPr>
            <b/>
            <sz val="9"/>
            <color indexed="81"/>
            <rFont val="Tahoma"/>
            <family val="2"/>
          </rPr>
          <t>Doug Powell:</t>
        </r>
        <r>
          <rPr>
            <sz val="9"/>
            <color indexed="81"/>
            <rFont val="Tahoma"/>
            <family val="2"/>
          </rPr>
          <t xml:space="preserve">
Everything But Depreciation</t>
        </r>
      </text>
    </comment>
    <comment ref="C52" authorId="0" shapeId="0">
      <text>
        <r>
          <rPr>
            <b/>
            <sz val="9"/>
            <color indexed="81"/>
            <rFont val="Tahoma"/>
            <family val="2"/>
          </rPr>
          <t xml:space="preserve">Doug Powell:
</t>
        </r>
        <r>
          <rPr>
            <sz val="9"/>
            <color indexed="81"/>
            <rFont val="Tahoma"/>
            <family val="2"/>
          </rPr>
          <t>156 mm wafer</t>
        </r>
      </text>
    </comment>
    <comment ref="C53" authorId="0" shapeId="0">
      <text>
        <r>
          <rPr>
            <b/>
            <sz val="9"/>
            <color indexed="81"/>
            <rFont val="Tahoma"/>
            <family val="2"/>
          </rPr>
          <t>Doug Powell:</t>
        </r>
        <r>
          <rPr>
            <sz val="9"/>
            <color indexed="81"/>
            <rFont val="Tahoma"/>
            <family val="2"/>
          </rPr>
          <t xml:space="preserve">
89% for six inch square multi. 
http://www.gaccsouth.com/fileadmin/ahk_atlanta/Bilder_Houston/Bilder/Texas_Renewables/05_Centrotherm_Faller.ppt_ohne_extra_slides.pdf_web.pdf</t>
        </r>
      </text>
    </comment>
    <comment ref="B57" authorId="0" shapeId="0">
      <text>
        <r>
          <rPr>
            <b/>
            <sz val="9"/>
            <color indexed="81"/>
            <rFont val="Tahoma"/>
            <family val="2"/>
          </rPr>
          <t>Doug Powell:</t>
        </r>
        <r>
          <rPr>
            <sz val="9"/>
            <color indexed="81"/>
            <rFont val="Tahoma"/>
            <family val="2"/>
          </rPr>
          <t xml:space="preserve">
Following methodology of
A. Goodrich, et al., "A wafer-based monocrystalline silicon photovoltaics road map: Utilizing known technical improvement opportunities for further reductions in manufacturing costs," Solar Energy Materials &amp; Solar Cells, submitted
with formulation from 
R.D. Boehme, (2012, May 22). "Chapter 7: Capital budgeting cash flows," [Online]. Available: www.rdboehme.com/MBA_CF/Chapter07_emba.ppt 
and
D.A. Volkman, (2012, Oct 25). "Project Cash Flow Analysis," [Online]. Available: http://cba.unomaha.edu/faculty/dvolkman/WEB/bsad8360/embacashflow.ppt</t>
        </r>
      </text>
    </comment>
    <comment ref="C59" authorId="0" shapeId="0">
      <text>
        <r>
          <rPr>
            <b/>
            <sz val="9"/>
            <color indexed="81"/>
            <rFont val="Tahoma"/>
            <family val="2"/>
          </rPr>
          <t>Doug Powell:</t>
        </r>
        <r>
          <rPr>
            <sz val="9"/>
            <color indexed="81"/>
            <rFont val="Tahoma"/>
            <family val="2"/>
          </rPr>
          <t xml:space="preserve">
From CPI, 12 month non-seasonally adjusted, 2.2% for October 2012.</t>
        </r>
      </text>
    </comment>
    <comment ref="C60" authorId="0" shapeId="0">
      <text>
        <r>
          <rPr>
            <b/>
            <sz val="9"/>
            <color indexed="81"/>
            <rFont val="Tahoma"/>
            <family val="2"/>
          </rPr>
          <t>Doug Powell:</t>
        </r>
        <r>
          <rPr>
            <sz val="9"/>
            <color indexed="81"/>
            <rFont val="Tahoma"/>
            <family val="2"/>
          </rPr>
          <t xml:space="preserve">
From CPI, 12 month non-seasonally adjusted, 2.2% for October 2012.</t>
        </r>
      </text>
    </comment>
    <comment ref="C61" authorId="0" shapeId="0">
      <text>
        <r>
          <rPr>
            <b/>
            <sz val="9"/>
            <color indexed="81"/>
            <rFont val="Tahoma"/>
            <family val="2"/>
          </rPr>
          <t>Doug Powell:</t>
        </r>
        <r>
          <rPr>
            <sz val="9"/>
            <color indexed="81"/>
            <rFont val="Tahoma"/>
            <family val="2"/>
          </rPr>
          <t xml:space="preserve">
Assumed value</t>
        </r>
      </text>
    </comment>
    <comment ref="C62" authorId="0" shapeId="0">
      <text>
        <r>
          <rPr>
            <b/>
            <sz val="9"/>
            <color indexed="81"/>
            <rFont val="Tahoma"/>
            <family val="2"/>
          </rPr>
          <t>Doug Powell:</t>
        </r>
        <r>
          <rPr>
            <sz val="9"/>
            <color indexed="81"/>
            <rFont val="Tahoma"/>
            <family val="2"/>
          </rPr>
          <t xml:space="preserve">
P. Dittmer, "U.S. Corporations suffer high effective tax rates by international standards," Tax Foundation, 2011.
and
C.P. Stickney and R.L. Weil, Financial accounting: An introduction to concepts, methods, and uses: Thomson South-Western, pp. 488, 2007.</t>
        </r>
      </text>
    </comment>
    <comment ref="C63"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C64" authorId="0" shapeId="0">
      <text>
        <r>
          <rPr>
            <b/>
            <sz val="9"/>
            <color indexed="81"/>
            <rFont val="Tahoma"/>
            <family val="2"/>
          </rPr>
          <t>Doug Powell:</t>
        </r>
        <r>
          <rPr>
            <sz val="9"/>
            <color indexed="81"/>
            <rFont val="Tahoma"/>
            <family val="2"/>
          </rPr>
          <t xml:space="preserve">
From averaging the results of Trina and Suntech from 2007 - 2011, from 2011 annual reports</t>
        </r>
      </text>
    </comment>
    <comment ref="G73" authorId="0" shapeId="0">
      <text>
        <r>
          <rPr>
            <b/>
            <sz val="9"/>
            <color indexed="81"/>
            <rFont val="Tahoma"/>
            <family val="2"/>
          </rPr>
          <t>Doug Powell:</t>
        </r>
        <r>
          <rPr>
            <sz val="9"/>
            <color indexed="81"/>
            <rFont val="Tahoma"/>
            <family val="2"/>
          </rPr>
          <t xml:space="preserve">
7 Year MACRS half year convention for equipment following asset class 35.0 in http://www.irs.gov/pub/irs-pdf/p946.pdf</t>
        </r>
      </text>
    </comment>
    <comment ref="I73" authorId="0" shapeId="0">
      <text>
        <r>
          <rPr>
            <b/>
            <sz val="9"/>
            <color indexed="81"/>
            <rFont val="Tahoma"/>
            <family val="2"/>
          </rPr>
          <t>Doug Powell:</t>
        </r>
        <r>
          <rPr>
            <sz val="9"/>
            <color indexed="81"/>
            <rFont val="Tahoma"/>
            <family val="2"/>
          </rPr>
          <t xml:space="preserve">
39 year nonresidential real property mid-month convention using month 6 following table A-7a in http://www.irs.gov/pub/irs-pdf/p946.pdf</t>
        </r>
      </text>
    </comment>
    <comment ref="L73" authorId="0" shapeId="0">
      <text>
        <r>
          <rPr>
            <b/>
            <sz val="9"/>
            <color indexed="81"/>
            <rFont val="Tahoma"/>
            <family val="2"/>
          </rPr>
          <t>Doug Powell:</t>
        </r>
        <r>
          <rPr>
            <sz val="9"/>
            <color indexed="81"/>
            <rFont val="Tahoma"/>
            <family val="2"/>
          </rPr>
          <t xml:space="preserve">
Includes selling, G&amp;A, and R&amp;D</t>
        </r>
      </text>
    </comment>
    <comment ref="N73" authorId="0" shapeId="0">
      <text>
        <r>
          <rPr>
            <b/>
            <sz val="9"/>
            <color indexed="81"/>
            <rFont val="Tahoma"/>
            <family val="2"/>
          </rPr>
          <t>Doug Powell:</t>
        </r>
        <r>
          <rPr>
            <sz val="9"/>
            <color indexed="81"/>
            <rFont val="Tahoma"/>
            <family val="2"/>
          </rPr>
          <t xml:space="preserve">
To consider tax implications of the salvage operation.</t>
        </r>
      </text>
    </comment>
    <comment ref="O73" authorId="0" shapeId="0">
      <text>
        <r>
          <rPr>
            <b/>
            <sz val="9"/>
            <color indexed="81"/>
            <rFont val="Tahoma"/>
            <family val="2"/>
          </rPr>
          <t>Doug Powell:</t>
        </r>
        <r>
          <rPr>
            <sz val="9"/>
            <color indexed="81"/>
            <rFont val="Tahoma"/>
            <family val="2"/>
          </rPr>
          <t xml:space="preserve">
Net Operating Loss
</t>
        </r>
      </text>
    </comment>
    <comment ref="P73" authorId="0" shapeId="0">
      <text>
        <r>
          <rPr>
            <b/>
            <sz val="9"/>
            <color indexed="81"/>
            <rFont val="Tahoma"/>
            <family val="2"/>
          </rPr>
          <t>Doug Powell:</t>
        </r>
        <r>
          <rPr>
            <sz val="9"/>
            <color indexed="81"/>
            <rFont val="Tahoma"/>
            <family val="2"/>
          </rPr>
          <t xml:space="preserve">
At end of  year. Unlimited Carry Forward</t>
        </r>
      </text>
    </comment>
    <comment ref="R73" authorId="0" shapeId="0">
      <text>
        <r>
          <rPr>
            <b/>
            <sz val="9"/>
            <color indexed="81"/>
            <rFont val="Tahoma"/>
            <family val="2"/>
          </rPr>
          <t>Doug Powell:</t>
        </r>
        <r>
          <rPr>
            <sz val="9"/>
            <color indexed="81"/>
            <rFont val="Tahoma"/>
            <family val="2"/>
          </rPr>
          <t xml:space="preserve">
Uses effective tax rate in conjunction with NOL</t>
        </r>
      </text>
    </comment>
    <comment ref="S73" authorId="0" shapeId="0">
      <text>
        <r>
          <rPr>
            <b/>
            <sz val="9"/>
            <color indexed="81"/>
            <rFont val="Tahoma"/>
            <family val="2"/>
          </rPr>
          <t>Doug Powell:</t>
        </r>
        <r>
          <rPr>
            <sz val="9"/>
            <color indexed="81"/>
            <rFont val="Tahoma"/>
            <family val="2"/>
          </rPr>
          <t xml:space="preserve">
NWC = Short term assets - short term liabilities.
Months of NWC/12*(Rev-Product Cost - Operating Expenses)
</t>
        </r>
      </text>
    </comment>
    <comment ref="T73" authorId="0" shapeId="0">
      <text>
        <r>
          <rPr>
            <b/>
            <sz val="9"/>
            <color indexed="81"/>
            <rFont val="Tahoma"/>
            <family val="2"/>
          </rPr>
          <t>Doug Powell:</t>
        </r>
        <r>
          <rPr>
            <sz val="9"/>
            <color indexed="81"/>
            <rFont val="Tahoma"/>
            <family val="2"/>
          </rPr>
          <t xml:space="preserve">
New NWC is positive following R.D. Boehme, (2012, May 22). "Chapter 7: Capital budgeting cash flows," [Online]. Available: www.rdboehme.com/MBA_CF/Chapter07_emba.ppt </t>
        </r>
      </text>
    </comment>
    <comment ref="V73" authorId="0" shapeId="0">
      <text>
        <r>
          <rPr>
            <b/>
            <sz val="9"/>
            <color indexed="81"/>
            <rFont val="Tahoma"/>
            <family val="2"/>
          </rPr>
          <t>Doug Powell:</t>
        </r>
        <r>
          <rPr>
            <sz val="9"/>
            <color indexed="81"/>
            <rFont val="Tahoma"/>
            <family val="2"/>
          </rPr>
          <t xml:space="preserve">
Salvage at the remaining value from the straight line deprecation estimates used for COGS.  The equipment does not have remaining value, so even though the MACRS depreciation is not completed, no salvage value is present. A loss is incurred on the sale of the facility, as the COGS deprecation period is more rapid than the assumed taxation depreciation period.</t>
        </r>
      </text>
    </comment>
    <comment ref="W73" authorId="0" shapeId="0">
      <text>
        <r>
          <rPr>
            <b/>
            <sz val="9"/>
            <color indexed="81"/>
            <rFont val="Tahoma"/>
            <family val="2"/>
          </rPr>
          <t>Doug Powell:</t>
        </r>
        <r>
          <rPr>
            <sz val="9"/>
            <color indexed="81"/>
            <rFont val="Tahoma"/>
            <family val="2"/>
          </rPr>
          <t xml:space="preserve">
For the tax basis of salvaging the facility</t>
        </r>
      </text>
    </comment>
    <comment ref="E74" authorId="0" shapeId="0">
      <text>
        <r>
          <rPr>
            <b/>
            <sz val="9"/>
            <color indexed="81"/>
            <rFont val="Tahoma"/>
            <family val="2"/>
          </rPr>
          <t>Doug Powell:</t>
        </r>
        <r>
          <rPr>
            <sz val="9"/>
            <color indexed="81"/>
            <rFont val="Tahoma"/>
            <family val="2"/>
          </rPr>
          <t xml:space="preserve">
Year 1</t>
        </r>
      </text>
    </comment>
    <comment ref="X96" authorId="0" shapeId="0">
      <text>
        <r>
          <rPr>
            <b/>
            <sz val="9"/>
            <color indexed="81"/>
            <rFont val="Tahoma"/>
            <family val="2"/>
          </rPr>
          <t>Doug Powell:</t>
        </r>
        <r>
          <rPr>
            <sz val="9"/>
            <color indexed="81"/>
            <rFont val="Tahoma"/>
            <family val="2"/>
          </rPr>
          <t xml:space="preserve">
IRR to compare to WACC</t>
        </r>
      </text>
    </comment>
  </commentList>
</comments>
</file>

<file path=xl/sharedStrings.xml><?xml version="1.0" encoding="utf-8"?>
<sst xmlns="http://schemas.openxmlformats.org/spreadsheetml/2006/main" count="2749" uniqueCount="399">
  <si>
    <t>[%]</t>
  </si>
  <si>
    <t>[$]</t>
  </si>
  <si>
    <t>Shipping Cost</t>
  </si>
  <si>
    <t>Total</t>
  </si>
  <si>
    <t>Efficiency</t>
  </si>
  <si>
    <t>Cost [$/cell]</t>
  </si>
  <si>
    <t>Encapsulant</t>
  </si>
  <si>
    <t>Frame</t>
  </si>
  <si>
    <t>JB and Cable</t>
  </si>
  <si>
    <t>Ribbon</t>
  </si>
  <si>
    <t>Glass</t>
  </si>
  <si>
    <t>Cell Thickness</t>
  </si>
  <si>
    <t>[$/kg]</t>
  </si>
  <si>
    <t>Silicon Density</t>
  </si>
  <si>
    <t>[kg/cell]</t>
  </si>
  <si>
    <t>[kg/m^3]</t>
  </si>
  <si>
    <t>[$/cell]</t>
  </si>
  <si>
    <t>[$/hr]</t>
  </si>
  <si>
    <t>[MW/yr]</t>
  </si>
  <si>
    <t>Electricity Cost</t>
  </si>
  <si>
    <t>Input Electricity</t>
  </si>
  <si>
    <t>Packaging</t>
  </si>
  <si>
    <t>[-]</t>
  </si>
  <si>
    <t>[$/m^2]</t>
  </si>
  <si>
    <t>Silicon Feedstock</t>
  </si>
  <si>
    <t>Labor</t>
  </si>
  <si>
    <t>Yield Loss</t>
  </si>
  <si>
    <t>Year</t>
  </si>
  <si>
    <t>Inputs</t>
  </si>
  <si>
    <t>Metal Paste</t>
  </si>
  <si>
    <t>Wafer</t>
  </si>
  <si>
    <t>Cell</t>
  </si>
  <si>
    <t>Module</t>
  </si>
  <si>
    <t>Module Efficiency</t>
  </si>
  <si>
    <t>Value</t>
  </si>
  <si>
    <t>Dollars per Cell</t>
  </si>
  <si>
    <t>Doug Powell</t>
  </si>
  <si>
    <t>Item</t>
  </si>
  <si>
    <t>Unit</t>
  </si>
  <si>
    <t>Case</t>
  </si>
  <si>
    <t>Module Efficiency [%]</t>
  </si>
  <si>
    <t>Silicon Cost [$/kg]</t>
  </si>
  <si>
    <t>Percentage</t>
  </si>
  <si>
    <t>Shipping Costs</t>
  </si>
  <si>
    <t>[$/container]</t>
  </si>
  <si>
    <t>Shipping costs</t>
  </si>
  <si>
    <t>Watts in container</t>
  </si>
  <si>
    <t>Screens</t>
  </si>
  <si>
    <t>Key Inputs and Assumptions</t>
  </si>
  <si>
    <t>[g/Wp]</t>
  </si>
  <si>
    <t>Silicon Use</t>
  </si>
  <si>
    <t>Electricity</t>
  </si>
  <si>
    <t xml:space="preserve">Cell </t>
  </si>
  <si>
    <t>[kWh/kg]</t>
  </si>
  <si>
    <t>Wafer Electricity Cost</t>
  </si>
  <si>
    <t>Total Energy Cost</t>
  </si>
  <si>
    <t>Cell Electricity Cost</t>
  </si>
  <si>
    <t>NA</t>
  </si>
  <si>
    <t>Wafering Yield</t>
  </si>
  <si>
    <t>Cell Process Yield</t>
  </si>
  <si>
    <t>Module Process Yield</t>
  </si>
  <si>
    <t>Maintenance</t>
  </si>
  <si>
    <t>Reference Module Efficiency</t>
  </si>
  <si>
    <t>[yrs]</t>
  </si>
  <si>
    <t>Payment [$/yr]</t>
  </si>
  <si>
    <t>Module Electricity Cost</t>
  </si>
  <si>
    <t>Silicon Use [g/Wp]</t>
  </si>
  <si>
    <t>Results Summary</t>
  </si>
  <si>
    <t>Model Description</t>
  </si>
  <si>
    <t>Cost Category</t>
  </si>
  <si>
    <t xml:space="preserve">Percentage of initial capital investment spent per year on maintenance </t>
  </si>
  <si>
    <r>
      <t>Cell Thickness [</t>
    </r>
    <r>
      <rPr>
        <sz val="11"/>
        <color theme="1"/>
        <rFont val="Calibri"/>
        <family val="2"/>
      </rPr>
      <t>μ</t>
    </r>
    <r>
      <rPr>
        <sz val="11"/>
        <color theme="1"/>
        <rFont val="Calibri"/>
        <family val="2"/>
        <scheme val="minor"/>
      </rPr>
      <t>m]</t>
    </r>
  </si>
  <si>
    <t>Electricity Cost [$/kWh]</t>
  </si>
  <si>
    <t>Silicon price, wafer thickness, wafering yield, mechanical yields, module efficiency</t>
  </si>
  <si>
    <t>Number of employees required per MW/yr of production for wafer, cell, and module steps at reference module efficiency, module efficiency</t>
  </si>
  <si>
    <t>Investment for wafer, cell, and module steps at reference plant size and module efficiency, financing rate and term, plant lifetime, module efficiency</t>
  </si>
  <si>
    <t>Amount of electricity kWh/kg for ingot solidification and kWh/W at reference cell efficiency for wafer slicing, cell, and module steps, module efficiency</t>
  </si>
  <si>
    <t>Bottom</t>
  </si>
  <si>
    <t>Delta</t>
  </si>
  <si>
    <t>2020 Adv. Concept</t>
  </si>
  <si>
    <t>Chemicals</t>
  </si>
  <si>
    <t>2020 LOS</t>
  </si>
  <si>
    <t>Waterfall Bars</t>
  </si>
  <si>
    <t>High</t>
  </si>
  <si>
    <t>Low</t>
  </si>
  <si>
    <t>[g/cell]</t>
  </si>
  <si>
    <t>Cost of Metal Paste</t>
  </si>
  <si>
    <t>Backsheet</t>
  </si>
  <si>
    <t>Shipping</t>
  </si>
  <si>
    <t>Depreciation</t>
  </si>
  <si>
    <t>Ingot</t>
  </si>
  <si>
    <t>Percent</t>
  </si>
  <si>
    <t>Cardboard cost</t>
  </si>
  <si>
    <t>Area Utilization</t>
  </si>
  <si>
    <t>Number of Cells per Module</t>
  </si>
  <si>
    <t>[m^2/module]</t>
  </si>
  <si>
    <t>[cells/module]</t>
  </si>
  <si>
    <t>Power Out Per Module</t>
  </si>
  <si>
    <t>[$/Module]</t>
  </si>
  <si>
    <t>Cost of Packaging</t>
  </si>
  <si>
    <t>[W/container]</t>
  </si>
  <si>
    <t>Wafering Need at Ref Efficiency</t>
  </si>
  <si>
    <t>Cell Need at Ref Efficiency</t>
  </si>
  <si>
    <t>Module Need at Ref Efficiency</t>
  </si>
  <si>
    <t>Screen Prints per cell</t>
  </si>
  <si>
    <t>Lifetime of Screen</t>
  </si>
  <si>
    <t>[prints]</t>
  </si>
  <si>
    <t>Cost of Screen</t>
  </si>
  <si>
    <t>[prints/cell]</t>
  </si>
  <si>
    <t>Contract Silicon Price</t>
  </si>
  <si>
    <t>Loan Period</t>
  </si>
  <si>
    <t>[yr]</t>
  </si>
  <si>
    <t>Cost of Silver Paste</t>
  </si>
  <si>
    <t>Silver Paste utilization</t>
  </si>
  <si>
    <t>Cost of Al Paste</t>
  </si>
  <si>
    <t>Al Paste utilization</t>
  </si>
  <si>
    <t>Amount of aluminum and silver paste used per cell.  Cost of aluminum and silver paste.</t>
  </si>
  <si>
    <t>Total Investment [$]</t>
  </si>
  <si>
    <t>Equipment Payment [$/yr]</t>
  </si>
  <si>
    <t>Facility Payment [$/yr]</t>
  </si>
  <si>
    <t>Series</t>
  </si>
  <si>
    <t>Label</t>
  </si>
  <si>
    <r>
      <t>[</t>
    </r>
    <r>
      <rPr>
        <sz val="11"/>
        <color theme="1"/>
        <rFont val="Calibri"/>
        <family val="2"/>
      </rPr>
      <t>μ</t>
    </r>
    <r>
      <rPr>
        <sz val="11"/>
        <color theme="1"/>
        <rFont val="Calibri"/>
        <family val="2"/>
        <scheme val="minor"/>
      </rPr>
      <t>m]</t>
    </r>
  </si>
  <si>
    <t>Innovation Cost Waterfall</t>
  </si>
  <si>
    <t>NOL [$]</t>
  </si>
  <si>
    <t>NOL Remaining [$]</t>
  </si>
  <si>
    <t>NOL Used [$]</t>
  </si>
  <si>
    <t>Minimum Sustainable Price</t>
  </si>
  <si>
    <t>Revenue [$]</t>
  </si>
  <si>
    <t>Operating Income [$]</t>
  </si>
  <si>
    <t>Operating Expenses [$]</t>
  </si>
  <si>
    <t>Gross Profit [$]</t>
  </si>
  <si>
    <t>Facility Depreciation Period</t>
  </si>
  <si>
    <t>R&amp;D</t>
  </si>
  <si>
    <t>IRR</t>
  </si>
  <si>
    <t>Price Error Bars</t>
  </si>
  <si>
    <t>[% of Revenue]</t>
  </si>
  <si>
    <t>MIT Photovoltaic Research Laboratory</t>
  </si>
  <si>
    <t>[$/Wp]</t>
  </si>
  <si>
    <t>[$/kWh]</t>
  </si>
  <si>
    <t>Cell Equipment Depreciation Period</t>
  </si>
  <si>
    <t>Module Equipment Depreciation Period</t>
  </si>
  <si>
    <t>Ingot Equipment Depreciation Period</t>
  </si>
  <si>
    <t>Wafer Equipment Depreciation Period</t>
  </si>
  <si>
    <t>Module Materials</t>
  </si>
  <si>
    <t>SG&amp;A</t>
  </si>
  <si>
    <t>Total Investment</t>
  </si>
  <si>
    <t>Shipment</t>
  </si>
  <si>
    <t>Effective Tax Rate</t>
  </si>
  <si>
    <t>Manufacturing Cost Breakdown</t>
  </si>
  <si>
    <t>Manufacturing Cost Calculations</t>
  </si>
  <si>
    <t>Capex Multiplier</t>
  </si>
  <si>
    <t>[months]</t>
  </si>
  <si>
    <t>Net Working Capital</t>
  </si>
  <si>
    <t>WACC</t>
  </si>
  <si>
    <t>Tax [$]</t>
  </si>
  <si>
    <t>Change in NWC [$]</t>
  </si>
  <si>
    <t>NWC [$]</t>
  </si>
  <si>
    <t>NPV for Firm</t>
  </si>
  <si>
    <t>Cost [$/m^2]</t>
  </si>
  <si>
    <t>Cost [$/module]</t>
  </si>
  <si>
    <t>Cost [$/m]</t>
  </si>
  <si>
    <t>Screen Printing</t>
  </si>
  <si>
    <t>Minimum Sustainable Price Calculations</t>
  </si>
  <si>
    <t>Incremental Cash Flow [$]</t>
  </si>
  <si>
    <t>Top Level Outputs</t>
  </si>
  <si>
    <t>Module Power</t>
  </si>
  <si>
    <t>Expected Cost Inflation</t>
  </si>
  <si>
    <t>Expected Price Inflation</t>
  </si>
  <si>
    <t>Detailed Outputs</t>
  </si>
  <si>
    <t>Summary Outputs</t>
  </si>
  <si>
    <t>Cost [$/Wp]</t>
  </si>
  <si>
    <t>Adder [$/Wp]</t>
  </si>
  <si>
    <t>Allotment [$/Wp]</t>
  </si>
  <si>
    <t>[Wp/module]</t>
  </si>
  <si>
    <t>Payment [$/Wp]</t>
  </si>
  <si>
    <t>Total [$/Wp]</t>
  </si>
  <si>
    <t>Line-of-Sight</t>
  </si>
  <si>
    <t>Adv. Concept</t>
  </si>
  <si>
    <t>Standard mc-Si</t>
  </si>
  <si>
    <t>Shipping Costs [$/container]</t>
  </si>
  <si>
    <t>Material Utilization [-]</t>
  </si>
  <si>
    <t>Minimum Sustainable Price [$/Wp]</t>
  </si>
  <si>
    <t>Material Utilization</t>
  </si>
  <si>
    <t>[m^2/hr]</t>
  </si>
  <si>
    <t>Uptime</t>
  </si>
  <si>
    <t>Maximum Reference Plant Output</t>
  </si>
  <si>
    <t>Module output per m^2</t>
  </si>
  <si>
    <t>Maximum Module Output per hour</t>
  </si>
  <si>
    <t>[Wp/m^2]</t>
  </si>
  <si>
    <t>[Wp/hr]</t>
  </si>
  <si>
    <t>Adjusted Module Output per hour</t>
  </si>
  <si>
    <t>Total Yield</t>
  </si>
  <si>
    <t>Adjusted Module Output per year</t>
  </si>
  <si>
    <t>[technician/shift]</t>
  </si>
  <si>
    <t>[supervisors/shift]</t>
  </si>
  <si>
    <t>Operator Wage</t>
  </si>
  <si>
    <t>Technician Wage</t>
  </si>
  <si>
    <t>Supervisor Wage</t>
  </si>
  <si>
    <t>Employee Cost Multiplier</t>
  </si>
  <si>
    <t>Labor Cost [$/Wp]</t>
  </si>
  <si>
    <t>[shift employee/MW/yr]</t>
  </si>
  <si>
    <t>[all shifts employee/MW/yr]</t>
  </si>
  <si>
    <t>Labor Content [employees/MW/yr]</t>
  </si>
  <si>
    <t>Ingot Mass</t>
  </si>
  <si>
    <t>[kg]</t>
  </si>
  <si>
    <t>Crucible Cost</t>
  </si>
  <si>
    <t>Crucible</t>
  </si>
  <si>
    <t>Wire</t>
  </si>
  <si>
    <t>Slurry</t>
  </si>
  <si>
    <t>[operator/shift]</t>
  </si>
  <si>
    <t>[$/km]</t>
  </si>
  <si>
    <t>Wire Cost</t>
  </si>
  <si>
    <t>Wire Speed</t>
  </si>
  <si>
    <t>[m/s]</t>
  </si>
  <si>
    <r>
      <t>[</t>
    </r>
    <r>
      <rPr>
        <sz val="11"/>
        <color theme="1"/>
        <rFont val="Calibri"/>
        <family val="2"/>
      </rPr>
      <t>μ</t>
    </r>
    <r>
      <rPr>
        <sz val="11"/>
        <color theme="1"/>
        <rFont val="Calibri"/>
        <family val="2"/>
        <scheme val="minor"/>
      </rPr>
      <t>m/min]</t>
    </r>
  </si>
  <si>
    <t>Table Speed</t>
  </si>
  <si>
    <t>[m]</t>
  </si>
  <si>
    <t>[hr]</t>
  </si>
  <si>
    <t>Load Length</t>
  </si>
  <si>
    <t>[μm]</t>
  </si>
  <si>
    <t>Kerf Loss per Wire</t>
  </si>
  <si>
    <t>Time to Cut Ingot</t>
  </si>
  <si>
    <t>Wafers Per Run</t>
  </si>
  <si>
    <t>[wafers]</t>
  </si>
  <si>
    <t>Wire Cost per Ingot</t>
  </si>
  <si>
    <t>[$/wafer]</t>
  </si>
  <si>
    <t>Wire consumed per Wafer</t>
  </si>
  <si>
    <t>[m/wafer]</t>
  </si>
  <si>
    <t>Equipment percentage of initial investment</t>
  </si>
  <si>
    <t>Building percentage of initial investment</t>
  </si>
  <si>
    <t>Capital Cost [$/Wp/yr]</t>
  </si>
  <si>
    <t>Facility Investment [$/Wp/yr]</t>
  </si>
  <si>
    <t>Equipment Investment [$/Wp/yr]</t>
  </si>
  <si>
    <t>Total [$/Wp/yr]</t>
  </si>
  <si>
    <t>[kWh/Wp]</t>
  </si>
  <si>
    <t>Ingot Solidification Need</t>
  </si>
  <si>
    <t>Manufacturing Cost</t>
  </si>
  <si>
    <t>Selling Price</t>
  </si>
  <si>
    <t>Direct Materials</t>
  </si>
  <si>
    <t>Direct Labor</t>
  </si>
  <si>
    <t>Interest Expense</t>
  </si>
  <si>
    <t>Income Tax</t>
  </si>
  <si>
    <t>Income Statements</t>
  </si>
  <si>
    <t>Operating Expense</t>
  </si>
  <si>
    <t>Non-Depreciation COGS [$]</t>
  </si>
  <si>
    <t xml:space="preserve">Depreciation </t>
  </si>
  <si>
    <t>Cost Basis</t>
  </si>
  <si>
    <t xml:space="preserve">Percentage of </t>
  </si>
  <si>
    <t>Cost of Goods Sold</t>
  </si>
  <si>
    <t>All Expenses</t>
  </si>
  <si>
    <t>Profit Margin Ratio</t>
  </si>
  <si>
    <t>Total Cost</t>
  </si>
  <si>
    <t>Cost Error Bars</t>
  </si>
  <si>
    <t>Step 1</t>
  </si>
  <si>
    <t>Efficiency to 20.5</t>
  </si>
  <si>
    <t>Step 2</t>
  </si>
  <si>
    <t>Wafer to 50 um, material utilization to .9</t>
  </si>
  <si>
    <t>Silicon Savings</t>
  </si>
  <si>
    <t>[$/ingot]</t>
  </si>
  <si>
    <t>[kg/wafer]</t>
  </si>
  <si>
    <t>Slurry Cost</t>
  </si>
  <si>
    <t>Slurry Consumption</t>
  </si>
  <si>
    <t>Ingot mass, module efficiency</t>
  </si>
  <si>
    <t>Wire cost, wire speed, table speed, load length, kerf loss, module efficiency.</t>
  </si>
  <si>
    <t>Slurry consumption, slurry cost, module efficiency</t>
  </si>
  <si>
    <t>Summary of cost categories</t>
  </si>
  <si>
    <t>Shipping rate, module efficiency, number of modules per pallet</t>
  </si>
  <si>
    <t>Ingot Equipment Investment</t>
  </si>
  <si>
    <t>Ingot Facility Investment</t>
  </si>
  <si>
    <t>Wafer Equipment Investment</t>
  </si>
  <si>
    <t>Wafer Facility Investment</t>
  </si>
  <si>
    <t>Cell Equipment Investment</t>
  </si>
  <si>
    <t>Cell Facility Investment</t>
  </si>
  <si>
    <t>Module Equipment Investment</t>
  </si>
  <si>
    <t>Module Facility Investment</t>
  </si>
  <si>
    <t>MSP in Year 1</t>
  </si>
  <si>
    <t>Profit Margin Ratio Year 1</t>
  </si>
  <si>
    <t>Multiplier</t>
  </si>
  <si>
    <t>Manufacturing Cost [$/Wp]</t>
  </si>
  <si>
    <t>Capital Investment [$]</t>
  </si>
  <si>
    <t>Ingot Solidification Electricity Cost</t>
  </si>
  <si>
    <t>Allotment Specific Adder [$/Wp]</t>
  </si>
  <si>
    <t>Crystalline Silicon Solar Module Cost and Price Model</t>
  </si>
  <si>
    <t>Variable Costs</t>
  </si>
  <si>
    <t>Cost of Ni/Cu material</t>
  </si>
  <si>
    <t>Ni/Cu material utilization</t>
  </si>
  <si>
    <t>Glass cost, module efficiency</t>
  </si>
  <si>
    <t>Frame cost, module efficiency</t>
  </si>
  <si>
    <t>Encapsulant cost, module efficiency</t>
  </si>
  <si>
    <t>Junction box and cable cost, module efficiency</t>
  </si>
  <si>
    <t>Chemical cost, module efficiency.</t>
  </si>
  <si>
    <t>Ribbon cost, module efficiency</t>
  </si>
  <si>
    <t>Backsheet cost, module efficiency</t>
  </si>
  <si>
    <t>Screen cost, screen lifetime, module efficiency</t>
  </si>
  <si>
    <t>Calculates cost of screens</t>
  </si>
  <si>
    <t>Calculates total wattage of panels that can be placed in a container.  Then calculates cost</t>
  </si>
  <si>
    <t>Calculate cost of boxing and wrapping</t>
  </si>
  <si>
    <t>Calculates cost of tabbing ribbon</t>
  </si>
  <si>
    <t>Calculate cost of backsheet</t>
  </si>
  <si>
    <t>Calculates cost of chemicals</t>
  </si>
  <si>
    <t>Calculates cost of junction boxes and cables</t>
  </si>
  <si>
    <t>Calculates cost of cell encapsulants</t>
  </si>
  <si>
    <t>Calculates cost of module frames</t>
  </si>
  <si>
    <t>Calculates cost of glass</t>
  </si>
  <si>
    <t>Calculates amount of slurry consumed and cost</t>
  </si>
  <si>
    <t>Calculates amount of wire consumed and cost</t>
  </si>
  <si>
    <t>Calculates cost of crucible based on mass and then cost</t>
  </si>
  <si>
    <t>Calculates cost of metal paste based on amount of aluminum and silver paste used and their respective costs</t>
  </si>
  <si>
    <t>Calculates yearly maintenance costs and amortizes them onto product cost</t>
  </si>
  <si>
    <t>Depreciates equipment investment and building, and amortizes this cost onto production</t>
  </si>
  <si>
    <t>Calculates kg silicon per cell based on wafer thickness, wafering yield, and manufacturing mechanical yield, then calculates cost</t>
  </si>
  <si>
    <t>Calculates amount of worker hours for wafer, cell, and module production steps, then calculates cost</t>
  </si>
  <si>
    <t>Calculates total amount of electricity used for wafer, cell, and module production steps, then calculates cost</t>
  </si>
  <si>
    <t>Waterfall</t>
  </si>
  <si>
    <t>Fixed Cost [$/W/yr]</t>
  </si>
  <si>
    <t>Fixed Cost [$/m^2/yr]</t>
  </si>
  <si>
    <t>Variable Cost [$/m^2]</t>
  </si>
  <si>
    <t>Module Efficiency [$]</t>
  </si>
  <si>
    <t>Operator Wage [$/hr]</t>
  </si>
  <si>
    <t>Technician Wage [$/hr]</t>
  </si>
  <si>
    <t>Supervisor Wage [$/hr]</t>
  </si>
  <si>
    <t>Employee Cost Multiplier [-]</t>
  </si>
  <si>
    <t>Variable Cost Multiplier</t>
  </si>
  <si>
    <t>Target Fixed Costs [$/Wp/yr]</t>
  </si>
  <si>
    <t>Target Module Price [$/W]</t>
  </si>
  <si>
    <t>Std. mc-Si</t>
  </si>
  <si>
    <t>Total Labor Cost [$/hr]</t>
  </si>
  <si>
    <r>
      <t>[</t>
    </r>
    <r>
      <rPr>
        <sz val="11"/>
        <color theme="1"/>
        <rFont val="Calibri"/>
        <family val="2"/>
        <scheme val="minor"/>
      </rPr>
      <t>μm]</t>
    </r>
  </si>
  <si>
    <r>
      <t>Cost [$/m</t>
    </r>
    <r>
      <rPr>
        <b/>
        <vertAlign val="superscript"/>
        <sz val="11"/>
        <color theme="1"/>
        <rFont val="Calibri"/>
        <family val="2"/>
        <scheme val="minor"/>
      </rPr>
      <t>2</t>
    </r>
    <r>
      <rPr>
        <b/>
        <sz val="11"/>
        <color theme="1"/>
        <rFont val="Calibri"/>
        <family val="2"/>
        <scheme val="minor"/>
      </rPr>
      <t>]</t>
    </r>
  </si>
  <si>
    <t>Ratio of packaging to backsheet cost</t>
  </si>
  <si>
    <r>
      <t>Manufacturing Cost [$/m</t>
    </r>
    <r>
      <rPr>
        <b/>
        <vertAlign val="superscript"/>
        <sz val="11"/>
        <color theme="1"/>
        <rFont val="Calibri"/>
        <family val="2"/>
        <scheme val="minor"/>
      </rPr>
      <t>2</t>
    </r>
    <r>
      <rPr>
        <b/>
        <sz val="11"/>
        <color theme="1"/>
        <rFont val="Calibri"/>
        <family val="2"/>
        <scheme val="minor"/>
      </rPr>
      <t>]</t>
    </r>
  </si>
  <si>
    <r>
      <t>Minimum Sustainable Price [$/m</t>
    </r>
    <r>
      <rPr>
        <b/>
        <vertAlign val="superscript"/>
        <sz val="11"/>
        <color theme="1"/>
        <rFont val="Calibri"/>
        <family val="2"/>
        <scheme val="minor"/>
      </rPr>
      <t>2</t>
    </r>
  </si>
  <si>
    <t>[$/m2]</t>
  </si>
  <si>
    <r>
      <t>[$/m</t>
    </r>
    <r>
      <rPr>
        <vertAlign val="superscript"/>
        <sz val="11"/>
        <color theme="1"/>
        <rFont val="Calibri"/>
        <family val="2"/>
        <scheme val="minor"/>
      </rPr>
      <t>2</t>
    </r>
    <r>
      <rPr>
        <sz val="11"/>
        <color theme="1"/>
        <rFont val="Calibri"/>
        <family val="2"/>
        <scheme val="minor"/>
      </rPr>
      <t>]</t>
    </r>
  </si>
  <si>
    <t>IN</t>
  </si>
  <si>
    <t>Out</t>
  </si>
  <si>
    <t>Total in 7 Years</t>
  </si>
  <si>
    <t xml:space="preserve">Profit </t>
  </si>
  <si>
    <t>Yield from this step on</t>
  </si>
  <si>
    <t>Wire Cost per wafer</t>
  </si>
  <si>
    <t>Slurry Cost per wafer</t>
  </si>
  <si>
    <t>Yield from Step</t>
  </si>
  <si>
    <t>Cost of Metal Paste at 100% yield</t>
  </si>
  <si>
    <t>Cost of Packaging at 100% yield</t>
  </si>
  <si>
    <t>At 100% yield [$/Wp]</t>
  </si>
  <si>
    <t>Cost per Wafer at 100% yield</t>
  </si>
  <si>
    <t>Crucibles Cost at 100% yield</t>
  </si>
  <si>
    <t>Dollars per Cell at 100% yield</t>
  </si>
  <si>
    <t>Mass of Si per Cell at 100% yield</t>
  </si>
  <si>
    <t>Cost of Screen at 100% yield</t>
  </si>
  <si>
    <t>At 100% Yield Cost [$/Wp]</t>
  </si>
  <si>
    <t>Cost of Al Paste at 100% yield</t>
  </si>
  <si>
    <t>Cost of Ni/Cu metallization at 100% yield</t>
  </si>
  <si>
    <t>Breakdown in Year 1</t>
  </si>
  <si>
    <t>Manufacturing</t>
  </si>
  <si>
    <t>Year 1</t>
  </si>
  <si>
    <t>Estimate for waterfall step 1</t>
  </si>
  <si>
    <t>Estimate for waterfall step 2</t>
  </si>
  <si>
    <t>Parameter Map for Target Price</t>
  </si>
  <si>
    <t>DATA FOR PLOT</t>
  </si>
  <si>
    <t>Scenario</t>
  </si>
  <si>
    <t>Calculations</t>
  </si>
  <si>
    <t>MODELED SCENARIOS</t>
  </si>
  <si>
    <t>Cost of Debt</t>
  </si>
  <si>
    <t>Percent Debt / Project Leverage</t>
  </si>
  <si>
    <t>Fixed Maintenance</t>
  </si>
  <si>
    <t>Equipment MACRS Depreciation Factor</t>
  </si>
  <si>
    <t>Equipment Depreciation [$]</t>
  </si>
  <si>
    <t>Facility Depreciation Factor</t>
  </si>
  <si>
    <t>Facility Depreciation [$]</t>
  </si>
  <si>
    <t>Equipment Investment</t>
  </si>
  <si>
    <t>Facility Investment</t>
  </si>
  <si>
    <t>Salvage Book Value [$]</t>
  </si>
  <si>
    <t>Gain on Salvage [$]</t>
  </si>
  <si>
    <t>Salvage of Facility [$]</t>
  </si>
  <si>
    <t>Depreciation Period for Equipment</t>
  </si>
  <si>
    <t>Depreciation Period for Facility</t>
  </si>
  <si>
    <t>MSP in Year 0</t>
  </si>
  <si>
    <t>MSP [$/Wp]</t>
  </si>
  <si>
    <t>Non-Depreciation COGS [$/Wp]</t>
  </si>
  <si>
    <t xml:space="preserve">Step 3 </t>
  </si>
  <si>
    <t>Shift ingot cost into wafer</t>
  </si>
  <si>
    <t>Remove crucible, wire, slurry, ingot labor, and screens</t>
  </si>
  <si>
    <t>Year 7</t>
  </si>
  <si>
    <t>Year 1 and 7 Accelerated Depreciation Cost Structure Instead of Straight Line</t>
  </si>
  <si>
    <t>This increases depreciation as wafer is 7 yr vs. ingot 10 yr</t>
  </si>
  <si>
    <t>Fixed Payment [$/yr]</t>
  </si>
  <si>
    <t>Gross Profit Rate</t>
  </si>
  <si>
    <t>Jan 2013</t>
  </si>
  <si>
    <t>Gross Profit Rate Year 1</t>
  </si>
  <si>
    <t>Will match advanced concept scenario</t>
  </si>
  <si>
    <t>Estimate for standard mc-Si scenario with U.S. manufacturing</t>
  </si>
  <si>
    <t>Estimate for advanced concept scenario with U.S. manufacturing</t>
  </si>
  <si>
    <t>Estimate for line-of-sight scenario with U.S. manufacturing</t>
  </si>
  <si>
    <t>Top Level Cost Inputs</t>
  </si>
  <si>
    <t>Area of Module</t>
  </si>
  <si>
    <t>[$/screen]</t>
  </si>
  <si>
    <t>Year 1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</si>
</sst>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4" formatCode="_(&quot;$&quot;* #,##0.00_);_(&quot;$&quot;* \(#,##0.00\);_(&quot;$&quot;* &quot;-&quot;??_);_(@_)"/>
    <numFmt numFmtId="164" formatCode="0.000"/>
    <numFmt numFmtId="165" formatCode="0.00000000000000"/>
    <numFmt numFmtId="166" formatCode="0.0000000000000000"/>
    <numFmt numFmtId="167" formatCode="0.0%"/>
    <numFmt numFmtId="168" formatCode="#,##0.0"/>
    <numFmt numFmtId="169" formatCode="#,##0.000"/>
    <numFmt numFmtId="170" formatCode="0.00000"/>
    <numFmt numFmtId="171" formatCode="#,##0.0000"/>
    <numFmt numFmtId="172" formatCode="0.0"/>
    <numFmt numFmtId="173" formatCode="#,##0.00000000000000"/>
    <numFmt numFmtId="174" formatCode="0.0000"/>
  </numFmts>
  <fonts count="24" x14ac:knownFonts="1">
    <font>
      <sz val="11"/>
      <color theme="1"/>
      <name val="Calibri"/>
      <family val="2"/>
      <scheme val="minor"/>
    </font>
    <font>
      <b/>
      <sz val="11"/>
      <color theme="1"/>
      <name val="Calibri"/>
      <family val="2"/>
      <scheme val="minor"/>
    </font>
    <font>
      <u/>
      <sz val="11"/>
      <color theme="10"/>
      <name val="Calibri"/>
      <family val="2"/>
    </font>
    <font>
      <sz val="9"/>
      <color indexed="81"/>
      <name val="Tahoma"/>
      <family val="2"/>
    </font>
    <font>
      <b/>
      <sz val="9"/>
      <color indexed="81"/>
      <name val="Tahoma"/>
      <family val="2"/>
    </font>
    <font>
      <b/>
      <sz val="20"/>
      <color theme="1"/>
      <name val="Calibri"/>
      <family val="2"/>
      <scheme val="minor"/>
    </font>
    <font>
      <b/>
      <sz val="22"/>
      <color theme="1"/>
      <name val="Calibri"/>
      <family val="2"/>
      <scheme val="minor"/>
    </font>
    <font>
      <b/>
      <sz val="24"/>
      <color theme="1"/>
      <name val="Calibri"/>
      <family val="2"/>
      <scheme val="minor"/>
    </font>
    <font>
      <b/>
      <sz val="16"/>
      <color theme="1"/>
      <name val="Calibri"/>
      <family val="2"/>
      <scheme val="minor"/>
    </font>
    <font>
      <sz val="11"/>
      <name val="Calibri"/>
      <family val="2"/>
      <scheme val="minor"/>
    </font>
    <font>
      <sz val="11"/>
      <color theme="0" tint="-0.34998626667073579"/>
      <name val="Calibri"/>
      <family val="2"/>
      <scheme val="minor"/>
    </font>
    <font>
      <b/>
      <sz val="11"/>
      <name val="Calibri"/>
      <family val="2"/>
      <scheme val="minor"/>
    </font>
    <font>
      <vertAlign val="superscript"/>
      <sz val="11"/>
      <color theme="1"/>
      <name val="Calibri"/>
      <family val="2"/>
      <scheme val="minor"/>
    </font>
    <font>
      <sz val="11"/>
      <color theme="1"/>
      <name val="Calibri"/>
      <family val="2"/>
    </font>
    <font>
      <sz val="12"/>
      <color theme="1"/>
      <name val="Times New Roman"/>
      <family val="1"/>
    </font>
    <font>
      <sz val="11"/>
      <color theme="1"/>
      <name val="Calibri"/>
      <family val="2"/>
      <scheme val="minor"/>
    </font>
    <font>
      <sz val="8"/>
      <color rgb="FF000000"/>
      <name val="Arial"/>
      <family val="2"/>
    </font>
    <font>
      <b/>
      <sz val="11"/>
      <color rgb="FF000000"/>
      <name val="Calibri"/>
      <family val="2"/>
      <scheme val="minor"/>
    </font>
    <font>
      <sz val="11"/>
      <color theme="0" tint="-0.499984740745262"/>
      <name val="Calibri"/>
      <family val="2"/>
      <scheme val="minor"/>
    </font>
    <font>
      <sz val="10"/>
      <name val="Verdana"/>
      <family val="2"/>
    </font>
    <font>
      <sz val="11"/>
      <color rgb="FF9C6500"/>
      <name val="Calibri"/>
      <family val="2"/>
      <scheme val="minor"/>
    </font>
    <font>
      <sz val="9"/>
      <color indexed="81"/>
      <name val="Calibri"/>
      <family val="2"/>
    </font>
    <font>
      <sz val="11"/>
      <color theme="0"/>
      <name val="Calibri"/>
      <family val="2"/>
      <scheme val="minor"/>
    </font>
    <font>
      <b/>
      <vertAlign val="superscript"/>
      <sz val="11"/>
      <color theme="1"/>
      <name val="Calibri"/>
      <family val="2"/>
      <scheme val="minor"/>
    </font>
  </fonts>
  <fills count="22">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FFEB9C"/>
      </patternFill>
    </fill>
    <fill>
      <patternFill patternType="solid">
        <fgColor theme="9"/>
        <bgColor indexed="64"/>
      </patternFill>
    </fill>
    <fill>
      <patternFill patternType="solid">
        <fgColor rgb="FF2F70BF"/>
        <bgColor indexed="64"/>
      </patternFill>
    </fill>
    <fill>
      <patternFill patternType="solid">
        <fgColor theme="5" tint="0.59999389629810485"/>
        <bgColor indexed="64"/>
      </patternFill>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s>
  <cellStyleXfs count="4">
    <xf numFmtId="0" fontId="0" fillId="0" borderId="0"/>
    <xf numFmtId="0" fontId="2" fillId="0" borderId="0" applyNumberFormat="0" applyFill="0" applyBorder="0" applyAlignment="0" applyProtection="0">
      <alignment vertical="top"/>
      <protection locked="0"/>
    </xf>
    <xf numFmtId="44" fontId="15" fillId="0" borderId="0" applyFont="0" applyFill="0" applyBorder="0" applyAlignment="0" applyProtection="0"/>
    <xf numFmtId="0" fontId="20" fillId="18" borderId="0" applyNumberFormat="0" applyBorder="0" applyAlignment="0" applyProtection="0"/>
  </cellStyleXfs>
  <cellXfs count="1072">
    <xf numFmtId="0" fontId="0" fillId="0" borderId="0" xfId="0"/>
    <xf numFmtId="0" fontId="2" fillId="0" borderId="0" xfId="1" applyAlignment="1" applyProtection="1"/>
    <xf numFmtId="164" fontId="0" fillId="0" borderId="0" xfId="0" applyNumberFormat="1"/>
    <xf numFmtId="0" fontId="0" fillId="0" borderId="0" xfId="0" applyFill="1"/>
    <xf numFmtId="0" fontId="0" fillId="0" borderId="0" xfId="0"/>
    <xf numFmtId="0" fontId="1" fillId="0" borderId="0" xfId="0" applyFont="1" applyBorder="1"/>
    <xf numFmtId="0" fontId="0" fillId="0" borderId="0" xfId="0"/>
    <xf numFmtId="0" fontId="1" fillId="0" borderId="0" xfId="0" applyFont="1"/>
    <xf numFmtId="164" fontId="0" fillId="0" borderId="0" xfId="0" applyNumberFormat="1" applyBorder="1"/>
    <xf numFmtId="0" fontId="0" fillId="0" borderId="0" xfId="0" applyFill="1" applyBorder="1"/>
    <xf numFmtId="164" fontId="0" fillId="0" borderId="13" xfId="0" applyNumberFormat="1" applyBorder="1"/>
    <xf numFmtId="0" fontId="0" fillId="0" borderId="14" xfId="0" applyFill="1" applyBorder="1"/>
    <xf numFmtId="0" fontId="1" fillId="0" borderId="1" xfId="0" applyFont="1" applyBorder="1"/>
    <xf numFmtId="0" fontId="5" fillId="0" borderId="0" xfId="0" applyFont="1"/>
    <xf numFmtId="0" fontId="0" fillId="0" borderId="0" xfId="0" quotePrefix="1"/>
    <xf numFmtId="0" fontId="1" fillId="0" borderId="18" xfId="0" applyFont="1" applyBorder="1" applyAlignment="1">
      <alignment horizontal="center"/>
    </xf>
    <xf numFmtId="0" fontId="0" fillId="0" borderId="9" xfId="0" applyFill="1" applyBorder="1"/>
    <xf numFmtId="164" fontId="0" fillId="0" borderId="18" xfId="0" applyNumberFormat="1" applyBorder="1"/>
    <xf numFmtId="164" fontId="0" fillId="0" borderId="10" xfId="0" applyNumberFormat="1" applyBorder="1"/>
    <xf numFmtId="0" fontId="0" fillId="0" borderId="0" xfId="0"/>
    <xf numFmtId="0" fontId="0" fillId="0" borderId="0" xfId="0" applyBorder="1"/>
    <xf numFmtId="0" fontId="0" fillId="0" borderId="6" xfId="0" applyBorder="1"/>
    <xf numFmtId="0" fontId="7" fillId="0" borderId="0" xfId="0" applyFont="1"/>
    <xf numFmtId="0" fontId="0" fillId="0" borderId="10" xfId="0" applyBorder="1"/>
    <xf numFmtId="0" fontId="0" fillId="0" borderId="16" xfId="0" applyBorder="1"/>
    <xf numFmtId="164" fontId="0" fillId="0" borderId="12" xfId="0" applyNumberFormat="1" applyBorder="1"/>
    <xf numFmtId="0" fontId="0" fillId="0" borderId="7" xfId="0" applyBorder="1" applyAlignment="1">
      <alignment horizontal="right"/>
    </xf>
    <xf numFmtId="0" fontId="1" fillId="0" borderId="7" xfId="0" applyFont="1" applyBorder="1" applyAlignment="1">
      <alignment horizontal="right"/>
    </xf>
    <xf numFmtId="0" fontId="0" fillId="0" borderId="0" xfId="0" applyFont="1" applyBorder="1"/>
    <xf numFmtId="164" fontId="0" fillId="0" borderId="1" xfId="0" applyNumberFormat="1" applyBorder="1"/>
    <xf numFmtId="164" fontId="0" fillId="0" borderId="3" xfId="0" applyNumberFormat="1" applyBorder="1"/>
    <xf numFmtId="0" fontId="1" fillId="14" borderId="18" xfId="0" applyFont="1" applyFill="1" applyBorder="1" applyAlignment="1">
      <alignment horizontal="center"/>
    </xf>
    <xf numFmtId="0" fontId="0" fillId="14" borderId="0" xfId="0" applyFill="1"/>
    <xf numFmtId="0" fontId="0" fillId="14" borderId="36" xfId="0" applyFill="1" applyBorder="1" applyAlignment="1">
      <alignment vertical="top" wrapText="1"/>
    </xf>
    <xf numFmtId="0" fontId="0" fillId="14" borderId="36" xfId="0" applyFont="1" applyFill="1" applyBorder="1" applyAlignment="1">
      <alignment vertical="top" wrapText="1"/>
    </xf>
    <xf numFmtId="0" fontId="0" fillId="14" borderId="38" xfId="0" applyFont="1" applyFill="1" applyBorder="1" applyAlignment="1">
      <alignment vertical="top" wrapText="1"/>
    </xf>
    <xf numFmtId="0" fontId="0" fillId="14" borderId="39" xfId="0" applyFont="1" applyFill="1" applyBorder="1" applyAlignment="1">
      <alignment vertical="top" wrapText="1"/>
    </xf>
    <xf numFmtId="0" fontId="0" fillId="14" borderId="0" xfId="0" applyFill="1" applyBorder="1"/>
    <xf numFmtId="164" fontId="1" fillId="0" borderId="0" xfId="0" applyNumberFormat="1" applyFont="1" applyBorder="1"/>
    <xf numFmtId="0" fontId="0" fillId="0" borderId="12" xfId="0" applyFill="1" applyBorder="1"/>
    <xf numFmtId="164" fontId="0" fillId="0" borderId="6" xfId="0" applyNumberFormat="1" applyBorder="1"/>
    <xf numFmtId="0" fontId="1" fillId="0" borderId="0" xfId="0" applyFont="1" applyAlignment="1">
      <alignment horizontal="right"/>
    </xf>
    <xf numFmtId="0" fontId="1" fillId="0" borderId="0" xfId="0" applyFont="1" applyFill="1" applyBorder="1" applyAlignment="1">
      <alignment horizontal="left"/>
    </xf>
    <xf numFmtId="0" fontId="0" fillId="0" borderId="30" xfId="0" applyBorder="1"/>
    <xf numFmtId="0" fontId="0" fillId="0" borderId="0" xfId="0"/>
    <xf numFmtId="164" fontId="0" fillId="0" borderId="0" xfId="0" applyNumberFormat="1"/>
    <xf numFmtId="0" fontId="0" fillId="0" borderId="7" xfId="0" applyBorder="1"/>
    <xf numFmtId="0" fontId="0" fillId="0" borderId="7" xfId="0" applyFill="1" applyBorder="1"/>
    <xf numFmtId="0" fontId="1" fillId="0" borderId="0" xfId="0" applyFont="1" applyFill="1" applyBorder="1"/>
    <xf numFmtId="0" fontId="0" fillId="0" borderId="0" xfId="0" applyFill="1"/>
    <xf numFmtId="164" fontId="0" fillId="0" borderId="0" xfId="0" applyNumberFormat="1" applyBorder="1"/>
    <xf numFmtId="0" fontId="0" fillId="0" borderId="0" xfId="0" applyFill="1" applyBorder="1"/>
    <xf numFmtId="0" fontId="0" fillId="0" borderId="14" xfId="0" applyFill="1" applyBorder="1"/>
    <xf numFmtId="0" fontId="0" fillId="0" borderId="4" xfId="0" applyFill="1" applyBorder="1"/>
    <xf numFmtId="0" fontId="0" fillId="0" borderId="17" xfId="0" applyBorder="1"/>
    <xf numFmtId="164" fontId="0" fillId="0" borderId="9" xfId="0" applyNumberFormat="1" applyBorder="1"/>
    <xf numFmtId="0" fontId="0" fillId="0" borderId="33" xfId="0" applyBorder="1"/>
    <xf numFmtId="0" fontId="0" fillId="0" borderId="0" xfId="0" applyBorder="1"/>
    <xf numFmtId="0" fontId="1" fillId="0" borderId="12" xfId="0" applyFont="1" applyBorder="1"/>
    <xf numFmtId="2" fontId="0" fillId="0" borderId="0" xfId="0" applyNumberFormat="1" applyBorder="1"/>
    <xf numFmtId="0" fontId="0" fillId="0" borderId="0" xfId="0" applyFont="1"/>
    <xf numFmtId="2" fontId="0" fillId="0" borderId="13" xfId="0" applyNumberFormat="1" applyBorder="1"/>
    <xf numFmtId="164" fontId="0" fillId="0" borderId="14" xfId="0" applyNumberFormat="1" applyBorder="1"/>
    <xf numFmtId="0" fontId="0" fillId="0" borderId="0" xfId="0" applyFont="1" applyBorder="1"/>
    <xf numFmtId="164" fontId="0" fillId="10" borderId="0" xfId="0" applyNumberFormat="1" applyFill="1" applyBorder="1"/>
    <xf numFmtId="0" fontId="0" fillId="10" borderId="9" xfId="0" applyFill="1" applyBorder="1"/>
    <xf numFmtId="0" fontId="1" fillId="10" borderId="32" xfId="0" applyFont="1" applyFill="1" applyBorder="1"/>
    <xf numFmtId="0" fontId="0" fillId="10" borderId="33" xfId="0" applyFill="1" applyBorder="1"/>
    <xf numFmtId="0" fontId="0" fillId="10" borderId="34" xfId="0" applyFill="1" applyBorder="1"/>
    <xf numFmtId="2" fontId="0" fillId="0" borderId="10" xfId="0" applyNumberFormat="1" applyFont="1" applyBorder="1"/>
    <xf numFmtId="2" fontId="0" fillId="0" borderId="12" xfId="0" applyNumberFormat="1" applyBorder="1"/>
    <xf numFmtId="2" fontId="0" fillId="0" borderId="14" xfId="0" applyNumberFormat="1" applyBorder="1"/>
    <xf numFmtId="164" fontId="0" fillId="0" borderId="9" xfId="0" applyNumberFormat="1" applyFont="1" applyBorder="1"/>
    <xf numFmtId="0" fontId="0" fillId="0" borderId="12" xfId="0" applyFill="1" applyBorder="1"/>
    <xf numFmtId="2" fontId="0" fillId="0" borderId="9" xfId="0" applyNumberFormat="1" applyFont="1" applyBorder="1"/>
    <xf numFmtId="0" fontId="1" fillId="14" borderId="0" xfId="0" applyFont="1" applyFill="1" applyBorder="1" applyAlignment="1">
      <alignment horizontal="center"/>
    </xf>
    <xf numFmtId="0" fontId="0" fillId="0" borderId="0" xfId="0" applyBorder="1" applyAlignment="1">
      <alignment horizontal="center"/>
    </xf>
    <xf numFmtId="0" fontId="0" fillId="14" borderId="38" xfId="0" applyFill="1" applyBorder="1" applyAlignment="1">
      <alignment vertical="top" wrapText="1"/>
    </xf>
    <xf numFmtId="0" fontId="0" fillId="14" borderId="0" xfId="0" applyFont="1" applyFill="1" applyBorder="1" applyAlignment="1">
      <alignment vertical="top" wrapText="1"/>
    </xf>
    <xf numFmtId="0" fontId="0" fillId="14" borderId="0" xfId="0" applyFill="1" applyBorder="1" applyAlignment="1">
      <alignment vertical="top" wrapText="1"/>
    </xf>
    <xf numFmtId="0" fontId="0" fillId="0" borderId="33" xfId="0" applyFill="1" applyBorder="1"/>
    <xf numFmtId="0" fontId="0" fillId="0" borderId="34" xfId="0" applyFill="1" applyBorder="1"/>
    <xf numFmtId="0" fontId="0" fillId="0" borderId="32" xfId="0" applyBorder="1"/>
    <xf numFmtId="0" fontId="0" fillId="0" borderId="1" xfId="0" applyBorder="1"/>
    <xf numFmtId="2" fontId="0" fillId="0" borderId="2" xfId="0" applyNumberFormat="1" applyBorder="1"/>
    <xf numFmtId="2" fontId="0" fillId="0" borderId="3" xfId="0" applyNumberFormat="1" applyBorder="1"/>
    <xf numFmtId="0" fontId="0" fillId="0" borderId="10" xfId="0" applyBorder="1" applyAlignment="1">
      <alignment horizontal="center"/>
    </xf>
    <xf numFmtId="0" fontId="0" fillId="0" borderId="9" xfId="0" applyBorder="1" applyAlignment="1">
      <alignment horizontal="center"/>
    </xf>
    <xf numFmtId="0" fontId="0" fillId="14" borderId="40" xfId="0" applyFill="1" applyBorder="1" applyAlignment="1">
      <alignment vertical="top" wrapText="1"/>
    </xf>
    <xf numFmtId="0" fontId="0" fillId="14" borderId="42" xfId="0" applyFont="1" applyFill="1" applyBorder="1" applyAlignment="1">
      <alignment vertical="top" wrapText="1"/>
    </xf>
    <xf numFmtId="0" fontId="0" fillId="14" borderId="43" xfId="0" applyFont="1" applyFill="1" applyBorder="1" applyAlignment="1">
      <alignment vertical="top" wrapText="1"/>
    </xf>
    <xf numFmtId="0" fontId="9" fillId="14" borderId="38" xfId="0" applyFont="1" applyFill="1" applyBorder="1" applyAlignment="1">
      <alignment vertical="top" wrapText="1"/>
    </xf>
    <xf numFmtId="0" fontId="0" fillId="14" borderId="41" xfId="0" applyFont="1" applyFill="1" applyBorder="1" applyAlignment="1">
      <alignment vertical="top" wrapText="1"/>
    </xf>
    <xf numFmtId="0" fontId="7" fillId="14" borderId="0" xfId="0" applyFont="1" applyFill="1"/>
    <xf numFmtId="0" fontId="8" fillId="14" borderId="0" xfId="0" applyFont="1" applyFill="1"/>
    <xf numFmtId="0" fontId="15" fillId="0" borderId="0" xfId="0" applyFont="1"/>
    <xf numFmtId="0" fontId="0" fillId="0" borderId="0" xfId="0"/>
    <xf numFmtId="2" fontId="0" fillId="0" borderId="16" xfId="0" applyNumberFormat="1" applyBorder="1"/>
    <xf numFmtId="164" fontId="0" fillId="0" borderId="16" xfId="0" applyNumberFormat="1" applyBorder="1"/>
    <xf numFmtId="0" fontId="1" fillId="0" borderId="10" xfId="0" applyFont="1" applyFill="1" applyBorder="1" applyAlignment="1">
      <alignment horizontal="center"/>
    </xf>
    <xf numFmtId="0" fontId="1" fillId="0" borderId="13" xfId="0" applyFont="1" applyFill="1" applyBorder="1" applyAlignment="1">
      <alignment horizontal="center"/>
    </xf>
    <xf numFmtId="0" fontId="1" fillId="0" borderId="16" xfId="0" applyFont="1" applyFill="1" applyBorder="1" applyAlignment="1">
      <alignment horizontal="center"/>
    </xf>
    <xf numFmtId="0" fontId="1" fillId="0" borderId="6" xfId="0" applyFont="1" applyFill="1" applyBorder="1" applyAlignment="1">
      <alignment horizontal="center"/>
    </xf>
    <xf numFmtId="0" fontId="1" fillId="0" borderId="10" xfId="0" applyFont="1" applyFill="1" applyBorder="1" applyAlignment="1">
      <alignment horizontal="left"/>
    </xf>
    <xf numFmtId="0" fontId="0" fillId="0" borderId="10" xfId="0" applyFill="1" applyBorder="1"/>
    <xf numFmtId="0" fontId="0" fillId="0" borderId="13" xfId="0" applyFill="1" applyBorder="1"/>
    <xf numFmtId="164" fontId="0" fillId="0" borderId="9" xfId="0" applyNumberFormat="1" applyFill="1" applyBorder="1"/>
    <xf numFmtId="164" fontId="0" fillId="0" borderId="15" xfId="0" applyNumberFormat="1" applyFill="1" applyBorder="1"/>
    <xf numFmtId="0" fontId="0" fillId="0" borderId="15" xfId="0" applyNumberFormat="1" applyFill="1" applyBorder="1"/>
    <xf numFmtId="0" fontId="1" fillId="0" borderId="12" xfId="0" applyFont="1" applyFill="1" applyBorder="1" applyAlignment="1">
      <alignment horizontal="left"/>
    </xf>
    <xf numFmtId="0" fontId="5" fillId="0" borderId="0" xfId="0" applyFont="1" applyFill="1"/>
    <xf numFmtId="0" fontId="5" fillId="0" borderId="0" xfId="0" applyFont="1" applyFill="1" applyBorder="1"/>
    <xf numFmtId="0" fontId="7" fillId="0" borderId="0" xfId="0" applyFont="1" applyBorder="1"/>
    <xf numFmtId="0" fontId="1" fillId="0" borderId="0" xfId="0" applyFont="1" applyBorder="1" applyAlignment="1">
      <alignment horizontal="center"/>
    </xf>
    <xf numFmtId="164" fontId="1" fillId="0" borderId="0" xfId="0" applyNumberFormat="1" applyFont="1" applyBorder="1" applyAlignment="1">
      <alignment horizontal="center"/>
    </xf>
    <xf numFmtId="0" fontId="0" fillId="0" borderId="0" xfId="0" applyFill="1" applyBorder="1" applyAlignment="1">
      <alignment horizontal="left"/>
    </xf>
    <xf numFmtId="0" fontId="0" fillId="0" borderId="0" xfId="0"/>
    <xf numFmtId="0" fontId="2" fillId="0" borderId="0" xfId="1" applyAlignment="1" applyProtection="1"/>
    <xf numFmtId="0" fontId="0" fillId="0" borderId="2" xfId="0" applyBorder="1"/>
    <xf numFmtId="2" fontId="0" fillId="0" borderId="0" xfId="0" applyNumberFormat="1"/>
    <xf numFmtId="0" fontId="1" fillId="0" borderId="0" xfId="0" applyFont="1" applyFill="1" applyBorder="1"/>
    <xf numFmtId="164" fontId="0" fillId="0" borderId="0" xfId="0" applyNumberFormat="1" applyFill="1" applyBorder="1"/>
    <xf numFmtId="2" fontId="1" fillId="0" borderId="0" xfId="0" applyNumberFormat="1" applyFont="1" applyFill="1" applyBorder="1"/>
    <xf numFmtId="0" fontId="0" fillId="0" borderId="0" xfId="0" applyFill="1"/>
    <xf numFmtId="0" fontId="0" fillId="0" borderId="0" xfId="0" applyFill="1" applyBorder="1"/>
    <xf numFmtId="0" fontId="0" fillId="0" borderId="12" xfId="0" applyBorder="1"/>
    <xf numFmtId="164" fontId="0" fillId="0" borderId="15" xfId="0" applyNumberFormat="1" applyBorder="1"/>
    <xf numFmtId="0" fontId="0" fillId="0" borderId="14" xfId="0" applyBorder="1"/>
    <xf numFmtId="0" fontId="0" fillId="0" borderId="4" xfId="0" applyBorder="1"/>
    <xf numFmtId="0" fontId="0" fillId="0" borderId="17" xfId="0" applyBorder="1"/>
    <xf numFmtId="0" fontId="1" fillId="0" borderId="1" xfId="0" applyFont="1" applyBorder="1"/>
    <xf numFmtId="164" fontId="0" fillId="0" borderId="11" xfId="0" applyNumberFormat="1" applyBorder="1"/>
    <xf numFmtId="0" fontId="6" fillId="0" borderId="0" xfId="0" applyFont="1"/>
    <xf numFmtId="0" fontId="1" fillId="0" borderId="11" xfId="0" applyFont="1" applyBorder="1" applyAlignment="1">
      <alignment horizontal="center"/>
    </xf>
    <xf numFmtId="0" fontId="0" fillId="0" borderId="20" xfId="0" applyBorder="1"/>
    <xf numFmtId="0" fontId="1" fillId="0" borderId="10" xfId="0" applyFont="1" applyBorder="1"/>
    <xf numFmtId="0" fontId="1" fillId="0" borderId="18" xfId="0" applyFont="1" applyBorder="1"/>
    <xf numFmtId="0" fontId="1" fillId="0" borderId="19" xfId="0" applyFont="1" applyBorder="1" applyAlignment="1">
      <alignment horizontal="center"/>
    </xf>
    <xf numFmtId="0" fontId="1" fillId="0" borderId="23" xfId="0" applyFont="1" applyBorder="1" applyAlignment="1">
      <alignment horizontal="center"/>
    </xf>
    <xf numFmtId="0" fontId="0" fillId="0" borderId="24" xfId="0" applyBorder="1"/>
    <xf numFmtId="0" fontId="0" fillId="0" borderId="25" xfId="0" applyBorder="1"/>
    <xf numFmtId="164" fontId="1" fillId="0" borderId="18" xfId="0" applyNumberFormat="1" applyFont="1" applyBorder="1"/>
    <xf numFmtId="0" fontId="0" fillId="2" borderId="21" xfId="0" applyFill="1" applyBorder="1"/>
    <xf numFmtId="164" fontId="0" fillId="4" borderId="0" xfId="0" applyNumberFormat="1" applyFill="1" applyBorder="1"/>
    <xf numFmtId="0" fontId="0" fillId="4" borderId="22" xfId="0" applyFill="1" applyBorder="1"/>
    <xf numFmtId="0" fontId="0" fillId="5" borderId="0" xfId="0" applyFill="1" applyBorder="1"/>
    <xf numFmtId="0" fontId="0" fillId="5" borderId="7" xfId="0" applyFill="1" applyBorder="1"/>
    <xf numFmtId="0" fontId="0" fillId="3" borderId="0" xfId="0" applyFill="1" applyBorder="1"/>
    <xf numFmtId="0" fontId="0" fillId="6" borderId="0" xfId="0" applyFill="1" applyBorder="1"/>
    <xf numFmtId="0" fontId="0" fillId="7" borderId="0" xfId="0" applyFill="1" applyBorder="1"/>
    <xf numFmtId="0" fontId="0" fillId="8" borderId="33" xfId="0" applyFill="1" applyBorder="1"/>
    <xf numFmtId="0" fontId="0" fillId="8" borderId="34" xfId="0" applyFill="1" applyBorder="1"/>
    <xf numFmtId="164" fontId="0" fillId="9" borderId="0" xfId="0" applyNumberFormat="1" applyFill="1" applyBorder="1"/>
    <xf numFmtId="0" fontId="0" fillId="9" borderId="22" xfId="0" applyFill="1" applyBorder="1"/>
    <xf numFmtId="0" fontId="0" fillId="9" borderId="7" xfId="0" applyFill="1" applyBorder="1"/>
    <xf numFmtId="0" fontId="0" fillId="0" borderId="0" xfId="0" applyBorder="1"/>
    <xf numFmtId="0" fontId="0" fillId="0" borderId="13" xfId="0" applyBorder="1"/>
    <xf numFmtId="0" fontId="0" fillId="0" borderId="15" xfId="0" applyBorder="1"/>
    <xf numFmtId="0" fontId="0" fillId="0" borderId="5" xfId="0" applyBorder="1"/>
    <xf numFmtId="2" fontId="0" fillId="0" borderId="0" xfId="0" applyNumberFormat="1" applyFill="1" applyBorder="1"/>
    <xf numFmtId="0" fontId="0" fillId="0" borderId="0" xfId="0" applyFont="1"/>
    <xf numFmtId="0" fontId="6" fillId="0" borderId="17" xfId="0" applyFont="1" applyBorder="1"/>
    <xf numFmtId="164" fontId="0" fillId="0" borderId="17" xfId="0" applyNumberFormat="1" applyBorder="1"/>
    <xf numFmtId="0" fontId="0" fillId="0" borderId="11" xfId="0" applyBorder="1"/>
    <xf numFmtId="0" fontId="0" fillId="0" borderId="0" xfId="0" applyFont="1" applyBorder="1"/>
    <xf numFmtId="0" fontId="0" fillId="11" borderId="7" xfId="0" applyFill="1" applyBorder="1"/>
    <xf numFmtId="164" fontId="0" fillId="11" borderId="0" xfId="0" applyNumberFormat="1" applyFill="1" applyBorder="1"/>
    <xf numFmtId="0" fontId="0" fillId="11" borderId="0" xfId="0" applyFill="1" applyBorder="1"/>
    <xf numFmtId="2" fontId="0" fillId="11" borderId="33" xfId="0" applyNumberFormat="1" applyFill="1" applyBorder="1"/>
    <xf numFmtId="0" fontId="0" fillId="11" borderId="34" xfId="0" applyFill="1" applyBorder="1"/>
    <xf numFmtId="1" fontId="0" fillId="11" borderId="0" xfId="0" applyNumberFormat="1" applyFont="1" applyFill="1" applyBorder="1"/>
    <xf numFmtId="0" fontId="0" fillId="11" borderId="8" xfId="0" applyFill="1" applyBorder="1"/>
    <xf numFmtId="0" fontId="1" fillId="11" borderId="30" xfId="0" applyFont="1" applyFill="1" applyBorder="1"/>
    <xf numFmtId="164" fontId="0" fillId="13" borderId="0" xfId="0" applyNumberFormat="1" applyFill="1" applyBorder="1"/>
    <xf numFmtId="0" fontId="0" fillId="0" borderId="2" xfId="0" applyFont="1" applyBorder="1"/>
    <xf numFmtId="164" fontId="1" fillId="11" borderId="17" xfId="0" applyNumberFormat="1" applyFont="1" applyFill="1" applyBorder="1"/>
    <xf numFmtId="0" fontId="0" fillId="13" borderId="22" xfId="0" applyFill="1" applyBorder="1"/>
    <xf numFmtId="3" fontId="0" fillId="0" borderId="0" xfId="0" applyNumberFormat="1" applyFill="1" applyBorder="1"/>
    <xf numFmtId="0" fontId="10" fillId="0" borderId="22" xfId="0" applyFont="1" applyFill="1" applyBorder="1"/>
    <xf numFmtId="0" fontId="9" fillId="12" borderId="0" xfId="0" applyFont="1" applyFill="1" applyBorder="1"/>
    <xf numFmtId="164" fontId="1" fillId="2" borderId="10" xfId="0" applyNumberFormat="1" applyFont="1" applyFill="1" applyBorder="1"/>
    <xf numFmtId="164" fontId="1" fillId="7" borderId="9" xfId="0" applyNumberFormat="1" applyFont="1" applyFill="1" applyBorder="1"/>
    <xf numFmtId="164" fontId="11" fillId="12" borderId="9" xfId="0" applyNumberFormat="1" applyFont="1" applyFill="1" applyBorder="1"/>
    <xf numFmtId="164" fontId="1" fillId="6" borderId="9" xfId="0" applyNumberFormat="1" applyFont="1" applyFill="1" applyBorder="1"/>
    <xf numFmtId="164" fontId="1" fillId="3" borderId="9" xfId="0" applyNumberFormat="1" applyFont="1" applyFill="1" applyBorder="1"/>
    <xf numFmtId="164" fontId="1" fillId="9" borderId="9" xfId="0" applyNumberFormat="1" applyFont="1" applyFill="1" applyBorder="1"/>
    <xf numFmtId="164" fontId="1" fillId="13" borderId="9" xfId="0" applyNumberFormat="1" applyFont="1" applyFill="1" applyBorder="1"/>
    <xf numFmtId="164" fontId="1" fillId="5" borderId="9" xfId="0" applyNumberFormat="1" applyFont="1" applyFill="1" applyBorder="1"/>
    <xf numFmtId="164" fontId="1" fillId="11" borderId="9" xfId="0" applyNumberFormat="1" applyFont="1" applyFill="1" applyBorder="1"/>
    <xf numFmtId="0" fontId="2" fillId="0" borderId="0" xfId="1" applyFont="1" applyAlignment="1" applyProtection="1"/>
    <xf numFmtId="164" fontId="1" fillId="0" borderId="0" xfId="0" applyNumberFormat="1" applyFont="1" applyFill="1" applyBorder="1"/>
    <xf numFmtId="164" fontId="11" fillId="0" borderId="0" xfId="0" applyNumberFormat="1" applyFont="1" applyFill="1" applyBorder="1"/>
    <xf numFmtId="165" fontId="0" fillId="0" borderId="0" xfId="0" applyNumberFormat="1"/>
    <xf numFmtId="164" fontId="0" fillId="15" borderId="0" xfId="0" applyNumberFormat="1" applyFill="1" applyBorder="1"/>
    <xf numFmtId="0" fontId="0" fillId="15" borderId="22" xfId="0" applyFill="1" applyBorder="1"/>
    <xf numFmtId="164" fontId="1" fillId="15" borderId="9" xfId="0" applyNumberFormat="1" applyFont="1" applyFill="1" applyBorder="1"/>
    <xf numFmtId="3" fontId="0" fillId="0" borderId="0" xfId="0" applyNumberFormat="1"/>
    <xf numFmtId="166" fontId="0" fillId="0" borderId="0" xfId="0" applyNumberFormat="1"/>
    <xf numFmtId="0" fontId="1" fillId="5" borderId="27" xfId="0" applyFont="1" applyFill="1" applyBorder="1"/>
    <xf numFmtId="2" fontId="0" fillId="5" borderId="28" xfId="0" applyNumberFormat="1" applyFill="1" applyBorder="1"/>
    <xf numFmtId="0" fontId="0" fillId="5" borderId="29" xfId="0" applyFill="1" applyBorder="1"/>
    <xf numFmtId="2" fontId="0" fillId="2" borderId="11" xfId="0" applyNumberFormat="1" applyFill="1" applyBorder="1"/>
    <xf numFmtId="0" fontId="1" fillId="0" borderId="17" xfId="0" applyFont="1" applyBorder="1"/>
    <xf numFmtId="0" fontId="0" fillId="0" borderId="33" xfId="0" applyBorder="1"/>
    <xf numFmtId="2" fontId="0" fillId="0" borderId="15" xfId="0" applyNumberFormat="1" applyBorder="1"/>
    <xf numFmtId="2" fontId="0" fillId="0" borderId="6" xfId="0" applyNumberFormat="1" applyBorder="1"/>
    <xf numFmtId="2" fontId="0" fillId="0" borderId="5" xfId="0" applyNumberFormat="1" applyBorder="1"/>
    <xf numFmtId="10" fontId="0" fillId="0" borderId="0" xfId="0" applyNumberFormat="1"/>
    <xf numFmtId="164" fontId="0" fillId="0" borderId="17" xfId="0" applyNumberFormat="1" applyFill="1" applyBorder="1"/>
    <xf numFmtId="0" fontId="0" fillId="0" borderId="0" xfId="0" applyBorder="1"/>
    <xf numFmtId="0" fontId="0" fillId="0" borderId="0" xfId="0"/>
    <xf numFmtId="0" fontId="0" fillId="0" borderId="7" xfId="0" applyBorder="1"/>
    <xf numFmtId="164" fontId="0" fillId="0" borderId="0" xfId="0" applyNumberFormat="1"/>
    <xf numFmtId="168" fontId="0" fillId="0" borderId="0" xfId="0" applyNumberFormat="1" applyFill="1"/>
    <xf numFmtId="0" fontId="0" fillId="4" borderId="28" xfId="0" applyFill="1" applyBorder="1"/>
    <xf numFmtId="170" fontId="0" fillId="0" borderId="0" xfId="0" applyNumberFormat="1"/>
    <xf numFmtId="164" fontId="0" fillId="17" borderId="0" xfId="0" applyNumberFormat="1" applyFill="1" applyBorder="1"/>
    <xf numFmtId="0" fontId="0" fillId="17" borderId="7" xfId="0" applyFill="1" applyBorder="1"/>
    <xf numFmtId="164" fontId="1" fillId="17" borderId="9" xfId="0" applyNumberFormat="1" applyFont="1" applyFill="1" applyBorder="1"/>
    <xf numFmtId="44" fontId="19" fillId="0" borderId="0" xfId="2" applyFont="1" applyFill="1" applyBorder="1"/>
    <xf numFmtId="0" fontId="19" fillId="0" borderId="0" xfId="0" applyFont="1" applyFill="1" applyBorder="1"/>
    <xf numFmtId="44" fontId="0" fillId="0" borderId="0" xfId="2" applyFont="1" applyFill="1" applyBorder="1"/>
    <xf numFmtId="0" fontId="0" fillId="0" borderId="0" xfId="0"/>
    <xf numFmtId="0" fontId="2" fillId="0" borderId="0" xfId="1" applyAlignment="1" applyProtection="1"/>
    <xf numFmtId="0" fontId="0" fillId="0" borderId="2" xfId="0" applyBorder="1"/>
    <xf numFmtId="164" fontId="0" fillId="0" borderId="0" xfId="0" applyNumberFormat="1"/>
    <xf numFmtId="0" fontId="0" fillId="0" borderId="7" xfId="0" applyBorder="1"/>
    <xf numFmtId="0" fontId="0" fillId="0" borderId="7" xfId="0" applyFill="1" applyBorder="1"/>
    <xf numFmtId="2" fontId="0" fillId="0" borderId="0" xfId="0" applyNumberFormat="1"/>
    <xf numFmtId="0" fontId="1" fillId="0" borderId="0" xfId="0" applyFont="1" applyFill="1" applyBorder="1"/>
    <xf numFmtId="164" fontId="0" fillId="0" borderId="0" xfId="0" applyNumberFormat="1" applyFill="1" applyBorder="1"/>
    <xf numFmtId="2" fontId="1" fillId="0" borderId="0" xfId="0" applyNumberFormat="1" applyFont="1" applyFill="1" applyBorder="1"/>
    <xf numFmtId="0" fontId="0" fillId="0" borderId="0" xfId="0" applyFill="1"/>
    <xf numFmtId="0" fontId="1" fillId="0" borderId="0" xfId="0" applyFont="1" applyBorder="1"/>
    <xf numFmtId="164" fontId="0" fillId="0" borderId="0" xfId="0" applyNumberFormat="1" applyBorder="1"/>
    <xf numFmtId="0" fontId="0" fillId="0" borderId="0" xfId="0" applyFill="1" applyBorder="1"/>
    <xf numFmtId="0" fontId="0" fillId="0" borderId="12" xfId="0" applyBorder="1"/>
    <xf numFmtId="0" fontId="0" fillId="0" borderId="14" xfId="0" applyFill="1" applyBorder="1"/>
    <xf numFmtId="0" fontId="0" fillId="0" borderId="14" xfId="0" applyBorder="1"/>
    <xf numFmtId="0" fontId="0" fillId="0" borderId="4" xfId="0" applyFill="1" applyBorder="1"/>
    <xf numFmtId="0" fontId="0" fillId="0" borderId="17" xfId="0" applyBorder="1"/>
    <xf numFmtId="0" fontId="1" fillId="0" borderId="1" xfId="0" applyFont="1" applyBorder="1"/>
    <xf numFmtId="0" fontId="6" fillId="0" borderId="0" xfId="0" applyFont="1"/>
    <xf numFmtId="0" fontId="1" fillId="0" borderId="11" xfId="0" applyFont="1" applyBorder="1" applyAlignment="1">
      <alignment horizontal="center"/>
    </xf>
    <xf numFmtId="0" fontId="0" fillId="0" borderId="20" xfId="0" applyBorder="1"/>
    <xf numFmtId="0" fontId="1" fillId="0" borderId="21" xfId="0" applyFont="1" applyBorder="1" applyAlignment="1">
      <alignment horizontal="center"/>
    </xf>
    <xf numFmtId="0" fontId="1" fillId="0" borderId="10" xfId="0" applyFont="1" applyBorder="1"/>
    <xf numFmtId="0" fontId="1" fillId="0" borderId="18" xfId="0" applyFont="1" applyBorder="1"/>
    <xf numFmtId="0" fontId="1" fillId="0" borderId="19" xfId="0" applyFont="1" applyBorder="1" applyAlignment="1">
      <alignment horizontal="center"/>
    </xf>
    <xf numFmtId="0" fontId="1" fillId="0" borderId="23" xfId="0" applyFont="1" applyBorder="1" applyAlignment="1">
      <alignment horizontal="center"/>
    </xf>
    <xf numFmtId="0" fontId="0" fillId="0" borderId="24" xfId="0" applyBorder="1"/>
    <xf numFmtId="0" fontId="0" fillId="0" borderId="25" xfId="0" applyBorder="1"/>
    <xf numFmtId="0" fontId="0" fillId="2" borderId="21" xfId="0" applyFill="1" applyBorder="1"/>
    <xf numFmtId="0" fontId="0" fillId="4" borderId="22" xfId="0" applyFill="1" applyBorder="1"/>
    <xf numFmtId="0" fontId="0" fillId="4" borderId="7" xfId="0" applyFill="1" applyBorder="1"/>
    <xf numFmtId="0" fontId="0" fillId="5" borderId="7" xfId="0" applyFill="1" applyBorder="1"/>
    <xf numFmtId="0" fontId="0" fillId="7" borderId="0" xfId="0" applyFill="1" applyBorder="1"/>
    <xf numFmtId="0" fontId="0" fillId="2" borderId="7" xfId="0" applyFill="1" applyBorder="1"/>
    <xf numFmtId="0" fontId="0" fillId="2" borderId="8" xfId="0" applyFill="1" applyBorder="1"/>
    <xf numFmtId="0" fontId="1" fillId="2" borderId="32" xfId="0" applyFont="1" applyFill="1" applyBorder="1"/>
    <xf numFmtId="0" fontId="0" fillId="2" borderId="33" xfId="0" applyFill="1" applyBorder="1"/>
    <xf numFmtId="0" fontId="0" fillId="2" borderId="34" xfId="0" applyFill="1" applyBorder="1"/>
    <xf numFmtId="0" fontId="0" fillId="8" borderId="33" xfId="0" applyFill="1" applyBorder="1"/>
    <xf numFmtId="0" fontId="0" fillId="8" borderId="34" xfId="0" applyFill="1" applyBorder="1"/>
    <xf numFmtId="0" fontId="0" fillId="9" borderId="9" xfId="0" applyFill="1" applyBorder="1"/>
    <xf numFmtId="0" fontId="0" fillId="9" borderId="22" xfId="0" applyFill="1" applyBorder="1"/>
    <xf numFmtId="0" fontId="0" fillId="9" borderId="7" xfId="0" applyFill="1" applyBorder="1"/>
    <xf numFmtId="0" fontId="0" fillId="9" borderId="34" xfId="0" applyFill="1" applyBorder="1"/>
    <xf numFmtId="0" fontId="0" fillId="0" borderId="0" xfId="0" applyBorder="1"/>
    <xf numFmtId="0" fontId="0" fillId="2" borderId="0" xfId="0" applyNumberFormat="1" applyFill="1" applyBorder="1"/>
    <xf numFmtId="2" fontId="0" fillId="0" borderId="0" xfId="0" applyNumberFormat="1" applyFill="1" applyBorder="1"/>
    <xf numFmtId="2" fontId="0" fillId="0" borderId="0" xfId="0" applyNumberFormat="1" applyBorder="1"/>
    <xf numFmtId="0" fontId="0" fillId="0" borderId="0" xfId="0" applyFont="1"/>
    <xf numFmtId="0" fontId="6" fillId="0" borderId="17" xfId="0" applyFont="1" applyBorder="1"/>
    <xf numFmtId="164" fontId="0" fillId="0" borderId="17" xfId="0" applyNumberFormat="1" applyBorder="1"/>
    <xf numFmtId="0" fontId="1" fillId="0" borderId="10" xfId="0" applyFont="1" applyBorder="1" applyAlignment="1">
      <alignment horizontal="center"/>
    </xf>
    <xf numFmtId="0" fontId="0" fillId="0" borderId="0" xfId="0" applyFont="1" applyBorder="1"/>
    <xf numFmtId="0" fontId="0" fillId="11" borderId="7" xfId="0" applyFill="1" applyBorder="1"/>
    <xf numFmtId="0" fontId="0" fillId="11" borderId="0" xfId="0" applyFill="1" applyBorder="1"/>
    <xf numFmtId="0" fontId="1" fillId="11" borderId="32" xfId="0" applyFont="1" applyFill="1" applyBorder="1"/>
    <xf numFmtId="2" fontId="0" fillId="11" borderId="33" xfId="0" applyNumberFormat="1" applyFill="1" applyBorder="1"/>
    <xf numFmtId="0" fontId="0" fillId="11" borderId="34" xfId="0" applyFill="1" applyBorder="1"/>
    <xf numFmtId="0" fontId="0" fillId="11" borderId="8" xfId="0" applyFill="1" applyBorder="1"/>
    <xf numFmtId="0" fontId="1" fillId="11" borderId="30" xfId="0" applyFont="1" applyFill="1" applyBorder="1"/>
    <xf numFmtId="0" fontId="1" fillId="11" borderId="31" xfId="0" applyFont="1" applyFill="1" applyBorder="1"/>
    <xf numFmtId="0" fontId="0" fillId="13" borderId="7" xfId="0" applyFill="1" applyBorder="1"/>
    <xf numFmtId="0" fontId="0" fillId="0" borderId="2" xfId="0" applyFont="1" applyBorder="1"/>
    <xf numFmtId="0" fontId="0" fillId="11" borderId="9" xfId="0" applyFill="1" applyBorder="1"/>
    <xf numFmtId="164" fontId="1" fillId="11" borderId="17" xfId="0" applyNumberFormat="1" applyFont="1" applyFill="1" applyBorder="1"/>
    <xf numFmtId="0" fontId="0" fillId="13" borderId="22" xfId="0" applyFill="1" applyBorder="1"/>
    <xf numFmtId="3" fontId="0" fillId="0" borderId="0" xfId="0" applyNumberFormat="1" applyFill="1" applyBorder="1"/>
    <xf numFmtId="0" fontId="10" fillId="0" borderId="22" xfId="0" applyFont="1" applyFill="1" applyBorder="1"/>
    <xf numFmtId="164" fontId="1" fillId="4" borderId="9" xfId="0" applyNumberFormat="1" applyFont="1" applyFill="1" applyBorder="1"/>
    <xf numFmtId="0" fontId="2" fillId="0" borderId="0" xfId="1" applyFont="1" applyAlignment="1" applyProtection="1"/>
    <xf numFmtId="0" fontId="14" fillId="0" borderId="0" xfId="0" applyFont="1" applyAlignment="1">
      <alignment horizontal="left"/>
    </xf>
    <xf numFmtId="164" fontId="1" fillId="0" borderId="0" xfId="0" applyNumberFormat="1" applyFont="1" applyFill="1" applyBorder="1"/>
    <xf numFmtId="164" fontId="11" fillId="0" borderId="0" xfId="0" applyNumberFormat="1" applyFont="1" applyFill="1" applyBorder="1"/>
    <xf numFmtId="165" fontId="0" fillId="0" borderId="0" xfId="0" applyNumberFormat="1"/>
    <xf numFmtId="0" fontId="0" fillId="0" borderId="0" xfId="0" applyFont="1" applyAlignment="1">
      <alignment horizontal="left"/>
    </xf>
    <xf numFmtId="0" fontId="0" fillId="0" borderId="12" xfId="0" applyFill="1" applyBorder="1"/>
    <xf numFmtId="0" fontId="1" fillId="15" borderId="32" xfId="0" applyFont="1" applyFill="1" applyBorder="1"/>
    <xf numFmtId="164" fontId="1" fillId="15" borderId="33" xfId="0" applyNumberFormat="1" applyFont="1" applyFill="1" applyBorder="1"/>
    <xf numFmtId="0" fontId="1" fillId="15" borderId="34" xfId="0" applyFont="1" applyFill="1" applyBorder="1"/>
    <xf numFmtId="0" fontId="0" fillId="15" borderId="22" xfId="0" applyFill="1" applyBorder="1"/>
    <xf numFmtId="3" fontId="0" fillId="0" borderId="0" xfId="0" applyNumberFormat="1" applyFill="1"/>
    <xf numFmtId="0" fontId="0" fillId="0" borderId="30" xfId="0" applyFill="1" applyBorder="1"/>
    <xf numFmtId="166" fontId="0" fillId="0" borderId="0" xfId="0" applyNumberFormat="1"/>
    <xf numFmtId="11" fontId="0" fillId="0" borderId="0" xfId="0" applyNumberFormat="1" applyFill="1" applyBorder="1"/>
    <xf numFmtId="0" fontId="1" fillId="5" borderId="27" xfId="0" applyFont="1" applyFill="1" applyBorder="1"/>
    <xf numFmtId="2" fontId="0" fillId="5" borderId="28" xfId="0" applyNumberFormat="1" applyFill="1" applyBorder="1"/>
    <xf numFmtId="0" fontId="0" fillId="5" borderId="29" xfId="0" applyFill="1" applyBorder="1"/>
    <xf numFmtId="0" fontId="0" fillId="5" borderId="27" xfId="0" applyFill="1" applyBorder="1"/>
    <xf numFmtId="164" fontId="0" fillId="5" borderId="0" xfId="0" applyNumberFormat="1" applyFont="1" applyFill="1" applyBorder="1"/>
    <xf numFmtId="0" fontId="0" fillId="5" borderId="7" xfId="0" applyFont="1" applyFill="1" applyBorder="1"/>
    <xf numFmtId="0" fontId="0" fillId="5" borderId="8" xfId="0" applyFont="1" applyFill="1" applyBorder="1"/>
    <xf numFmtId="0" fontId="1" fillId="0" borderId="17" xfId="0" applyFont="1" applyBorder="1"/>
    <xf numFmtId="0" fontId="0" fillId="2" borderId="10" xfId="0" applyFill="1" applyBorder="1"/>
    <xf numFmtId="0" fontId="0" fillId="3" borderId="9" xfId="0" applyFill="1" applyBorder="1"/>
    <xf numFmtId="0" fontId="0" fillId="5" borderId="9" xfId="0" applyFill="1" applyBorder="1"/>
    <xf numFmtId="0" fontId="0" fillId="6" borderId="9" xfId="0" applyFill="1" applyBorder="1"/>
    <xf numFmtId="0" fontId="0" fillId="7" borderId="9" xfId="0" applyFill="1" applyBorder="1"/>
    <xf numFmtId="0" fontId="0" fillId="7" borderId="7" xfId="0" applyFill="1" applyBorder="1"/>
    <xf numFmtId="2" fontId="0" fillId="7" borderId="0" xfId="0" applyNumberFormat="1" applyFill="1" applyBorder="1"/>
    <xf numFmtId="0" fontId="1" fillId="7" borderId="0" xfId="0" applyFont="1" applyFill="1" applyBorder="1"/>
    <xf numFmtId="0" fontId="0" fillId="7" borderId="17" xfId="0" applyFill="1" applyBorder="1"/>
    <xf numFmtId="0" fontId="1" fillId="7" borderId="32" xfId="0" applyFont="1" applyFill="1" applyBorder="1"/>
    <xf numFmtId="2" fontId="0" fillId="7" borderId="33" xfId="0" applyNumberFormat="1" applyFill="1" applyBorder="1"/>
    <xf numFmtId="0" fontId="0" fillId="7" borderId="33" xfId="0" applyFill="1" applyBorder="1"/>
    <xf numFmtId="0" fontId="0" fillId="7" borderId="34" xfId="0" applyFill="1" applyBorder="1"/>
    <xf numFmtId="3" fontId="0" fillId="7" borderId="0" xfId="0" applyNumberFormat="1" applyFill="1" applyBorder="1"/>
    <xf numFmtId="0" fontId="9" fillId="12" borderId="9" xfId="0" applyFont="1" applyFill="1" applyBorder="1"/>
    <xf numFmtId="0" fontId="0" fillId="15" borderId="8" xfId="0" applyFont="1" applyFill="1" applyBorder="1"/>
    <xf numFmtId="0" fontId="0" fillId="15" borderId="9" xfId="0" applyFill="1" applyBorder="1"/>
    <xf numFmtId="0" fontId="0" fillId="0" borderId="0" xfId="0" applyFont="1" applyFill="1" applyBorder="1"/>
    <xf numFmtId="0" fontId="1" fillId="7" borderId="7" xfId="0" applyFont="1" applyFill="1" applyBorder="1"/>
    <xf numFmtId="0" fontId="0" fillId="15" borderId="29" xfId="0" applyFont="1" applyFill="1" applyBorder="1"/>
    <xf numFmtId="2" fontId="0" fillId="7" borderId="17" xfId="0" applyNumberFormat="1" applyFill="1" applyBorder="1"/>
    <xf numFmtId="0" fontId="1" fillId="7" borderId="17" xfId="0" applyFont="1" applyFill="1" applyBorder="1"/>
    <xf numFmtId="4" fontId="1" fillId="7" borderId="17" xfId="0" applyNumberFormat="1" applyFont="1" applyFill="1" applyBorder="1"/>
    <xf numFmtId="0" fontId="15" fillId="0" borderId="0" xfId="0" applyFont="1"/>
    <xf numFmtId="0" fontId="0" fillId="4" borderId="9" xfId="0" applyFill="1" applyBorder="1"/>
    <xf numFmtId="0" fontId="0" fillId="4" borderId="8" xfId="0" applyFill="1" applyBorder="1"/>
    <xf numFmtId="0" fontId="0" fillId="13" borderId="8" xfId="0" applyFill="1" applyBorder="1"/>
    <xf numFmtId="0" fontId="0" fillId="13" borderId="9" xfId="0" applyFill="1" applyBorder="1"/>
    <xf numFmtId="0" fontId="0" fillId="16" borderId="7" xfId="0" applyFill="1" applyBorder="1"/>
    <xf numFmtId="0" fontId="0" fillId="16" borderId="0" xfId="0" applyFill="1" applyBorder="1"/>
    <xf numFmtId="0" fontId="0" fillId="16" borderId="8" xfId="0" applyFill="1" applyBorder="1"/>
    <xf numFmtId="3" fontId="0" fillId="16" borderId="0" xfId="0" applyNumberFormat="1" applyFill="1" applyBorder="1"/>
    <xf numFmtId="0" fontId="1" fillId="16" borderId="0" xfId="0" applyFont="1" applyFill="1" applyBorder="1"/>
    <xf numFmtId="3" fontId="1" fillId="16" borderId="0" xfId="0" applyNumberFormat="1" applyFont="1" applyFill="1" applyBorder="1"/>
    <xf numFmtId="0" fontId="0" fillId="16" borderId="33" xfId="0" applyFill="1" applyBorder="1"/>
    <xf numFmtId="167" fontId="0" fillId="16" borderId="0" xfId="0" applyNumberFormat="1" applyFill="1" applyBorder="1"/>
    <xf numFmtId="0" fontId="16" fillId="16" borderId="0" xfId="0" applyFont="1" applyFill="1" applyBorder="1"/>
    <xf numFmtId="3" fontId="1" fillId="16" borderId="8" xfId="0" applyNumberFormat="1" applyFont="1" applyFill="1" applyBorder="1"/>
    <xf numFmtId="0" fontId="0" fillId="16" borderId="30" xfId="0" applyFill="1" applyBorder="1"/>
    <xf numFmtId="0" fontId="0" fillId="16" borderId="17" xfId="0" applyFill="1" applyBorder="1"/>
    <xf numFmtId="0" fontId="1" fillId="16" borderId="17" xfId="0" applyFont="1" applyFill="1" applyBorder="1"/>
    <xf numFmtId="0" fontId="1" fillId="16" borderId="7" xfId="0" applyFont="1" applyFill="1" applyBorder="1"/>
    <xf numFmtId="10" fontId="1" fillId="16" borderId="0" xfId="0" applyNumberFormat="1" applyFont="1" applyFill="1" applyBorder="1"/>
    <xf numFmtId="0" fontId="0" fillId="16" borderId="27" xfId="0" applyFill="1" applyBorder="1"/>
    <xf numFmtId="164" fontId="1" fillId="16" borderId="0" xfId="0" applyNumberFormat="1" applyFont="1" applyFill="1" applyBorder="1"/>
    <xf numFmtId="164" fontId="0" fillId="0" borderId="17" xfId="0" applyNumberFormat="1" applyFill="1" applyBorder="1"/>
    <xf numFmtId="0" fontId="0" fillId="0" borderId="0" xfId="0" quotePrefix="1" applyFill="1"/>
    <xf numFmtId="167" fontId="0" fillId="0" borderId="0" xfId="0" applyNumberFormat="1" applyFill="1" applyBorder="1"/>
    <xf numFmtId="164" fontId="1" fillId="0" borderId="0" xfId="0" applyNumberFormat="1" applyFont="1"/>
    <xf numFmtId="168" fontId="0" fillId="0" borderId="0" xfId="0" applyNumberFormat="1" applyFill="1"/>
    <xf numFmtId="0" fontId="1" fillId="4" borderId="27" xfId="0" applyFont="1" applyFill="1" applyBorder="1"/>
    <xf numFmtId="2" fontId="0" fillId="4" borderId="28" xfId="0" applyNumberFormat="1" applyFill="1" applyBorder="1"/>
    <xf numFmtId="0" fontId="0" fillId="4" borderId="29" xfId="0" applyFill="1" applyBorder="1"/>
    <xf numFmtId="2" fontId="0" fillId="4" borderId="0" xfId="0" applyNumberFormat="1" applyFill="1" applyBorder="1"/>
    <xf numFmtId="2" fontId="0" fillId="13" borderId="0" xfId="0" applyNumberFormat="1" applyFill="1" applyBorder="1"/>
    <xf numFmtId="10" fontId="0" fillId="16" borderId="0" xfId="0" applyNumberFormat="1" applyFill="1" applyBorder="1"/>
    <xf numFmtId="2" fontId="0" fillId="7" borderId="8" xfId="0" applyNumberFormat="1" applyFill="1" applyBorder="1"/>
    <xf numFmtId="0" fontId="0" fillId="7" borderId="30" xfId="0" applyFill="1" applyBorder="1" applyAlignment="1">
      <alignment horizontal="right"/>
    </xf>
    <xf numFmtId="164" fontId="18" fillId="0" borderId="0" xfId="0" applyNumberFormat="1" applyFont="1" applyFill="1" applyBorder="1"/>
    <xf numFmtId="38" fontId="0" fillId="16" borderId="28" xfId="0" applyNumberFormat="1" applyFill="1" applyBorder="1"/>
    <xf numFmtId="38" fontId="0" fillId="16" borderId="0" xfId="0" applyNumberFormat="1" applyFill="1" applyBorder="1"/>
    <xf numFmtId="38" fontId="9" fillId="16" borderId="0" xfId="0" applyNumberFormat="1" applyFont="1" applyFill="1" applyBorder="1"/>
    <xf numFmtId="38" fontId="1" fillId="16" borderId="8" xfId="0" applyNumberFormat="1" applyFont="1" applyFill="1" applyBorder="1"/>
    <xf numFmtId="38" fontId="9" fillId="16" borderId="28" xfId="0" applyNumberFormat="1" applyFont="1" applyFill="1" applyBorder="1"/>
    <xf numFmtId="0" fontId="0" fillId="17" borderId="9" xfId="0" applyFill="1" applyBorder="1"/>
    <xf numFmtId="164" fontId="0" fillId="17" borderId="0" xfId="0" applyNumberFormat="1" applyFill="1" applyBorder="1"/>
    <xf numFmtId="0" fontId="0" fillId="17" borderId="7" xfId="0" applyFill="1" applyBorder="1"/>
    <xf numFmtId="164" fontId="1" fillId="17" borderId="9" xfId="0" applyNumberFormat="1" applyFont="1" applyFill="1" applyBorder="1"/>
    <xf numFmtId="10" fontId="0" fillId="17" borderId="0" xfId="0" applyNumberFormat="1" applyFill="1" applyBorder="1"/>
    <xf numFmtId="164" fontId="0" fillId="17" borderId="7" xfId="0" applyNumberFormat="1" applyFill="1" applyBorder="1"/>
    <xf numFmtId="0" fontId="1" fillId="17" borderId="32" xfId="0" applyFont="1" applyFill="1" applyBorder="1"/>
    <xf numFmtId="0" fontId="0" fillId="17" borderId="33" xfId="0" applyFill="1" applyBorder="1"/>
    <xf numFmtId="0" fontId="0" fillId="17" borderId="34" xfId="0" applyFill="1" applyBorder="1"/>
    <xf numFmtId="0" fontId="0" fillId="17" borderId="0" xfId="0" applyFill="1" applyBorder="1"/>
    <xf numFmtId="164" fontId="0" fillId="17" borderId="8" xfId="0" applyNumberFormat="1" applyFill="1" applyBorder="1"/>
    <xf numFmtId="44" fontId="19" fillId="0" borderId="0" xfId="2" applyFont="1" applyFill="1" applyBorder="1"/>
    <xf numFmtId="0" fontId="19" fillId="0" borderId="0" xfId="0" applyFont="1" applyFill="1" applyBorder="1"/>
    <xf numFmtId="44" fontId="0" fillId="0" borderId="0" xfId="2" applyFont="1" applyFill="1" applyBorder="1"/>
    <xf numFmtId="0" fontId="18" fillId="0" borderId="0" xfId="0" applyFont="1" applyFill="1" applyBorder="1"/>
    <xf numFmtId="2" fontId="0" fillId="2" borderId="20" xfId="0" applyNumberFormat="1" applyFill="1" applyBorder="1"/>
    <xf numFmtId="2" fontId="0" fillId="6" borderId="7" xfId="0" applyNumberFormat="1" applyFill="1" applyBorder="1"/>
    <xf numFmtId="2" fontId="0" fillId="3" borderId="7" xfId="0" applyNumberFormat="1" applyFill="1" applyBorder="1"/>
    <xf numFmtId="2" fontId="0" fillId="9" borderId="7" xfId="0" applyNumberFormat="1" applyFill="1" applyBorder="1"/>
    <xf numFmtId="2" fontId="0" fillId="4" borderId="7" xfId="0" applyNumberFormat="1" applyFill="1" applyBorder="1"/>
    <xf numFmtId="2" fontId="0" fillId="5" borderId="7" xfId="0" applyNumberFormat="1" applyFill="1" applyBorder="1"/>
    <xf numFmtId="2" fontId="0" fillId="13" borderId="7" xfId="0" applyNumberFormat="1" applyFill="1" applyBorder="1"/>
    <xf numFmtId="2" fontId="9" fillId="12" borderId="7" xfId="0" applyNumberFormat="1" applyFont="1" applyFill="1" applyBorder="1"/>
    <xf numFmtId="2" fontId="0" fillId="11" borderId="7" xfId="0" applyNumberFormat="1" applyFill="1" applyBorder="1"/>
    <xf numFmtId="2" fontId="0" fillId="15" borderId="7" xfId="0" applyNumberFormat="1" applyFill="1" applyBorder="1"/>
    <xf numFmtId="2" fontId="0" fillId="17" borderId="7" xfId="0" applyNumberFormat="1" applyFill="1"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0" fontId="1" fillId="0" borderId="0" xfId="0" applyFont="1" applyBorder="1" applyAlignment="1"/>
    <xf numFmtId="0" fontId="0" fillId="0" borderId="0" xfId="0" applyAlignment="1">
      <alignment vertical="top"/>
    </xf>
    <xf numFmtId="0" fontId="0" fillId="0" borderId="0" xfId="0" applyBorder="1" applyAlignment="1">
      <alignment vertical="top"/>
    </xf>
    <xf numFmtId="0" fontId="1" fillId="0" borderId="9" xfId="0" applyFont="1" applyFill="1" applyBorder="1"/>
    <xf numFmtId="0" fontId="1" fillId="0" borderId="9" xfId="0" applyFont="1" applyFill="1" applyBorder="1" applyAlignment="1">
      <alignment vertical="top"/>
    </xf>
    <xf numFmtId="0" fontId="1" fillId="0" borderId="16" xfId="0" applyFont="1" applyFill="1" applyBorder="1"/>
    <xf numFmtId="0" fontId="0" fillId="0" borderId="13" xfId="0" applyBorder="1" applyAlignment="1">
      <alignment horizontal="center"/>
    </xf>
    <xf numFmtId="0" fontId="0" fillId="0" borderId="15" xfId="0" applyBorder="1" applyAlignment="1">
      <alignment horizontal="center"/>
    </xf>
    <xf numFmtId="2" fontId="1" fillId="0" borderId="0" xfId="0" applyNumberFormat="1" applyFont="1" applyBorder="1" applyAlignment="1">
      <alignment horizontal="right"/>
    </xf>
    <xf numFmtId="2" fontId="1" fillId="0" borderId="9" xfId="0" applyNumberFormat="1" applyFont="1" applyBorder="1" applyAlignment="1">
      <alignment horizontal="right"/>
    </xf>
    <xf numFmtId="2" fontId="1" fillId="0" borderId="15" xfId="0" applyNumberFormat="1" applyFont="1" applyBorder="1" applyAlignment="1">
      <alignment horizontal="right"/>
    </xf>
    <xf numFmtId="2" fontId="1" fillId="0" borderId="0" xfId="0" applyNumberFormat="1" applyFont="1" applyBorder="1" applyAlignment="1">
      <alignment horizontal="right" vertical="top"/>
    </xf>
    <xf numFmtId="2" fontId="1" fillId="0" borderId="9" xfId="0" applyNumberFormat="1" applyFont="1" applyBorder="1" applyAlignment="1">
      <alignment horizontal="right" vertical="top"/>
    </xf>
    <xf numFmtId="2" fontId="1" fillId="0" borderId="15" xfId="0" applyNumberFormat="1" applyFont="1" applyBorder="1" applyAlignment="1">
      <alignment horizontal="right" vertical="top"/>
    </xf>
    <xf numFmtId="2" fontId="1" fillId="0" borderId="5" xfId="0" applyNumberFormat="1" applyFont="1" applyBorder="1" applyAlignment="1">
      <alignment horizontal="right"/>
    </xf>
    <xf numFmtId="2" fontId="1" fillId="0" borderId="16" xfId="0" applyNumberFormat="1" applyFont="1" applyBorder="1" applyAlignment="1">
      <alignment horizontal="right"/>
    </xf>
    <xf numFmtId="2" fontId="1" fillId="0" borderId="6" xfId="0" applyNumberFormat="1" applyFont="1" applyBorder="1" applyAlignment="1">
      <alignment horizontal="right"/>
    </xf>
    <xf numFmtId="2" fontId="0" fillId="0" borderId="4" xfId="0" applyNumberFormat="1" applyBorder="1"/>
    <xf numFmtId="2" fontId="0" fillId="0" borderId="16" xfId="0" applyNumberFormat="1" applyFont="1" applyBorder="1"/>
    <xf numFmtId="164" fontId="0" fillId="0" borderId="10" xfId="0" applyNumberFormat="1" applyFont="1" applyBorder="1"/>
    <xf numFmtId="164" fontId="0" fillId="0" borderId="16" xfId="0" applyNumberFormat="1" applyFont="1" applyBorder="1"/>
    <xf numFmtId="164" fontId="0" fillId="0" borderId="19" xfId="0" applyNumberFormat="1" applyBorder="1"/>
    <xf numFmtId="164" fontId="0" fillId="0" borderId="23" xfId="0" applyNumberFormat="1" applyBorder="1"/>
    <xf numFmtId="0" fontId="14" fillId="0" borderId="2" xfId="0" applyFont="1" applyBorder="1"/>
    <xf numFmtId="0" fontId="0" fillId="0" borderId="3" xfId="0" applyBorder="1"/>
    <xf numFmtId="2" fontId="0" fillId="0" borderId="1" xfId="0" applyNumberFormat="1" applyBorder="1"/>
    <xf numFmtId="0" fontId="0" fillId="0" borderId="18" xfId="0" applyBorder="1"/>
    <xf numFmtId="0" fontId="0" fillId="0" borderId="9" xfId="0" applyBorder="1"/>
    <xf numFmtId="2" fontId="0" fillId="0" borderId="18" xfId="0" applyNumberFormat="1" applyBorder="1"/>
    <xf numFmtId="0" fontId="14" fillId="0" borderId="18" xfId="0" applyFont="1" applyBorder="1"/>
    <xf numFmtId="0" fontId="1" fillId="0" borderId="0" xfId="0" applyFont="1" applyBorder="1" applyAlignment="1">
      <alignment horizontal="right"/>
    </xf>
    <xf numFmtId="0" fontId="0" fillId="0" borderId="0" xfId="0" applyBorder="1" applyAlignment="1">
      <alignment horizontal="right"/>
    </xf>
    <xf numFmtId="0" fontId="0" fillId="0" borderId="7" xfId="0" applyFont="1" applyFill="1" applyBorder="1"/>
    <xf numFmtId="0" fontId="0" fillId="0" borderId="14" xfId="0" applyFill="1" applyBorder="1"/>
    <xf numFmtId="0" fontId="0" fillId="0" borderId="25" xfId="0" applyFill="1" applyBorder="1"/>
    <xf numFmtId="1" fontId="0" fillId="0" borderId="7" xfId="0" applyNumberFormat="1" applyBorder="1"/>
    <xf numFmtId="0" fontId="0" fillId="0" borderId="14" xfId="0" applyFill="1" applyBorder="1"/>
    <xf numFmtId="0" fontId="0" fillId="0" borderId="4" xfId="0" applyFill="1" applyBorder="1"/>
    <xf numFmtId="0" fontId="0" fillId="0" borderId="25" xfId="0" applyFill="1" applyBorder="1"/>
    <xf numFmtId="1" fontId="0" fillId="0" borderId="7" xfId="0" applyNumberFormat="1" applyBorder="1"/>
    <xf numFmtId="0" fontId="0" fillId="0" borderId="6" xfId="0" applyFill="1" applyBorder="1"/>
    <xf numFmtId="0" fontId="0" fillId="0" borderId="35" xfId="0" applyBorder="1"/>
    <xf numFmtId="0" fontId="0" fillId="0" borderId="14" xfId="0" applyFill="1" applyBorder="1"/>
    <xf numFmtId="0" fontId="0" fillId="0" borderId="4" xfId="0" applyFill="1" applyBorder="1"/>
    <xf numFmtId="0" fontId="0" fillId="0" borderId="25" xfId="0" applyFill="1" applyBorder="1"/>
    <xf numFmtId="1" fontId="0" fillId="0" borderId="7" xfId="0" applyNumberFormat="1" applyBorder="1"/>
    <xf numFmtId="0" fontId="0" fillId="0" borderId="6" xfId="0" applyFill="1" applyBorder="1"/>
    <xf numFmtId="0" fontId="0" fillId="0" borderId="35" xfId="0" applyBorder="1"/>
    <xf numFmtId="0" fontId="0" fillId="0" borderId="0" xfId="0"/>
    <xf numFmtId="0" fontId="0" fillId="0" borderId="7" xfId="0" applyFill="1" applyBorder="1"/>
    <xf numFmtId="0" fontId="0" fillId="0" borderId="0" xfId="0" applyFill="1"/>
    <xf numFmtId="0" fontId="1" fillId="0" borderId="0" xfId="0" applyFont="1" applyBorder="1"/>
    <xf numFmtId="0" fontId="0" fillId="0" borderId="0" xfId="0" applyFill="1" applyBorder="1"/>
    <xf numFmtId="0" fontId="0" fillId="0" borderId="14" xfId="0" applyFill="1" applyBorder="1"/>
    <xf numFmtId="0" fontId="0" fillId="0" borderId="14" xfId="0" applyBorder="1"/>
    <xf numFmtId="0" fontId="0" fillId="0" borderId="4" xfId="0" applyFill="1" applyBorder="1"/>
    <xf numFmtId="0" fontId="0" fillId="6" borderId="0" xfId="0" applyFill="1" applyBorder="1"/>
    <xf numFmtId="0" fontId="0" fillId="6" borderId="7" xfId="0" applyFill="1" applyBorder="1"/>
    <xf numFmtId="2" fontId="0" fillId="6" borderId="0" xfId="0" applyNumberFormat="1" applyFill="1" applyBorder="1"/>
    <xf numFmtId="0" fontId="0" fillId="6" borderId="8" xfId="0" applyFill="1" applyBorder="1"/>
    <xf numFmtId="0" fontId="1" fillId="6" borderId="32" xfId="0" applyFont="1" applyFill="1" applyBorder="1"/>
    <xf numFmtId="2" fontId="0" fillId="6" borderId="33" xfId="0" applyNumberFormat="1" applyFill="1" applyBorder="1"/>
    <xf numFmtId="0" fontId="0" fillId="6" borderId="34" xfId="0" applyFill="1" applyBorder="1"/>
    <xf numFmtId="0" fontId="0" fillId="0" borderId="0" xfId="0" applyBorder="1"/>
    <xf numFmtId="2" fontId="0" fillId="0" borderId="0" xfId="0" applyNumberFormat="1" applyBorder="1"/>
    <xf numFmtId="164" fontId="1" fillId="6" borderId="0" xfId="0" applyNumberFormat="1" applyFont="1" applyFill="1" applyBorder="1"/>
    <xf numFmtId="164" fontId="1" fillId="6" borderId="17" xfId="0" applyNumberFormat="1" applyFont="1" applyFill="1" applyBorder="1"/>
    <xf numFmtId="3" fontId="0" fillId="6" borderId="0" xfId="0" applyNumberFormat="1" applyFill="1" applyBorder="1"/>
    <xf numFmtId="0" fontId="0" fillId="0" borderId="25" xfId="0" applyBorder="1"/>
    <xf numFmtId="0" fontId="0" fillId="7" borderId="8" xfId="0" applyFill="1" applyBorder="1"/>
    <xf numFmtId="0" fontId="0" fillId="0" borderId="25" xfId="0" applyFill="1" applyBorder="1"/>
    <xf numFmtId="0" fontId="0" fillId="0" borderId="6" xfId="0" applyFill="1" applyBorder="1"/>
    <xf numFmtId="2" fontId="0" fillId="0" borderId="22" xfId="0" applyNumberFormat="1" applyBorder="1"/>
    <xf numFmtId="164" fontId="0" fillId="0" borderId="22" xfId="0" applyNumberFormat="1" applyFont="1" applyBorder="1"/>
    <xf numFmtId="0" fontId="0" fillId="0" borderId="35" xfId="0" applyBorder="1"/>
    <xf numFmtId="4" fontId="0" fillId="0" borderId="14" xfId="0" applyNumberFormat="1" applyBorder="1"/>
    <xf numFmtId="4" fontId="0" fillId="0" borderId="9" xfId="0" applyNumberFormat="1" applyFont="1" applyBorder="1"/>
    <xf numFmtId="4" fontId="0" fillId="0" borderId="15" xfId="0" applyNumberFormat="1" applyBorder="1"/>
    <xf numFmtId="0" fontId="0" fillId="6" borderId="33" xfId="0" applyFill="1" applyBorder="1"/>
    <xf numFmtId="0" fontId="0" fillId="6" borderId="30" xfId="0" applyFill="1" applyBorder="1"/>
    <xf numFmtId="3" fontId="0" fillId="6" borderId="17" xfId="0" applyNumberFormat="1" applyFill="1" applyBorder="1"/>
    <xf numFmtId="3" fontId="0" fillId="6" borderId="17" xfId="0" applyNumberFormat="1" applyFont="1" applyFill="1" applyBorder="1"/>
    <xf numFmtId="2" fontId="0" fillId="6" borderId="17" xfId="0" applyNumberFormat="1" applyFont="1" applyFill="1" applyBorder="1"/>
    <xf numFmtId="2" fontId="0" fillId="6" borderId="31" xfId="0" applyNumberFormat="1" applyFont="1" applyFill="1" applyBorder="1"/>
    <xf numFmtId="4" fontId="0" fillId="6" borderId="33" xfId="0" applyNumberFormat="1" applyFill="1" applyBorder="1"/>
    <xf numFmtId="0" fontId="1" fillId="6" borderId="0" xfId="0" applyFont="1" applyFill="1" applyBorder="1"/>
    <xf numFmtId="2" fontId="0" fillId="6" borderId="8" xfId="0" applyNumberFormat="1" applyFill="1" applyBorder="1"/>
    <xf numFmtId="0" fontId="0" fillId="13" borderId="0" xfId="0" applyFill="1" applyBorder="1"/>
    <xf numFmtId="0" fontId="1" fillId="13" borderId="32" xfId="0" applyFont="1" applyFill="1" applyBorder="1"/>
    <xf numFmtId="2" fontId="0" fillId="13" borderId="33" xfId="0" applyNumberFormat="1" applyFill="1" applyBorder="1"/>
    <xf numFmtId="0" fontId="0" fillId="13" borderId="34" xfId="0" applyFill="1" applyBorder="1"/>
    <xf numFmtId="3" fontId="0" fillId="0" borderId="0" xfId="0" applyNumberFormat="1" applyFont="1" applyFill="1" applyBorder="1"/>
    <xf numFmtId="2" fontId="0" fillId="0" borderId="0" xfId="0" applyNumberFormat="1" applyFont="1" applyFill="1" applyBorder="1"/>
    <xf numFmtId="164" fontId="1" fillId="13" borderId="17" xfId="0" applyNumberFormat="1" applyFont="1" applyFill="1" applyBorder="1"/>
    <xf numFmtId="0" fontId="1" fillId="4" borderId="7" xfId="0" applyFont="1" applyFill="1" applyBorder="1"/>
    <xf numFmtId="0" fontId="0" fillId="4" borderId="27" xfId="0" applyFont="1" applyFill="1" applyBorder="1"/>
    <xf numFmtId="0" fontId="0" fillId="4" borderId="7" xfId="0" applyFont="1" applyFill="1" applyBorder="1"/>
    <xf numFmtId="0" fontId="1" fillId="4" borderId="8" xfId="0" applyFont="1" applyFill="1" applyBorder="1"/>
    <xf numFmtId="171" fontId="0" fillId="0" borderId="0" xfId="0" applyNumberFormat="1" applyFont="1" applyFill="1" applyBorder="1"/>
    <xf numFmtId="1" fontId="0" fillId="4" borderId="0" xfId="0" applyNumberFormat="1" applyFill="1" applyBorder="1"/>
    <xf numFmtId="164" fontId="1" fillId="4" borderId="0" xfId="0" applyNumberFormat="1" applyFont="1" applyFill="1" applyBorder="1"/>
    <xf numFmtId="0" fontId="0" fillId="4" borderId="30" xfId="0" applyFill="1" applyBorder="1"/>
    <xf numFmtId="1" fontId="0" fillId="4" borderId="17" xfId="0" applyNumberFormat="1" applyFill="1" applyBorder="1"/>
    <xf numFmtId="0" fontId="0" fillId="4" borderId="31" xfId="0" applyFill="1" applyBorder="1"/>
    <xf numFmtId="0" fontId="0" fillId="10" borderId="22" xfId="0" applyFill="1" applyBorder="1"/>
    <xf numFmtId="2" fontId="0" fillId="10" borderId="7" xfId="0" applyNumberFormat="1" applyFill="1" applyBorder="1"/>
    <xf numFmtId="164" fontId="1" fillId="10" borderId="9" xfId="0" applyNumberFormat="1" applyFont="1" applyFill="1" applyBorder="1"/>
    <xf numFmtId="164" fontId="0" fillId="10" borderId="7" xfId="0" applyNumberFormat="1" applyFill="1" applyBorder="1"/>
    <xf numFmtId="2" fontId="1" fillId="7" borderId="0" xfId="0" applyNumberFormat="1" applyFont="1" applyFill="1" applyBorder="1"/>
    <xf numFmtId="172" fontId="0" fillId="0" borderId="22" xfId="0" applyNumberFormat="1" applyBorder="1"/>
    <xf numFmtId="10" fontId="0" fillId="0" borderId="0" xfId="0" applyNumberFormat="1" applyBorder="1"/>
    <xf numFmtId="0" fontId="20" fillId="0" borderId="0" xfId="3" applyFill="1"/>
    <xf numFmtId="0" fontId="0" fillId="4" borderId="33" xfId="0" applyFill="1" applyBorder="1"/>
    <xf numFmtId="0" fontId="1" fillId="4" borderId="0" xfId="0" applyFont="1" applyFill="1" applyBorder="1" applyAlignment="1">
      <alignment horizontal="center"/>
    </xf>
    <xf numFmtId="0" fontId="1" fillId="4" borderId="8" xfId="0" applyFont="1" applyFill="1" applyBorder="1" applyAlignment="1">
      <alignment horizontal="center"/>
    </xf>
    <xf numFmtId="2" fontId="0" fillId="4" borderId="8" xfId="0" applyNumberFormat="1" applyFill="1" applyBorder="1"/>
    <xf numFmtId="10" fontId="0" fillId="4" borderId="8" xfId="0" applyNumberFormat="1" applyFill="1" applyBorder="1"/>
    <xf numFmtId="167" fontId="0" fillId="4" borderId="0" xfId="0" applyNumberFormat="1" applyFill="1" applyBorder="1"/>
    <xf numFmtId="0" fontId="0" fillId="4" borderId="17" xfId="0" applyFill="1" applyBorder="1"/>
    <xf numFmtId="167" fontId="0" fillId="4" borderId="17" xfId="0" applyNumberFormat="1" applyFill="1" applyBorder="1"/>
    <xf numFmtId="0" fontId="0" fillId="4" borderId="7" xfId="0" applyFill="1" applyBorder="1" applyAlignment="1">
      <alignment vertical="center" textRotation="90"/>
    </xf>
    <xf numFmtId="0" fontId="0" fillId="4" borderId="7" xfId="0" applyFont="1" applyFill="1" applyBorder="1" applyAlignment="1">
      <alignment vertical="center" textRotation="90"/>
    </xf>
    <xf numFmtId="1" fontId="0" fillId="6" borderId="0" xfId="0" applyNumberFormat="1" applyFill="1" applyBorder="1"/>
    <xf numFmtId="0" fontId="0" fillId="0" borderId="0" xfId="0" applyFont="1" applyFill="1" applyBorder="1" applyAlignment="1">
      <alignment horizontal="left"/>
    </xf>
    <xf numFmtId="164" fontId="0" fillId="0" borderId="0" xfId="0" applyNumberFormat="1" applyFont="1" applyFill="1" applyBorder="1"/>
    <xf numFmtId="0" fontId="0" fillId="0" borderId="0" xfId="0" applyFont="1" applyFill="1" applyAlignment="1">
      <alignment horizontal="left"/>
    </xf>
    <xf numFmtId="0" fontId="15" fillId="0" borderId="0" xfId="0" applyFont="1" applyFill="1" applyBorder="1"/>
    <xf numFmtId="170" fontId="0" fillId="0" borderId="0" xfId="0" applyNumberFormat="1" applyFill="1" applyBorder="1"/>
    <xf numFmtId="0" fontId="14" fillId="0" borderId="0" xfId="0" applyFont="1" applyFill="1" applyBorder="1" applyAlignment="1">
      <alignment horizontal="left"/>
    </xf>
    <xf numFmtId="164" fontId="0" fillId="0" borderId="0" xfId="0" applyNumberFormat="1"/>
    <xf numFmtId="0" fontId="0" fillId="0" borderId="0" xfId="0"/>
    <xf numFmtId="0" fontId="2" fillId="0" borderId="0" xfId="1" applyAlignment="1" applyProtection="1"/>
    <xf numFmtId="0" fontId="0" fillId="0" borderId="2" xfId="0" applyBorder="1"/>
    <xf numFmtId="164" fontId="0" fillId="0" borderId="0" xfId="0" applyNumberFormat="1"/>
    <xf numFmtId="0" fontId="0" fillId="0" borderId="7" xfId="0" applyBorder="1"/>
    <xf numFmtId="0" fontId="0" fillId="0" borderId="7" xfId="0" applyFill="1" applyBorder="1"/>
    <xf numFmtId="2" fontId="0" fillId="0" borderId="0" xfId="0" applyNumberFormat="1"/>
    <xf numFmtId="0" fontId="1" fillId="0" borderId="0" xfId="0" applyFont="1" applyFill="1" applyBorder="1"/>
    <xf numFmtId="164" fontId="0" fillId="0" borderId="0" xfId="0" applyNumberFormat="1" applyFill="1" applyBorder="1"/>
    <xf numFmtId="2" fontId="1" fillId="0" borderId="0" xfId="0" applyNumberFormat="1" applyFont="1" applyFill="1" applyBorder="1"/>
    <xf numFmtId="0" fontId="0" fillId="0" borderId="0" xfId="0" applyFill="1"/>
    <xf numFmtId="0" fontId="1" fillId="0" borderId="0" xfId="0" applyFont="1"/>
    <xf numFmtId="164" fontId="0" fillId="0" borderId="0" xfId="0" applyNumberFormat="1" applyBorder="1"/>
    <xf numFmtId="0" fontId="0" fillId="0" borderId="0" xfId="0" applyFill="1" applyBorder="1"/>
    <xf numFmtId="0" fontId="0" fillId="0" borderId="12" xfId="0" applyBorder="1"/>
    <xf numFmtId="0" fontId="0" fillId="0" borderId="14" xfId="0" applyFill="1" applyBorder="1"/>
    <xf numFmtId="164" fontId="0" fillId="0" borderId="15" xfId="0" applyNumberFormat="1" applyBorder="1"/>
    <xf numFmtId="0" fontId="0" fillId="0" borderId="14" xfId="0" applyBorder="1"/>
    <xf numFmtId="0" fontId="0" fillId="0" borderId="4" xfId="0" applyFill="1" applyBorder="1"/>
    <xf numFmtId="0" fontId="0" fillId="0" borderId="17" xfId="0" applyBorder="1"/>
    <xf numFmtId="0" fontId="1" fillId="0" borderId="1" xfId="0" applyFont="1" applyBorder="1"/>
    <xf numFmtId="164" fontId="0" fillId="0" borderId="9" xfId="0" applyNumberFormat="1" applyBorder="1"/>
    <xf numFmtId="0" fontId="6" fillId="0" borderId="0" xfId="0" applyFont="1"/>
    <xf numFmtId="0" fontId="1" fillId="0" borderId="11" xfId="0" applyFont="1" applyBorder="1" applyAlignment="1">
      <alignment horizontal="center"/>
    </xf>
    <xf numFmtId="0" fontId="1" fillId="0" borderId="20" xfId="0" applyFont="1" applyBorder="1" applyAlignment="1">
      <alignment horizontal="center"/>
    </xf>
    <xf numFmtId="0" fontId="0" fillId="0" borderId="20" xfId="0" applyBorder="1"/>
    <xf numFmtId="0" fontId="1" fillId="0" borderId="21" xfId="0" applyFont="1" applyBorder="1" applyAlignment="1">
      <alignment horizontal="center"/>
    </xf>
    <xf numFmtId="0" fontId="1" fillId="0" borderId="10" xfId="0" applyFont="1" applyBorder="1"/>
    <xf numFmtId="0" fontId="1" fillId="0" borderId="18" xfId="0" applyFont="1" applyBorder="1"/>
    <xf numFmtId="0" fontId="1" fillId="0" borderId="19" xfId="0" applyFont="1" applyBorder="1" applyAlignment="1">
      <alignment horizontal="center"/>
    </xf>
    <xf numFmtId="0" fontId="1" fillId="0" borderId="23" xfId="0" applyFont="1" applyBorder="1" applyAlignment="1">
      <alignment horizontal="center"/>
    </xf>
    <xf numFmtId="0" fontId="0" fillId="0" borderId="24" xfId="0" applyBorder="1"/>
    <xf numFmtId="0" fontId="0" fillId="0" borderId="25" xfId="0" applyBorder="1"/>
    <xf numFmtId="164" fontId="1" fillId="0" borderId="18" xfId="0" applyNumberFormat="1" applyFont="1" applyBorder="1"/>
    <xf numFmtId="0" fontId="0" fillId="2" borderId="21" xfId="0" applyFill="1" applyBorder="1"/>
    <xf numFmtId="164" fontId="0" fillId="2" borderId="20" xfId="0" applyNumberFormat="1" applyFill="1" applyBorder="1"/>
    <xf numFmtId="0" fontId="0" fillId="3" borderId="7" xfId="0" applyFill="1" applyBorder="1"/>
    <xf numFmtId="164" fontId="0" fillId="3" borderId="7" xfId="0" applyNumberFormat="1" applyFill="1" applyBorder="1"/>
    <xf numFmtId="164" fontId="0" fillId="4" borderId="0" xfId="0" applyNumberFormat="1" applyFill="1" applyBorder="1"/>
    <xf numFmtId="0" fontId="0" fillId="4" borderId="22" xfId="0" applyFill="1" applyBorder="1"/>
    <xf numFmtId="0" fontId="0" fillId="4" borderId="7" xfId="0" applyFill="1" applyBorder="1"/>
    <xf numFmtId="164" fontId="0" fillId="4" borderId="7" xfId="0" applyNumberFormat="1" applyFill="1" applyBorder="1"/>
    <xf numFmtId="0" fontId="0" fillId="5" borderId="0" xfId="0" applyFill="1" applyBorder="1"/>
    <xf numFmtId="164" fontId="0" fillId="5" borderId="7" xfId="0" applyNumberFormat="1" applyFill="1" applyBorder="1"/>
    <xf numFmtId="0" fontId="0" fillId="5" borderId="7" xfId="0" applyFill="1" applyBorder="1"/>
    <xf numFmtId="0" fontId="0" fillId="3" borderId="0" xfId="0" applyFill="1" applyBorder="1"/>
    <xf numFmtId="0" fontId="0" fillId="6" borderId="0" xfId="0" applyFill="1" applyBorder="1"/>
    <xf numFmtId="164" fontId="0" fillId="6" borderId="7" xfId="0" applyNumberFormat="1" applyFill="1" applyBorder="1"/>
    <xf numFmtId="0" fontId="0" fillId="6" borderId="7" xfId="0" applyFill="1" applyBorder="1"/>
    <xf numFmtId="0" fontId="0" fillId="7" borderId="0" xfId="0" applyFill="1" applyBorder="1"/>
    <xf numFmtId="164" fontId="0" fillId="7" borderId="7" xfId="0" applyNumberFormat="1" applyFill="1" applyBorder="1"/>
    <xf numFmtId="0" fontId="0" fillId="8" borderId="7" xfId="0" applyFill="1" applyBorder="1"/>
    <xf numFmtId="0" fontId="0" fillId="2" borderId="7" xfId="0" applyFill="1" applyBorder="1"/>
    <xf numFmtId="2" fontId="0" fillId="2" borderId="0" xfId="0" applyNumberFormat="1" applyFill="1" applyBorder="1"/>
    <xf numFmtId="0" fontId="0" fillId="2" borderId="8" xfId="0" applyFill="1" applyBorder="1"/>
    <xf numFmtId="0" fontId="0" fillId="4" borderId="8" xfId="0" applyFill="1" applyBorder="1"/>
    <xf numFmtId="2" fontId="0" fillId="6" borderId="0" xfId="0" applyNumberFormat="1" applyFill="1" applyBorder="1"/>
    <xf numFmtId="0" fontId="0" fillId="6" borderId="8" xfId="0" applyFill="1" applyBorder="1"/>
    <xf numFmtId="0" fontId="0" fillId="3" borderId="8" xfId="0" applyFill="1" applyBorder="1"/>
    <xf numFmtId="0" fontId="1" fillId="3" borderId="32" xfId="0" applyFont="1" applyFill="1" applyBorder="1"/>
    <xf numFmtId="2" fontId="0" fillId="3" borderId="33" xfId="0" applyNumberFormat="1" applyFill="1" applyBorder="1"/>
    <xf numFmtId="0" fontId="0" fillId="3" borderId="34" xfId="0" applyFill="1" applyBorder="1"/>
    <xf numFmtId="0" fontId="1" fillId="6" borderId="32" xfId="0" applyFont="1" applyFill="1" applyBorder="1"/>
    <xf numFmtId="2" fontId="0" fillId="6" borderId="33" xfId="0" applyNumberFormat="1" applyFill="1" applyBorder="1"/>
    <xf numFmtId="0" fontId="0" fillId="6" borderId="34" xfId="0" applyFill="1" applyBorder="1"/>
    <xf numFmtId="0" fontId="1" fillId="4" borderId="32" xfId="0" applyFont="1" applyFill="1" applyBorder="1"/>
    <xf numFmtId="0" fontId="0" fillId="4" borderId="34" xfId="0" applyFill="1" applyBorder="1"/>
    <xf numFmtId="0" fontId="1" fillId="2" borderId="32" xfId="0" applyFont="1" applyFill="1" applyBorder="1"/>
    <xf numFmtId="0" fontId="0" fillId="2" borderId="33" xfId="0" applyFill="1" applyBorder="1"/>
    <xf numFmtId="0" fontId="0" fillId="2" borderId="34" xfId="0" applyFill="1" applyBorder="1"/>
    <xf numFmtId="0" fontId="0" fillId="8" borderId="8" xfId="0" applyFill="1" applyBorder="1"/>
    <xf numFmtId="164" fontId="0" fillId="8" borderId="0" xfId="0" applyNumberFormat="1" applyFill="1" applyBorder="1"/>
    <xf numFmtId="0" fontId="1" fillId="8" borderId="32" xfId="0" applyFont="1" applyFill="1" applyBorder="1"/>
    <xf numFmtId="0" fontId="0" fillId="8" borderId="33" xfId="0" applyFill="1" applyBorder="1"/>
    <xf numFmtId="0" fontId="0" fillId="8" borderId="34" xfId="0" applyFill="1" applyBorder="1"/>
    <xf numFmtId="0" fontId="0" fillId="9" borderId="9" xfId="0" applyFill="1" applyBorder="1"/>
    <xf numFmtId="164" fontId="0" fillId="9" borderId="0" xfId="0" applyNumberFormat="1" applyFill="1" applyBorder="1"/>
    <xf numFmtId="0" fontId="0" fillId="9" borderId="22" xfId="0" applyFill="1" applyBorder="1"/>
    <xf numFmtId="0" fontId="0" fillId="9" borderId="7" xfId="0" applyFill="1" applyBorder="1"/>
    <xf numFmtId="164" fontId="0" fillId="9" borderId="7" xfId="0" applyNumberFormat="1" applyFill="1" applyBorder="1"/>
    <xf numFmtId="0" fontId="0" fillId="9" borderId="0" xfId="0" applyFill="1" applyBorder="1"/>
    <xf numFmtId="0" fontId="0" fillId="9" borderId="30" xfId="0" applyFill="1" applyBorder="1"/>
    <xf numFmtId="0" fontId="0" fillId="9" borderId="17" xfId="0" applyFill="1" applyBorder="1"/>
    <xf numFmtId="0" fontId="1" fillId="9" borderId="32" xfId="0" applyFont="1" applyFill="1" applyBorder="1"/>
    <xf numFmtId="0" fontId="0" fillId="9" borderId="33" xfId="0" applyFill="1" applyBorder="1"/>
    <xf numFmtId="2" fontId="0" fillId="2" borderId="20" xfId="0" applyNumberFormat="1" applyFill="1" applyBorder="1"/>
    <xf numFmtId="2" fontId="0" fillId="6" borderId="7" xfId="0" applyNumberFormat="1" applyFill="1" applyBorder="1"/>
    <xf numFmtId="2" fontId="0" fillId="3" borderId="7" xfId="0" applyNumberFormat="1" applyFill="1" applyBorder="1"/>
    <xf numFmtId="2" fontId="0" fillId="9" borderId="7" xfId="0" applyNumberFormat="1" applyFill="1" applyBorder="1"/>
    <xf numFmtId="2" fontId="0" fillId="4" borderId="7" xfId="0" applyNumberFormat="1" applyFill="1" applyBorder="1"/>
    <xf numFmtId="2" fontId="0" fillId="5" borderId="7" xfId="0" applyNumberFormat="1" applyFill="1" applyBorder="1"/>
    <xf numFmtId="0" fontId="0" fillId="0" borderId="0" xfId="0" applyBorder="1"/>
    <xf numFmtId="0" fontId="1" fillId="3" borderId="30" xfId="0" applyFont="1" applyFill="1" applyBorder="1"/>
    <xf numFmtId="0" fontId="1" fillId="5" borderId="30" xfId="0" applyFont="1" applyFill="1" applyBorder="1"/>
    <xf numFmtId="164" fontId="1" fillId="5" borderId="17" xfId="0" applyNumberFormat="1" applyFont="1" applyFill="1" applyBorder="1"/>
    <xf numFmtId="0" fontId="1" fillId="5" borderId="31" xfId="0" applyFont="1" applyFill="1" applyBorder="1"/>
    <xf numFmtId="0" fontId="0" fillId="2" borderId="0" xfId="0" applyNumberFormat="1" applyFill="1" applyBorder="1"/>
    <xf numFmtId="0" fontId="7" fillId="0" borderId="0" xfId="0" applyFont="1"/>
    <xf numFmtId="0" fontId="0" fillId="0" borderId="26" xfId="0" applyFill="1" applyBorder="1"/>
    <xf numFmtId="2" fontId="0" fillId="0" borderId="0" xfId="0" applyNumberFormat="1" applyFill="1" applyBorder="1"/>
    <xf numFmtId="0" fontId="0" fillId="0" borderId="0" xfId="0" applyFont="1"/>
    <xf numFmtId="0" fontId="6" fillId="0" borderId="17" xfId="0" applyFont="1" applyBorder="1"/>
    <xf numFmtId="164" fontId="0" fillId="0" borderId="17" xfId="0" applyNumberFormat="1" applyBorder="1"/>
    <xf numFmtId="0" fontId="1" fillId="0" borderId="10" xfId="0" applyFont="1" applyBorder="1" applyAlignment="1">
      <alignment horizontal="center"/>
    </xf>
    <xf numFmtId="0" fontId="1" fillId="0" borderId="1" xfId="0" applyFont="1" applyFill="1" applyBorder="1"/>
    <xf numFmtId="164" fontId="0" fillId="0" borderId="14" xfId="0" applyNumberFormat="1" applyBorder="1"/>
    <xf numFmtId="0" fontId="0" fillId="0" borderId="7" xfId="0" applyBorder="1" applyAlignment="1">
      <alignment horizontal="right"/>
    </xf>
    <xf numFmtId="164" fontId="0" fillId="6" borderId="14" xfId="0" applyNumberFormat="1" applyFill="1" applyBorder="1"/>
    <xf numFmtId="0" fontId="0" fillId="0" borderId="0" xfId="0" applyFont="1" applyBorder="1"/>
    <xf numFmtId="0" fontId="0" fillId="11" borderId="7" xfId="0" applyFill="1" applyBorder="1"/>
    <xf numFmtId="10" fontId="0" fillId="0" borderId="2" xfId="0" applyNumberFormat="1" applyBorder="1"/>
    <xf numFmtId="0" fontId="0" fillId="12" borderId="7" xfId="0" applyFill="1" applyBorder="1"/>
    <xf numFmtId="10" fontId="0" fillId="9" borderId="0" xfId="0" applyNumberFormat="1" applyFill="1" applyBorder="1"/>
    <xf numFmtId="164" fontId="0" fillId="11" borderId="0" xfId="0" applyNumberFormat="1" applyFill="1" applyBorder="1"/>
    <xf numFmtId="0" fontId="0" fillId="11" borderId="0" xfId="0" applyFill="1" applyBorder="1"/>
    <xf numFmtId="0" fontId="1" fillId="11" borderId="32" xfId="0" applyFont="1" applyFill="1" applyBorder="1"/>
    <xf numFmtId="2" fontId="0" fillId="11" borderId="33" xfId="0" applyNumberFormat="1" applyFill="1" applyBorder="1"/>
    <xf numFmtId="0" fontId="0" fillId="11" borderId="34" xfId="0" applyFill="1" applyBorder="1"/>
    <xf numFmtId="1" fontId="0" fillId="11" borderId="0" xfId="0" applyNumberFormat="1" applyFont="1" applyFill="1" applyBorder="1"/>
    <xf numFmtId="0" fontId="0" fillId="11" borderId="8" xfId="0" applyFill="1" applyBorder="1"/>
    <xf numFmtId="0" fontId="1" fillId="11" borderId="30" xfId="0" applyFont="1" applyFill="1" applyBorder="1"/>
    <xf numFmtId="0" fontId="1" fillId="11" borderId="31" xfId="0" applyFont="1" applyFill="1" applyBorder="1"/>
    <xf numFmtId="164" fontId="0" fillId="10" borderId="0" xfId="0" applyNumberFormat="1" applyFill="1" applyBorder="1"/>
    <xf numFmtId="0" fontId="0" fillId="12" borderId="0" xfId="0" applyFill="1" applyBorder="1"/>
    <xf numFmtId="10" fontId="0" fillId="7" borderId="0" xfId="0" applyNumberFormat="1" applyFill="1" applyBorder="1"/>
    <xf numFmtId="10" fontId="0" fillId="5" borderId="0" xfId="0" applyNumberFormat="1" applyFill="1" applyBorder="1"/>
    <xf numFmtId="164" fontId="0" fillId="3" borderId="0" xfId="0" applyNumberFormat="1" applyFill="1" applyBorder="1"/>
    <xf numFmtId="10" fontId="0" fillId="3" borderId="0" xfId="0" applyNumberFormat="1" applyFill="1" applyBorder="1"/>
    <xf numFmtId="10" fontId="0" fillId="6" borderId="0" xfId="0" applyNumberFormat="1" applyFill="1" applyBorder="1"/>
    <xf numFmtId="164" fontId="0" fillId="13" borderId="0" xfId="0" applyNumberFormat="1" applyFill="1" applyBorder="1"/>
    <xf numFmtId="0" fontId="0" fillId="13" borderId="0" xfId="0" applyFill="1" applyBorder="1"/>
    <xf numFmtId="10" fontId="0" fillId="13" borderId="0" xfId="0" applyNumberFormat="1" applyFill="1" applyBorder="1"/>
    <xf numFmtId="0" fontId="0" fillId="13" borderId="7" xfId="0" applyFill="1" applyBorder="1"/>
    <xf numFmtId="0" fontId="0" fillId="0" borderId="2" xfId="0" applyFont="1" applyBorder="1"/>
    <xf numFmtId="0" fontId="0" fillId="11" borderId="9" xfId="0" applyFill="1" applyBorder="1"/>
    <xf numFmtId="0" fontId="0" fillId="10" borderId="9" xfId="0" applyFill="1" applyBorder="1"/>
    <xf numFmtId="164" fontId="1" fillId="11" borderId="17" xfId="0" applyNumberFormat="1" applyFont="1" applyFill="1" applyBorder="1"/>
    <xf numFmtId="0" fontId="1" fillId="10" borderId="32" xfId="0" applyFont="1" applyFill="1" applyBorder="1"/>
    <xf numFmtId="0" fontId="0" fillId="10" borderId="33" xfId="0" applyFill="1" applyBorder="1"/>
    <xf numFmtId="0" fontId="0" fillId="10" borderId="34" xfId="0" applyFill="1" applyBorder="1"/>
    <xf numFmtId="0" fontId="1" fillId="10" borderId="30" xfId="0" applyFont="1" applyFill="1" applyBorder="1"/>
    <xf numFmtId="164" fontId="1" fillId="10" borderId="17" xfId="0" applyNumberFormat="1" applyFont="1" applyFill="1" applyBorder="1"/>
    <xf numFmtId="0" fontId="1" fillId="10" borderId="31" xfId="0" applyFont="1" applyFill="1" applyBorder="1"/>
    <xf numFmtId="0" fontId="0" fillId="13" borderId="8" xfId="0" applyFill="1" applyBorder="1"/>
    <xf numFmtId="164" fontId="0" fillId="3" borderId="14" xfId="0" applyNumberFormat="1" applyFill="1" applyBorder="1"/>
    <xf numFmtId="164" fontId="0" fillId="3" borderId="25" xfId="0" applyNumberFormat="1" applyFill="1" applyBorder="1"/>
    <xf numFmtId="0" fontId="1" fillId="3" borderId="7" xfId="0" applyFont="1" applyFill="1" applyBorder="1"/>
    <xf numFmtId="0" fontId="1" fillId="3" borderId="8" xfId="0" applyFont="1" applyFill="1" applyBorder="1"/>
    <xf numFmtId="164" fontId="1" fillId="6" borderId="0" xfId="0" applyNumberFormat="1" applyFont="1" applyFill="1" applyBorder="1"/>
    <xf numFmtId="164" fontId="1" fillId="6" borderId="17" xfId="0" applyNumberFormat="1" applyFont="1" applyFill="1" applyBorder="1"/>
    <xf numFmtId="164" fontId="0" fillId="6" borderId="25" xfId="0" applyNumberFormat="1" applyFill="1" applyBorder="1"/>
    <xf numFmtId="0" fontId="1" fillId="0" borderId="12" xfId="0" applyFont="1" applyFill="1" applyBorder="1" applyAlignment="1">
      <alignment horizontal="center"/>
    </xf>
    <xf numFmtId="0" fontId="1" fillId="0" borderId="20" xfId="0" applyFont="1" applyFill="1" applyBorder="1" applyAlignment="1">
      <alignment horizontal="center"/>
    </xf>
    <xf numFmtId="0" fontId="1" fillId="0" borderId="24" xfId="0" applyFont="1" applyFill="1" applyBorder="1" applyAlignment="1">
      <alignment horizontal="center"/>
    </xf>
    <xf numFmtId="164" fontId="10" fillId="0" borderId="7" xfId="0" applyNumberFormat="1" applyFont="1" applyFill="1" applyBorder="1"/>
    <xf numFmtId="0" fontId="10" fillId="0" borderId="7" xfId="0" applyFont="1" applyFill="1" applyBorder="1"/>
    <xf numFmtId="0" fontId="10" fillId="0" borderId="25" xfId="0" applyFont="1" applyFill="1" applyBorder="1"/>
    <xf numFmtId="164" fontId="10" fillId="0" borderId="25" xfId="0" applyNumberFormat="1" applyFont="1" applyFill="1" applyBorder="1"/>
    <xf numFmtId="0" fontId="10" fillId="0" borderId="20" xfId="0" applyFont="1" applyFill="1" applyBorder="1"/>
    <xf numFmtId="0" fontId="10" fillId="0" borderId="24" xfId="0" applyFont="1" applyFill="1" applyBorder="1"/>
    <xf numFmtId="0" fontId="0" fillId="13" borderId="22" xfId="0" applyFill="1" applyBorder="1"/>
    <xf numFmtId="2" fontId="0" fillId="13" borderId="7" xfId="0" applyNumberFormat="1" applyFill="1" applyBorder="1"/>
    <xf numFmtId="164" fontId="0" fillId="13" borderId="7" xfId="0" applyNumberFormat="1" applyFill="1" applyBorder="1"/>
    <xf numFmtId="3" fontId="0" fillId="0" borderId="0" xfId="0" applyNumberFormat="1" applyFill="1" applyBorder="1"/>
    <xf numFmtId="3" fontId="0" fillId="6" borderId="0" xfId="0" applyNumberFormat="1" applyFill="1" applyBorder="1"/>
    <xf numFmtId="0" fontId="10" fillId="0" borderId="22" xfId="0" applyFont="1" applyFill="1" applyBorder="1"/>
    <xf numFmtId="0" fontId="10" fillId="7" borderId="7" xfId="0" applyFont="1" applyFill="1" applyBorder="1"/>
    <xf numFmtId="0" fontId="10" fillId="7" borderId="25" xfId="0" applyFont="1" applyFill="1" applyBorder="1"/>
    <xf numFmtId="0" fontId="9" fillId="12" borderId="0" xfId="0" applyFont="1" applyFill="1" applyBorder="1"/>
    <xf numFmtId="164" fontId="9" fillId="12" borderId="7" xfId="0" applyNumberFormat="1" applyFont="1" applyFill="1" applyBorder="1"/>
    <xf numFmtId="0" fontId="9" fillId="12" borderId="7" xfId="0" applyFont="1" applyFill="1" applyBorder="1"/>
    <xf numFmtId="2" fontId="9" fillId="12" borderId="7" xfId="0" applyNumberFormat="1" applyFont="1" applyFill="1" applyBorder="1"/>
    <xf numFmtId="0" fontId="9" fillId="12" borderId="25" xfId="0" applyFont="1" applyFill="1" applyBorder="1"/>
    <xf numFmtId="0" fontId="11" fillId="12" borderId="32" xfId="0" applyFont="1" applyFill="1" applyBorder="1"/>
    <xf numFmtId="0" fontId="0" fillId="12" borderId="33" xfId="0" applyFill="1" applyBorder="1"/>
    <xf numFmtId="0" fontId="0" fillId="12" borderId="34" xfId="0" applyFill="1" applyBorder="1"/>
    <xf numFmtId="3" fontId="0" fillId="12" borderId="0" xfId="0" applyNumberFormat="1" applyFill="1" applyBorder="1"/>
    <xf numFmtId="0" fontId="0" fillId="12" borderId="30" xfId="0" applyFill="1" applyBorder="1"/>
    <xf numFmtId="0" fontId="1" fillId="12" borderId="17" xfId="0" applyFont="1" applyFill="1" applyBorder="1"/>
    <xf numFmtId="164" fontId="0" fillId="11" borderId="7" xfId="0" applyNumberFormat="1" applyFill="1" applyBorder="1"/>
    <xf numFmtId="2" fontId="0" fillId="11" borderId="7" xfId="0" applyNumberFormat="1" applyFill="1" applyBorder="1"/>
    <xf numFmtId="10" fontId="0" fillId="2" borderId="11" xfId="0" applyNumberFormat="1" applyFill="1" applyBorder="1"/>
    <xf numFmtId="10" fontId="9" fillId="12" borderId="0" xfId="0" applyNumberFormat="1" applyFont="1" applyFill="1" applyBorder="1"/>
    <xf numFmtId="10" fontId="0" fillId="4" borderId="0" xfId="0" applyNumberFormat="1" applyFill="1" applyBorder="1"/>
    <xf numFmtId="164" fontId="1" fillId="2" borderId="10" xfId="0" applyNumberFormat="1" applyFont="1" applyFill="1" applyBorder="1"/>
    <xf numFmtId="164" fontId="1" fillId="7" borderId="9" xfId="0" applyNumberFormat="1" applyFont="1" applyFill="1" applyBorder="1"/>
    <xf numFmtId="164" fontId="11" fillId="12" borderId="9" xfId="0" applyNumberFormat="1" applyFont="1" applyFill="1" applyBorder="1"/>
    <xf numFmtId="164" fontId="1" fillId="6" borderId="9" xfId="0" applyNumberFormat="1" applyFont="1" applyFill="1" applyBorder="1"/>
    <xf numFmtId="164" fontId="1" fillId="3" borderId="9" xfId="0" applyNumberFormat="1" applyFont="1" applyFill="1" applyBorder="1"/>
    <xf numFmtId="164" fontId="1" fillId="9" borderId="9" xfId="0" applyNumberFormat="1" applyFont="1" applyFill="1" applyBorder="1"/>
    <xf numFmtId="164" fontId="1" fillId="13" borderId="9" xfId="0" applyNumberFormat="1" applyFont="1" applyFill="1" applyBorder="1"/>
    <xf numFmtId="164" fontId="1" fillId="4" borderId="9" xfId="0" applyNumberFormat="1" applyFont="1" applyFill="1" applyBorder="1"/>
    <xf numFmtId="164" fontId="1" fillId="5" borderId="9" xfId="0" applyNumberFormat="1" applyFont="1" applyFill="1" applyBorder="1"/>
    <xf numFmtId="164" fontId="1" fillId="11" borderId="9" xfId="0" applyNumberFormat="1" applyFont="1" applyFill="1" applyBorder="1"/>
    <xf numFmtId="0" fontId="0" fillId="4" borderId="0" xfId="0" applyFill="1" applyBorder="1"/>
    <xf numFmtId="0" fontId="1" fillId="13" borderId="32" xfId="0" applyFont="1" applyFill="1" applyBorder="1"/>
    <xf numFmtId="2" fontId="0" fillId="13" borderId="33" xfId="0" applyNumberFormat="1" applyFill="1" applyBorder="1"/>
    <xf numFmtId="0" fontId="0" fillId="13" borderId="34" xfId="0" applyFill="1" applyBorder="1"/>
    <xf numFmtId="0" fontId="1" fillId="13" borderId="31" xfId="0" applyFont="1" applyFill="1" applyBorder="1"/>
    <xf numFmtId="0" fontId="2" fillId="0" borderId="0" xfId="1" applyFont="1" applyAlignment="1" applyProtection="1"/>
    <xf numFmtId="164" fontId="1" fillId="0" borderId="0" xfId="0" applyNumberFormat="1" applyFont="1" applyFill="1" applyBorder="1"/>
    <xf numFmtId="164" fontId="11" fillId="0" borderId="0" xfId="0" applyNumberFormat="1" applyFont="1" applyFill="1" applyBorder="1"/>
    <xf numFmtId="165" fontId="0" fillId="0" borderId="0" xfId="0" applyNumberFormat="1"/>
    <xf numFmtId="0" fontId="0" fillId="0" borderId="12" xfId="0" applyFill="1" applyBorder="1"/>
    <xf numFmtId="0" fontId="1" fillId="0" borderId="0" xfId="0" applyFont="1" applyAlignment="1">
      <alignment horizontal="right"/>
    </xf>
    <xf numFmtId="0" fontId="1" fillId="0" borderId="0" xfId="0" applyFont="1" applyBorder="1" applyAlignment="1">
      <alignment horizontal="right"/>
    </xf>
    <xf numFmtId="0" fontId="1" fillId="15" borderId="32" xfId="0" applyFont="1" applyFill="1" applyBorder="1"/>
    <xf numFmtId="164" fontId="1" fillId="15" borderId="33" xfId="0" applyNumberFormat="1" applyFont="1" applyFill="1" applyBorder="1"/>
    <xf numFmtId="0" fontId="1" fillId="15" borderId="34" xfId="0" applyFont="1" applyFill="1" applyBorder="1"/>
    <xf numFmtId="164" fontId="0" fillId="15" borderId="0" xfId="0" applyNumberFormat="1" applyFill="1" applyBorder="1"/>
    <xf numFmtId="0" fontId="0" fillId="15" borderId="22" xfId="0" applyFill="1" applyBorder="1"/>
    <xf numFmtId="0" fontId="0" fillId="15" borderId="7" xfId="0" applyFill="1" applyBorder="1"/>
    <xf numFmtId="2" fontId="0" fillId="15" borderId="7" xfId="0" applyNumberFormat="1" applyFill="1" applyBorder="1"/>
    <xf numFmtId="164" fontId="1" fillId="15" borderId="9" xfId="0" applyNumberFormat="1" applyFont="1" applyFill="1" applyBorder="1"/>
    <xf numFmtId="10" fontId="0" fillId="15" borderId="0" xfId="0" applyNumberFormat="1" applyFill="1" applyBorder="1"/>
    <xf numFmtId="164" fontId="0" fillId="15" borderId="7" xfId="0" applyNumberFormat="1" applyFill="1" applyBorder="1"/>
    <xf numFmtId="3" fontId="0" fillId="0" borderId="0" xfId="0" applyNumberFormat="1" applyFill="1"/>
    <xf numFmtId="2" fontId="0" fillId="0" borderId="0" xfId="0" applyNumberFormat="1" applyFill="1"/>
    <xf numFmtId="0" fontId="0" fillId="0" borderId="31" xfId="0" applyBorder="1"/>
    <xf numFmtId="0" fontId="0" fillId="0" borderId="30" xfId="0" applyFill="1" applyBorder="1"/>
    <xf numFmtId="166" fontId="0" fillId="0" borderId="0" xfId="0" applyNumberFormat="1"/>
    <xf numFmtId="11" fontId="0" fillId="0" borderId="0" xfId="0" applyNumberFormat="1" applyFill="1" applyBorder="1"/>
    <xf numFmtId="10" fontId="0" fillId="10" borderId="0" xfId="0" applyNumberFormat="1" applyFill="1" applyBorder="1"/>
    <xf numFmtId="10" fontId="0" fillId="11" borderId="0" xfId="0" applyNumberFormat="1" applyFill="1" applyBorder="1"/>
    <xf numFmtId="0" fontId="1" fillId="5" borderId="27" xfId="0" applyFont="1" applyFill="1" applyBorder="1"/>
    <xf numFmtId="2" fontId="0" fillId="5" borderId="28" xfId="0" applyNumberFormat="1" applyFill="1" applyBorder="1"/>
    <xf numFmtId="0" fontId="0" fillId="5" borderId="29" xfId="0" applyFill="1" applyBorder="1"/>
    <xf numFmtId="0" fontId="0" fillId="5" borderId="27" xfId="0" applyFill="1" applyBorder="1"/>
    <xf numFmtId="2" fontId="0" fillId="2" borderId="11" xfId="0" applyNumberFormat="1" applyFill="1" applyBorder="1"/>
    <xf numFmtId="2" fontId="0" fillId="0" borderId="17" xfId="0" applyNumberFormat="1" applyBorder="1"/>
    <xf numFmtId="164" fontId="0" fillId="0" borderId="28" xfId="0" applyNumberFormat="1" applyFont="1" applyBorder="1"/>
    <xf numFmtId="0" fontId="1" fillId="0" borderId="27" xfId="0" applyFont="1" applyBorder="1"/>
    <xf numFmtId="0" fontId="0" fillId="0" borderId="29" xfId="0" applyFont="1" applyBorder="1"/>
    <xf numFmtId="0" fontId="0" fillId="0" borderId="27" xfId="0" applyBorder="1"/>
    <xf numFmtId="2" fontId="0" fillId="0" borderId="28" xfId="0" applyNumberFormat="1" applyBorder="1"/>
    <xf numFmtId="0" fontId="0" fillId="0" borderId="29" xfId="0" applyBorder="1"/>
    <xf numFmtId="2" fontId="0" fillId="3" borderId="0" xfId="0" applyNumberFormat="1" applyFill="1" applyBorder="1"/>
    <xf numFmtId="164" fontId="0" fillId="5" borderId="0" xfId="0" applyNumberFormat="1" applyFont="1" applyFill="1" applyBorder="1"/>
    <xf numFmtId="0" fontId="0" fillId="5" borderId="7" xfId="0" applyFont="1" applyFill="1" applyBorder="1"/>
    <xf numFmtId="0" fontId="0" fillId="5" borderId="8" xfId="0" applyFont="1" applyFill="1" applyBorder="1"/>
    <xf numFmtId="0" fontId="1" fillId="0" borderId="17" xfId="0" applyFont="1" applyBorder="1"/>
    <xf numFmtId="0" fontId="0" fillId="2" borderId="10" xfId="0" applyFill="1" applyBorder="1"/>
    <xf numFmtId="0" fontId="0" fillId="3" borderId="9" xfId="0" applyFill="1" applyBorder="1"/>
    <xf numFmtId="0" fontId="0" fillId="4" borderId="9" xfId="0" applyFill="1" applyBorder="1"/>
    <xf numFmtId="0" fontId="0" fillId="5" borderId="9" xfId="0" applyFill="1" applyBorder="1"/>
    <xf numFmtId="0" fontId="0" fillId="6" borderId="9" xfId="0" applyFill="1" applyBorder="1"/>
    <xf numFmtId="0" fontId="0" fillId="7" borderId="9" xfId="0" applyFill="1" applyBorder="1"/>
    <xf numFmtId="0" fontId="0" fillId="7" borderId="7" xfId="0" applyFill="1" applyBorder="1"/>
    <xf numFmtId="2" fontId="0" fillId="7" borderId="0" xfId="0" applyNumberFormat="1" applyFill="1" applyBorder="1"/>
    <xf numFmtId="0" fontId="0" fillId="7" borderId="8" xfId="0" applyFill="1" applyBorder="1"/>
    <xf numFmtId="0" fontId="1" fillId="7" borderId="0" xfId="0" applyFont="1" applyFill="1" applyBorder="1"/>
    <xf numFmtId="0" fontId="0" fillId="7" borderId="17" xfId="0" applyFill="1" applyBorder="1"/>
    <xf numFmtId="0" fontId="1" fillId="7" borderId="32" xfId="0" applyFont="1" applyFill="1" applyBorder="1"/>
    <xf numFmtId="2" fontId="0" fillId="7" borderId="33" xfId="0" applyNumberFormat="1" applyFill="1" applyBorder="1"/>
    <xf numFmtId="0" fontId="0" fillId="7" borderId="33" xfId="0" applyFill="1" applyBorder="1"/>
    <xf numFmtId="0" fontId="0" fillId="7" borderId="34" xfId="0" applyFill="1" applyBorder="1"/>
    <xf numFmtId="3" fontId="0" fillId="7" borderId="0" xfId="0" applyNumberFormat="1" applyFill="1" applyBorder="1"/>
    <xf numFmtId="0" fontId="0" fillId="13" borderId="9" xfId="0" applyFill="1" applyBorder="1"/>
    <xf numFmtId="0" fontId="9" fillId="12" borderId="9" xfId="0" applyFont="1" applyFill="1" applyBorder="1"/>
    <xf numFmtId="0" fontId="0" fillId="15" borderId="8" xfId="0" applyFont="1" applyFill="1" applyBorder="1"/>
    <xf numFmtId="0" fontId="0" fillId="15" borderId="9" xfId="0" applyFill="1" applyBorder="1"/>
    <xf numFmtId="0" fontId="0" fillId="0" borderId="0" xfId="0" applyFont="1" applyFill="1" applyBorder="1"/>
    <xf numFmtId="0" fontId="1" fillId="7" borderId="7" xfId="0" applyFont="1" applyFill="1" applyBorder="1"/>
    <xf numFmtId="2" fontId="0" fillId="15" borderId="0" xfId="0" applyNumberFormat="1" applyFill="1" applyBorder="1"/>
    <xf numFmtId="0" fontId="0" fillId="15" borderId="27" xfId="0" applyFill="1" applyBorder="1"/>
    <xf numFmtId="2" fontId="0" fillId="15" borderId="28" xfId="0" applyNumberFormat="1" applyFont="1" applyFill="1" applyBorder="1"/>
    <xf numFmtId="0" fontId="0" fillId="15" borderId="29" xfId="0" applyFont="1" applyFill="1" applyBorder="1"/>
    <xf numFmtId="2" fontId="0" fillId="7" borderId="17" xfId="0" applyNumberFormat="1" applyFill="1" applyBorder="1"/>
    <xf numFmtId="0" fontId="1" fillId="7" borderId="17" xfId="0" applyFont="1" applyFill="1" applyBorder="1"/>
    <xf numFmtId="4" fontId="1" fillId="7" borderId="17" xfId="0" applyNumberFormat="1" applyFont="1" applyFill="1" applyBorder="1"/>
    <xf numFmtId="0" fontId="0" fillId="4" borderId="27" xfId="0" applyFill="1" applyBorder="1"/>
    <xf numFmtId="0" fontId="15" fillId="0" borderId="0" xfId="0" applyFont="1"/>
    <xf numFmtId="164" fontId="0" fillId="0" borderId="9" xfId="0" applyNumberFormat="1" applyFill="1" applyBorder="1"/>
    <xf numFmtId="164" fontId="0" fillId="0" borderId="16" xfId="0" applyNumberFormat="1" applyFill="1" applyBorder="1"/>
    <xf numFmtId="0" fontId="0" fillId="0" borderId="9" xfId="0" applyBorder="1"/>
    <xf numFmtId="2" fontId="0" fillId="0" borderId="2" xfId="0" applyNumberFormat="1" applyBorder="1"/>
    <xf numFmtId="164" fontId="0" fillId="0" borderId="15" xfId="0" applyNumberFormat="1" applyFill="1" applyBorder="1"/>
    <xf numFmtId="0" fontId="0" fillId="0" borderId="0" xfId="0" quotePrefix="1" applyFill="1"/>
    <xf numFmtId="2" fontId="0" fillId="0" borderId="18" xfId="0" applyNumberFormat="1" applyBorder="1"/>
    <xf numFmtId="0" fontId="0" fillId="9" borderId="0" xfId="0" applyFill="1" applyBorder="1" applyAlignment="1">
      <alignment horizontal="center"/>
    </xf>
    <xf numFmtId="164" fontId="0" fillId="0" borderId="0" xfId="0" applyNumberFormat="1" applyFill="1"/>
    <xf numFmtId="2" fontId="0" fillId="7" borderId="31" xfId="0" applyNumberFormat="1" applyFill="1" applyBorder="1"/>
    <xf numFmtId="0" fontId="0" fillId="0" borderId="0" xfId="0" applyFill="1" applyAlignment="1">
      <alignment horizontal="left"/>
    </xf>
    <xf numFmtId="164" fontId="0" fillId="10" borderId="0" xfId="0" applyNumberFormat="1" applyFont="1" applyFill="1" applyBorder="1"/>
    <xf numFmtId="3" fontId="0" fillId="10" borderId="7" xfId="0" applyNumberFormat="1" applyFill="1" applyBorder="1"/>
    <xf numFmtId="2" fontId="0" fillId="10" borderId="8" xfId="0" applyNumberFormat="1" applyFill="1" applyBorder="1"/>
    <xf numFmtId="17" fontId="0" fillId="14" borderId="0" xfId="0" quotePrefix="1" applyNumberFormat="1" applyFill="1"/>
    <xf numFmtId="0" fontId="0" fillId="14" borderId="37" xfId="0" applyFill="1" applyBorder="1" applyAlignment="1">
      <alignment vertical="top" wrapText="1"/>
    </xf>
    <xf numFmtId="4" fontId="17" fillId="16" borderId="0" xfId="0" applyNumberFormat="1" applyFont="1" applyFill="1" applyBorder="1"/>
    <xf numFmtId="0" fontId="0" fillId="16" borderId="7" xfId="0" applyFont="1" applyFill="1" applyBorder="1"/>
    <xf numFmtId="0" fontId="0" fillId="16" borderId="0" xfId="0" applyFont="1" applyFill="1" applyBorder="1"/>
    <xf numFmtId="2" fontId="0" fillId="16" borderId="0" xfId="0" applyNumberFormat="1" applyFont="1" applyFill="1" applyBorder="1"/>
    <xf numFmtId="3" fontId="0" fillId="16" borderId="0" xfId="0" applyNumberFormat="1" applyFont="1" applyFill="1" applyBorder="1"/>
    <xf numFmtId="169" fontId="0" fillId="16" borderId="0" xfId="0" applyNumberFormat="1" applyFont="1" applyFill="1" applyBorder="1"/>
    <xf numFmtId="164" fontId="1" fillId="16" borderId="17" xfId="0" applyNumberFormat="1" applyFont="1" applyFill="1" applyBorder="1"/>
    <xf numFmtId="0" fontId="1" fillId="16" borderId="31" xfId="0" applyFont="1" applyFill="1" applyBorder="1"/>
    <xf numFmtId="38" fontId="1" fillId="16" borderId="29" xfId="0" applyNumberFormat="1" applyFont="1" applyFill="1" applyBorder="1"/>
    <xf numFmtId="10" fontId="1" fillId="16" borderId="8" xfId="0" applyNumberFormat="1" applyFont="1" applyFill="1" applyBorder="1"/>
    <xf numFmtId="10" fontId="1" fillId="16" borderId="31" xfId="0" applyNumberFormat="1" applyFont="1" applyFill="1" applyBorder="1"/>
    <xf numFmtId="0" fontId="1" fillId="0" borderId="46" xfId="0" applyFont="1" applyFill="1" applyBorder="1" applyAlignment="1">
      <alignment horizontal="center"/>
    </xf>
    <xf numFmtId="164" fontId="0" fillId="2" borderId="46" xfId="0" applyNumberFormat="1" applyFill="1" applyBorder="1"/>
    <xf numFmtId="164" fontId="0" fillId="7" borderId="47" xfId="0" applyNumberFormat="1" applyFill="1" applyBorder="1"/>
    <xf numFmtId="164" fontId="9" fillId="12" borderId="47" xfId="0" applyNumberFormat="1" applyFont="1" applyFill="1" applyBorder="1"/>
    <xf numFmtId="164" fontId="0" fillId="6" borderId="47" xfId="0" applyNumberFormat="1" applyFill="1" applyBorder="1"/>
    <xf numFmtId="164" fontId="0" fillId="3" borderId="47" xfId="0" applyNumberFormat="1" applyFill="1" applyBorder="1"/>
    <xf numFmtId="164" fontId="0" fillId="15" borderId="47" xfId="0" applyNumberFormat="1" applyFill="1" applyBorder="1"/>
    <xf numFmtId="164" fontId="0" fillId="13" borderId="47" xfId="0" applyNumberFormat="1" applyFill="1" applyBorder="1"/>
    <xf numFmtId="164" fontId="0" fillId="4" borderId="47" xfId="0" applyNumberFormat="1" applyFill="1" applyBorder="1"/>
    <xf numFmtId="164" fontId="0" fillId="10" borderId="47" xfId="0" applyNumberFormat="1" applyFill="1" applyBorder="1"/>
    <xf numFmtId="164" fontId="0" fillId="9" borderId="47" xfId="0" applyNumberFormat="1" applyFill="1" applyBorder="1"/>
    <xf numFmtId="164" fontId="0" fillId="5" borderId="47" xfId="0" applyNumberFormat="1" applyFill="1" applyBorder="1"/>
    <xf numFmtId="164" fontId="0" fillId="17" borderId="47" xfId="0" applyNumberFormat="1" applyFill="1" applyBorder="1"/>
    <xf numFmtId="164" fontId="0" fillId="11" borderId="47" xfId="0" applyNumberFormat="1" applyFill="1" applyBorder="1"/>
    <xf numFmtId="164" fontId="0" fillId="0" borderId="48" xfId="0" applyNumberFormat="1" applyBorder="1"/>
    <xf numFmtId="164" fontId="10" fillId="0" borderId="12" xfId="0" applyNumberFormat="1" applyFont="1" applyFill="1" applyBorder="1"/>
    <xf numFmtId="0" fontId="10" fillId="7" borderId="14" xfId="0" applyFont="1" applyFill="1" applyBorder="1"/>
    <xf numFmtId="0" fontId="9" fillId="12" borderId="14" xfId="0" applyFont="1" applyFill="1" applyBorder="1"/>
    <xf numFmtId="0" fontId="10" fillId="0" borderId="14" xfId="0" applyFont="1" applyFill="1" applyBorder="1"/>
    <xf numFmtId="164" fontId="10" fillId="0" borderId="14" xfId="0" applyNumberFormat="1" applyFont="1" applyFill="1" applyBorder="1"/>
    <xf numFmtId="164" fontId="10" fillId="0" borderId="46" xfId="0" applyNumberFormat="1" applyFont="1" applyFill="1" applyBorder="1"/>
    <xf numFmtId="0" fontId="10" fillId="0" borderId="47" xfId="0" applyFont="1" applyFill="1" applyBorder="1"/>
    <xf numFmtId="0" fontId="9" fillId="12" borderId="47" xfId="0" applyFont="1" applyFill="1" applyBorder="1"/>
    <xf numFmtId="164" fontId="10" fillId="0" borderId="47" xfId="0" applyNumberFormat="1" applyFont="1" applyFill="1" applyBorder="1"/>
    <xf numFmtId="164" fontId="0" fillId="0" borderId="18" xfId="0" applyNumberFormat="1" applyFont="1" applyFill="1" applyBorder="1"/>
    <xf numFmtId="164" fontId="0" fillId="0" borderId="2" xfId="0" applyNumberFormat="1" applyFont="1" applyFill="1" applyBorder="1"/>
    <xf numFmtId="164" fontId="0" fillId="0" borderId="5" xfId="0" applyNumberFormat="1" applyBorder="1"/>
    <xf numFmtId="169" fontId="0" fillId="0" borderId="0" xfId="0" applyNumberFormat="1" applyFill="1" applyBorder="1"/>
    <xf numFmtId="0" fontId="0" fillId="0" borderId="0" xfId="0" applyNumberFormat="1" applyFont="1" applyFill="1" applyBorder="1"/>
    <xf numFmtId="171" fontId="0" fillId="0" borderId="0" xfId="0" applyNumberFormat="1" applyFill="1" applyBorder="1"/>
    <xf numFmtId="173" fontId="0" fillId="0" borderId="0" xfId="0" applyNumberFormat="1" applyFill="1" applyBorder="1"/>
    <xf numFmtId="0" fontId="0" fillId="14" borderId="42" xfId="0" applyFill="1" applyBorder="1" applyAlignment="1">
      <alignment vertical="top" wrapText="1"/>
    </xf>
    <xf numFmtId="0" fontId="0" fillId="0" borderId="36" xfId="0" applyFill="1" applyBorder="1" applyAlignment="1">
      <alignment vertical="top" wrapText="1"/>
    </xf>
    <xf numFmtId="0" fontId="0" fillId="0" borderId="0" xfId="0" applyAlignment="1"/>
    <xf numFmtId="0" fontId="1" fillId="0" borderId="0" xfId="0" applyFont="1" applyAlignment="1"/>
    <xf numFmtId="172" fontId="0" fillId="0" borderId="0" xfId="0" applyNumberFormat="1"/>
    <xf numFmtId="172" fontId="0" fillId="0" borderId="0" xfId="0" applyNumberFormat="1" applyFill="1" applyBorder="1"/>
    <xf numFmtId="2" fontId="0" fillId="15" borderId="28" xfId="0" applyNumberFormat="1" applyFill="1" applyBorder="1"/>
    <xf numFmtId="164" fontId="1" fillId="7" borderId="0" xfId="0" applyNumberFormat="1" applyFont="1" applyFill="1" applyBorder="1"/>
    <xf numFmtId="164" fontId="1" fillId="7" borderId="17" xfId="0" applyNumberFormat="1" applyFont="1" applyFill="1" applyBorder="1"/>
    <xf numFmtId="0" fontId="22" fillId="0" borderId="7" xfId="0" applyFont="1" applyFill="1" applyBorder="1"/>
    <xf numFmtId="164" fontId="0" fillId="0" borderId="0" xfId="0" applyNumberFormat="1" applyFont="1" applyFill="1" applyBorder="1" applyAlignment="1">
      <alignment horizontal="left"/>
    </xf>
    <xf numFmtId="0" fontId="1" fillId="0" borderId="18" xfId="0" applyFont="1" applyFill="1" applyBorder="1" applyAlignment="1">
      <alignment horizontal="center"/>
    </xf>
    <xf numFmtId="2" fontId="1" fillId="0" borderId="18" xfId="0" applyNumberFormat="1" applyFont="1" applyBorder="1"/>
    <xf numFmtId="2" fontId="1" fillId="2" borderId="10" xfId="0" applyNumberFormat="1" applyFont="1" applyFill="1" applyBorder="1"/>
    <xf numFmtId="2" fontId="1" fillId="7" borderId="9" xfId="0" applyNumberFormat="1" applyFont="1" applyFill="1" applyBorder="1"/>
    <xf numFmtId="2" fontId="11" fillId="12" borderId="9" xfId="0" applyNumberFormat="1" applyFont="1" applyFill="1" applyBorder="1"/>
    <xf numFmtId="2" fontId="1" fillId="6" borderId="9" xfId="0" applyNumberFormat="1" applyFont="1" applyFill="1" applyBorder="1"/>
    <xf numFmtId="2" fontId="1" fillId="3" borderId="9" xfId="0" applyNumberFormat="1" applyFont="1" applyFill="1" applyBorder="1"/>
    <xf numFmtId="2" fontId="1" fillId="15" borderId="9" xfId="0" applyNumberFormat="1" applyFont="1" applyFill="1" applyBorder="1"/>
    <xf numFmtId="2" fontId="1" fillId="13" borderId="9" xfId="0" applyNumberFormat="1" applyFont="1" applyFill="1" applyBorder="1"/>
    <xf numFmtId="2" fontId="1" fillId="4" borderId="9" xfId="0" applyNumberFormat="1" applyFont="1" applyFill="1" applyBorder="1"/>
    <xf numFmtId="2" fontId="1" fillId="10" borderId="9" xfId="0" applyNumberFormat="1" applyFont="1" applyFill="1" applyBorder="1"/>
    <xf numFmtId="2" fontId="1" fillId="9" borderId="9" xfId="0" applyNumberFormat="1" applyFont="1" applyFill="1" applyBorder="1"/>
    <xf numFmtId="2" fontId="1" fillId="5" borderId="9" xfId="0" applyNumberFormat="1" applyFont="1" applyFill="1" applyBorder="1"/>
    <xf numFmtId="2" fontId="1" fillId="17" borderId="9" xfId="0" applyNumberFormat="1" applyFont="1" applyFill="1" applyBorder="1"/>
    <xf numFmtId="2" fontId="1" fillId="11" borderId="9" xfId="0" applyNumberFormat="1" applyFont="1" applyFill="1" applyBorder="1"/>
    <xf numFmtId="0" fontId="1" fillId="0" borderId="9" xfId="0" applyFont="1" applyBorder="1"/>
    <xf numFmtId="164" fontId="0" fillId="0" borderId="20" xfId="0" applyNumberFormat="1" applyBorder="1"/>
    <xf numFmtId="2" fontId="0" fillId="0" borderId="7" xfId="0" applyNumberFormat="1" applyBorder="1"/>
    <xf numFmtId="164" fontId="0" fillId="0" borderId="7" xfId="0" applyNumberFormat="1" applyFont="1" applyBorder="1"/>
    <xf numFmtId="2" fontId="0" fillId="0" borderId="49" xfId="0" applyNumberFormat="1" applyBorder="1"/>
    <xf numFmtId="172" fontId="1" fillId="0" borderId="0" xfId="0" applyNumberFormat="1" applyFont="1" applyBorder="1" applyAlignment="1">
      <alignment horizontal="right"/>
    </xf>
    <xf numFmtId="172" fontId="1" fillId="0" borderId="9" xfId="0" applyNumberFormat="1" applyFont="1" applyBorder="1" applyAlignment="1">
      <alignment horizontal="right"/>
    </xf>
    <xf numFmtId="172" fontId="1" fillId="0" borderId="15" xfId="0" applyNumberFormat="1" applyFont="1" applyBorder="1" applyAlignment="1">
      <alignment horizontal="right"/>
    </xf>
    <xf numFmtId="174" fontId="0" fillId="0" borderId="0" xfId="0" applyNumberFormat="1" applyFill="1" applyBorder="1"/>
    <xf numFmtId="0" fontId="0" fillId="19" borderId="12" xfId="0" applyFill="1" applyBorder="1"/>
    <xf numFmtId="0" fontId="0" fillId="19" borderId="13" xfId="0" applyFill="1" applyBorder="1"/>
    <xf numFmtId="0" fontId="0" fillId="19" borderId="14" xfId="0" applyFill="1" applyBorder="1"/>
    <xf numFmtId="0" fontId="0" fillId="19" borderId="15" xfId="0" applyFill="1" applyBorder="1"/>
    <xf numFmtId="0" fontId="0" fillId="19" borderId="4" xfId="0" applyFill="1" applyBorder="1"/>
    <xf numFmtId="0" fontId="0" fillId="19" borderId="6" xfId="0" applyFill="1" applyBorder="1"/>
    <xf numFmtId="0" fontId="0" fillId="20" borderId="12" xfId="0" applyFill="1" applyBorder="1"/>
    <xf numFmtId="0" fontId="0" fillId="20" borderId="13" xfId="0" applyFill="1" applyBorder="1"/>
    <xf numFmtId="0" fontId="0" fillId="20" borderId="4" xfId="0" applyFill="1" applyBorder="1"/>
    <xf numFmtId="164" fontId="0" fillId="20" borderId="6" xfId="0" applyNumberFormat="1" applyFill="1" applyBorder="1"/>
    <xf numFmtId="0" fontId="0" fillId="10" borderId="7" xfId="0" applyFill="1" applyBorder="1"/>
    <xf numFmtId="0" fontId="0" fillId="10" borderId="8" xfId="0" applyFill="1" applyBorder="1"/>
    <xf numFmtId="0" fontId="1" fillId="2" borderId="27" xfId="0" applyFont="1" applyFill="1" applyBorder="1"/>
    <xf numFmtId="0" fontId="0" fillId="2" borderId="28" xfId="0" applyFill="1" applyBorder="1"/>
    <xf numFmtId="0" fontId="0" fillId="2" borderId="29" xfId="0" applyFill="1" applyBorder="1"/>
    <xf numFmtId="0" fontId="0" fillId="2" borderId="27" xfId="0" applyFill="1" applyBorder="1"/>
    <xf numFmtId="0" fontId="0" fillId="2" borderId="28" xfId="0" applyNumberFormat="1" applyFill="1" applyBorder="1"/>
    <xf numFmtId="0" fontId="1" fillId="2" borderId="30" xfId="0" applyFont="1" applyFill="1" applyBorder="1"/>
    <xf numFmtId="2" fontId="1" fillId="2" borderId="17" xfId="0" applyNumberFormat="1" applyFont="1" applyFill="1" applyBorder="1"/>
    <xf numFmtId="0" fontId="1" fillId="2" borderId="31" xfId="0" applyFont="1" applyFill="1" applyBorder="1"/>
    <xf numFmtId="0" fontId="1" fillId="13" borderId="30" xfId="0" applyFont="1" applyFill="1" applyBorder="1"/>
    <xf numFmtId="0" fontId="1" fillId="13" borderId="27" xfId="0" applyFont="1" applyFill="1" applyBorder="1"/>
    <xf numFmtId="2" fontId="0" fillId="13" borderId="28" xfId="0" applyNumberFormat="1" applyFill="1" applyBorder="1"/>
    <xf numFmtId="0" fontId="0" fillId="13" borderId="29" xfId="0" applyFill="1" applyBorder="1"/>
    <xf numFmtId="164" fontId="0" fillId="13" borderId="0" xfId="0" applyNumberFormat="1" applyFont="1" applyFill="1" applyBorder="1"/>
    <xf numFmtId="0" fontId="0" fillId="13" borderId="27" xfId="0" applyFill="1" applyBorder="1"/>
    <xf numFmtId="0" fontId="0" fillId="13" borderId="28" xfId="0" applyFill="1" applyBorder="1"/>
    <xf numFmtId="0" fontId="0" fillId="13" borderId="8" xfId="0" applyFont="1" applyFill="1" applyBorder="1"/>
    <xf numFmtId="0" fontId="0" fillId="10" borderId="28" xfId="0" applyFill="1" applyBorder="1"/>
    <xf numFmtId="0" fontId="0" fillId="10" borderId="29" xfId="0" applyFill="1" applyBorder="1"/>
    <xf numFmtId="0" fontId="0" fillId="10" borderId="8" xfId="0" applyFont="1" applyFill="1" applyBorder="1"/>
    <xf numFmtId="0" fontId="1" fillId="4" borderId="0" xfId="0" applyFont="1" applyFill="1" applyBorder="1"/>
    <xf numFmtId="2" fontId="0" fillId="3" borderId="28" xfId="0" applyNumberFormat="1" applyFill="1" applyBorder="1"/>
    <xf numFmtId="0" fontId="1" fillId="10" borderId="27" xfId="0" applyFont="1" applyFill="1" applyBorder="1"/>
    <xf numFmtId="3" fontId="0" fillId="10" borderId="27" xfId="0" applyNumberFormat="1" applyFill="1" applyBorder="1"/>
    <xf numFmtId="164" fontId="0" fillId="10" borderId="28" xfId="0" applyNumberFormat="1" applyFont="1" applyFill="1" applyBorder="1"/>
    <xf numFmtId="2" fontId="0" fillId="10" borderId="29" xfId="0" applyNumberFormat="1" applyFill="1" applyBorder="1"/>
    <xf numFmtId="0" fontId="1" fillId="15" borderId="30" xfId="0" applyFont="1" applyFill="1" applyBorder="1"/>
    <xf numFmtId="164" fontId="1" fillId="15" borderId="17" xfId="0" applyNumberFormat="1" applyFont="1" applyFill="1" applyBorder="1"/>
    <xf numFmtId="0" fontId="1" fillId="15" borderId="31" xfId="0" applyFont="1" applyFill="1" applyBorder="1"/>
    <xf numFmtId="164" fontId="0" fillId="4" borderId="0" xfId="0" applyNumberFormat="1" applyFont="1" applyFill="1" applyBorder="1"/>
    <xf numFmtId="1" fontId="0" fillId="4" borderId="0" xfId="0" applyNumberFormat="1" applyFont="1" applyFill="1" applyBorder="1"/>
    <xf numFmtId="0" fontId="0" fillId="4" borderId="8" xfId="0" applyFont="1" applyFill="1" applyBorder="1"/>
    <xf numFmtId="164" fontId="1" fillId="3" borderId="8" xfId="0" applyNumberFormat="1" applyFont="1" applyFill="1" applyBorder="1"/>
    <xf numFmtId="164" fontId="9" fillId="0" borderId="0" xfId="0" applyNumberFormat="1" applyFont="1"/>
    <xf numFmtId="0" fontId="9" fillId="0" borderId="0" xfId="0" applyFont="1"/>
    <xf numFmtId="164" fontId="0" fillId="3" borderId="0" xfId="0" applyNumberFormat="1" applyFont="1" applyFill="1" applyBorder="1"/>
    <xf numFmtId="164" fontId="0" fillId="3" borderId="17" xfId="0" applyNumberFormat="1" applyFont="1" applyFill="1" applyBorder="1"/>
    <xf numFmtId="0" fontId="0" fillId="3" borderId="28" xfId="0" applyFill="1" applyBorder="1"/>
    <xf numFmtId="2" fontId="0" fillId="3" borderId="17" xfId="0" applyNumberFormat="1" applyFont="1" applyFill="1" applyBorder="1"/>
    <xf numFmtId="0" fontId="0" fillId="3" borderId="27" xfId="0" applyFill="1" applyBorder="1"/>
    <xf numFmtId="0" fontId="2" fillId="3" borderId="8" xfId="1" applyFill="1" applyBorder="1" applyAlignment="1" applyProtection="1"/>
    <xf numFmtId="164" fontId="0" fillId="2" borderId="0" xfId="0" applyNumberFormat="1" applyFill="1" applyBorder="1"/>
    <xf numFmtId="2" fontId="0" fillId="15" borderId="0" xfId="0" applyNumberFormat="1" applyFont="1" applyFill="1" applyBorder="1"/>
    <xf numFmtId="0" fontId="0" fillId="5" borderId="27" xfId="0" applyFont="1" applyFill="1" applyBorder="1"/>
    <xf numFmtId="2" fontId="0" fillId="5" borderId="28" xfId="0" applyNumberFormat="1" applyFont="1" applyFill="1" applyBorder="1"/>
    <xf numFmtId="0" fontId="0" fillId="5" borderId="29" xfId="0" applyFont="1" applyFill="1" applyBorder="1"/>
    <xf numFmtId="0" fontId="1" fillId="17" borderId="30" xfId="0" applyFont="1" applyFill="1" applyBorder="1"/>
    <xf numFmtId="0" fontId="1" fillId="17" borderId="27" xfId="0" applyFont="1" applyFill="1" applyBorder="1"/>
    <xf numFmtId="0" fontId="0" fillId="17" borderId="28" xfId="0" applyFill="1" applyBorder="1"/>
    <xf numFmtId="0" fontId="0" fillId="17" borderId="29" xfId="0" applyFill="1" applyBorder="1"/>
    <xf numFmtId="0" fontId="0" fillId="17" borderId="27" xfId="0" applyFill="1" applyBorder="1"/>
    <xf numFmtId="164" fontId="0" fillId="17" borderId="29" xfId="0" applyNumberFormat="1" applyFill="1" applyBorder="1"/>
    <xf numFmtId="0" fontId="0" fillId="8" borderId="27" xfId="0" applyFill="1" applyBorder="1"/>
    <xf numFmtId="0" fontId="0" fillId="17" borderId="7" xfId="0" applyFont="1" applyFill="1" applyBorder="1"/>
    <xf numFmtId="164" fontId="1" fillId="17" borderId="17" xfId="0" applyNumberFormat="1" applyFont="1" applyFill="1" applyBorder="1"/>
    <xf numFmtId="0" fontId="1" fillId="17" borderId="31" xfId="0" applyFont="1" applyFill="1" applyBorder="1"/>
    <xf numFmtId="0" fontId="0" fillId="15" borderId="7" xfId="0" applyFont="1" applyFill="1" applyBorder="1"/>
    <xf numFmtId="0" fontId="1" fillId="15" borderId="27" xfId="0" applyFont="1" applyFill="1" applyBorder="1"/>
    <xf numFmtId="164" fontId="1" fillId="15" borderId="28" xfId="0" applyNumberFormat="1" applyFont="1" applyFill="1" applyBorder="1"/>
    <xf numFmtId="0" fontId="1" fillId="15" borderId="29" xfId="0" applyFont="1" applyFill="1" applyBorder="1"/>
    <xf numFmtId="164" fontId="0" fillId="15" borderId="8" xfId="0" applyNumberFormat="1" applyFill="1" applyBorder="1"/>
    <xf numFmtId="164" fontId="0" fillId="9" borderId="17" xfId="0" applyNumberFormat="1" applyFill="1" applyBorder="1"/>
    <xf numFmtId="0" fontId="0" fillId="3" borderId="33" xfId="0" applyFill="1" applyBorder="1"/>
    <xf numFmtId="0" fontId="1" fillId="9" borderId="8" xfId="0" applyFont="1" applyFill="1" applyBorder="1"/>
    <xf numFmtId="164" fontId="1" fillId="9" borderId="8" xfId="0" applyNumberFormat="1" applyFont="1" applyFill="1" applyBorder="1"/>
    <xf numFmtId="164" fontId="1" fillId="9" borderId="31" xfId="0" applyNumberFormat="1" applyFont="1" applyFill="1" applyBorder="1"/>
    <xf numFmtId="164" fontId="1" fillId="3" borderId="31" xfId="0" applyNumberFormat="1" applyFont="1" applyFill="1" applyBorder="1"/>
    <xf numFmtId="164" fontId="0" fillId="8" borderId="28" xfId="0" applyNumberFormat="1" applyFill="1" applyBorder="1"/>
    <xf numFmtId="0" fontId="0" fillId="8" borderId="29" xfId="0" applyFill="1" applyBorder="1"/>
    <xf numFmtId="0" fontId="0" fillId="8" borderId="30" xfId="0" applyFill="1" applyBorder="1"/>
    <xf numFmtId="164" fontId="0" fillId="8" borderId="17" xfId="0" applyNumberFormat="1" applyFill="1" applyBorder="1"/>
    <xf numFmtId="0" fontId="0" fillId="8" borderId="31" xfId="0" applyFill="1" applyBorder="1"/>
    <xf numFmtId="0" fontId="0" fillId="11" borderId="16" xfId="0" applyFill="1" applyBorder="1"/>
    <xf numFmtId="167" fontId="17" fillId="16" borderId="0" xfId="0" applyNumberFormat="1" applyFont="1" applyFill="1" applyBorder="1"/>
    <xf numFmtId="166" fontId="0" fillId="0" borderId="0" xfId="0" applyNumberFormat="1" applyBorder="1"/>
    <xf numFmtId="0" fontId="0" fillId="0" borderId="0" xfId="0"/>
    <xf numFmtId="0" fontId="0" fillId="0" borderId="0" xfId="0" applyFill="1"/>
    <xf numFmtId="0" fontId="1" fillId="0" borderId="0" xfId="0" applyFont="1"/>
    <xf numFmtId="164" fontId="0" fillId="0" borderId="0" xfId="0" applyNumberFormat="1" applyBorder="1"/>
    <xf numFmtId="0" fontId="0" fillId="0" borderId="0" xfId="0" applyFill="1" applyBorder="1"/>
    <xf numFmtId="0" fontId="0" fillId="0" borderId="0" xfId="0" applyBorder="1"/>
    <xf numFmtId="0" fontId="0" fillId="0" borderId="30" xfId="0" applyBorder="1"/>
    <xf numFmtId="0" fontId="0" fillId="0" borderId="7" xfId="0" applyBorder="1"/>
    <xf numFmtId="0" fontId="1" fillId="0" borderId="0" xfId="0" applyFont="1" applyFill="1" applyBorder="1"/>
    <xf numFmtId="0" fontId="0" fillId="0" borderId="17" xfId="0" applyBorder="1"/>
    <xf numFmtId="2" fontId="0" fillId="0" borderId="0" xfId="0" applyNumberFormat="1" applyBorder="1"/>
    <xf numFmtId="164" fontId="0" fillId="0" borderId="0" xfId="0" applyNumberFormat="1" applyFill="1" applyBorder="1"/>
    <xf numFmtId="0" fontId="0" fillId="0" borderId="8" xfId="0" applyBorder="1"/>
    <xf numFmtId="164" fontId="0" fillId="0" borderId="17" xfId="0" applyNumberFormat="1" applyFill="1" applyBorder="1"/>
    <xf numFmtId="0" fontId="0" fillId="0" borderId="44" xfId="0" applyBorder="1"/>
    <xf numFmtId="0" fontId="1" fillId="0" borderId="32" xfId="0" applyFont="1" applyBorder="1"/>
    <xf numFmtId="0" fontId="1" fillId="0" borderId="32" xfId="0" applyFont="1" applyBorder="1" applyAlignment="1">
      <alignment horizontal="center"/>
    </xf>
    <xf numFmtId="0" fontId="1" fillId="0" borderId="45" xfId="0" applyFont="1" applyBorder="1" applyAlignment="1">
      <alignment horizontal="center"/>
    </xf>
    <xf numFmtId="0" fontId="1" fillId="0" borderId="27" xfId="0" applyFont="1" applyBorder="1" applyAlignment="1"/>
    <xf numFmtId="0" fontId="1" fillId="0" borderId="28" xfId="0" applyFont="1" applyBorder="1" applyAlignment="1"/>
    <xf numFmtId="0" fontId="1" fillId="0" borderId="30" xfId="0" applyFont="1" applyBorder="1"/>
    <xf numFmtId="164" fontId="11" fillId="0" borderId="17" xfId="0" applyNumberFormat="1" applyFont="1" applyFill="1" applyBorder="1"/>
    <xf numFmtId="164" fontId="1" fillId="0" borderId="31" xfId="0" applyNumberFormat="1" applyFont="1" applyBorder="1"/>
    <xf numFmtId="2" fontId="0" fillId="0" borderId="8" xfId="0" applyNumberFormat="1" applyBorder="1"/>
    <xf numFmtId="2" fontId="0" fillId="0" borderId="29" xfId="0" applyNumberFormat="1" applyBorder="1"/>
    <xf numFmtId="2" fontId="1" fillId="0" borderId="31" xfId="0" applyNumberFormat="1" applyFont="1" applyBorder="1"/>
    <xf numFmtId="2" fontId="0" fillId="0" borderId="31" xfId="0" applyNumberFormat="1" applyBorder="1"/>
    <xf numFmtId="2" fontId="0" fillId="0" borderId="7" xfId="0" applyNumberFormat="1" applyFill="1" applyBorder="1"/>
    <xf numFmtId="2" fontId="0" fillId="0" borderId="30" xfId="0" applyNumberFormat="1" applyFill="1" applyBorder="1"/>
    <xf numFmtId="2" fontId="0" fillId="0" borderId="17" xfId="0" applyNumberFormat="1" applyFill="1" applyBorder="1"/>
    <xf numFmtId="2" fontId="1" fillId="0" borderId="32" xfId="0" applyNumberFormat="1" applyFont="1" applyFill="1" applyBorder="1"/>
    <xf numFmtId="0" fontId="1" fillId="0" borderId="33" xfId="0" applyFont="1" applyBorder="1"/>
    <xf numFmtId="164" fontId="11" fillId="0" borderId="33" xfId="0" applyNumberFormat="1" applyFont="1" applyFill="1" applyBorder="1"/>
    <xf numFmtId="164" fontId="1" fillId="0" borderId="34" xfId="0" applyNumberFormat="1" applyFont="1" applyBorder="1"/>
    <xf numFmtId="17" fontId="0" fillId="0" borderId="0" xfId="0" quotePrefix="1" applyNumberFormat="1" applyFill="1"/>
    <xf numFmtId="0" fontId="0" fillId="12" borderId="0" xfId="0" applyNumberFormat="1" applyFill="1" applyBorder="1"/>
    <xf numFmtId="0" fontId="1" fillId="12" borderId="0" xfId="0" applyFont="1" applyFill="1" applyBorder="1"/>
    <xf numFmtId="4" fontId="1" fillId="12" borderId="0" xfId="0" applyNumberFormat="1" applyFont="1" applyFill="1" applyBorder="1"/>
    <xf numFmtId="4" fontId="1" fillId="12" borderId="17" xfId="0" applyNumberFormat="1" applyFont="1" applyFill="1" applyBorder="1"/>
    <xf numFmtId="0" fontId="0" fillId="12" borderId="8" xfId="0" applyFill="1" applyBorder="1"/>
    <xf numFmtId="3" fontId="0" fillId="12" borderId="8" xfId="0" applyNumberFormat="1" applyFill="1" applyBorder="1"/>
    <xf numFmtId="0" fontId="0" fillId="12" borderId="17" xfId="0" applyFill="1" applyBorder="1"/>
    <xf numFmtId="3" fontId="0" fillId="12" borderId="31" xfId="0" applyNumberFormat="1" applyFill="1" applyBorder="1"/>
    <xf numFmtId="0" fontId="1" fillId="16" borderId="32" xfId="0" applyFont="1" applyFill="1" applyBorder="1"/>
    <xf numFmtId="0" fontId="0" fillId="16" borderId="34" xfId="0" applyFill="1" applyBorder="1"/>
    <xf numFmtId="164" fontId="0" fillId="0" borderId="0" xfId="0" applyNumberFormat="1" applyBorder="1" applyAlignment="1"/>
    <xf numFmtId="172" fontId="0" fillId="0" borderId="0" xfId="0" applyNumberFormat="1" applyBorder="1"/>
    <xf numFmtId="164" fontId="0" fillId="16" borderId="0" xfId="0" applyNumberFormat="1" applyFill="1" applyBorder="1"/>
    <xf numFmtId="164" fontId="0" fillId="16" borderId="0" xfId="0" applyNumberFormat="1" applyFont="1" applyFill="1" applyBorder="1"/>
    <xf numFmtId="164" fontId="0" fillId="16" borderId="17" xfId="0" applyNumberFormat="1" applyFill="1" applyBorder="1"/>
    <xf numFmtId="10" fontId="0" fillId="4" borderId="17" xfId="0" applyNumberFormat="1" applyFill="1" applyBorder="1"/>
    <xf numFmtId="0" fontId="1" fillId="0" borderId="0" xfId="0" applyFont="1" applyFill="1"/>
    <xf numFmtId="164" fontId="0" fillId="0" borderId="0" xfId="0" applyNumberFormat="1" applyFont="1" applyBorder="1"/>
    <xf numFmtId="0" fontId="0" fillId="0" borderId="0" xfId="0" applyFont="1" applyBorder="1" applyAlignment="1">
      <alignment horizontal="left"/>
    </xf>
    <xf numFmtId="174" fontId="0" fillId="0" borderId="0" xfId="0" applyNumberFormat="1" applyFill="1"/>
    <xf numFmtId="1" fontId="0" fillId="0" borderId="0" xfId="0" applyNumberFormat="1"/>
    <xf numFmtId="170" fontId="0" fillId="0" borderId="0" xfId="0" applyNumberFormat="1" applyBorder="1"/>
    <xf numFmtId="164" fontId="0" fillId="0" borderId="8" xfId="0" applyNumberFormat="1" applyFill="1" applyBorder="1"/>
    <xf numFmtId="164" fontId="0" fillId="0" borderId="8" xfId="0" applyNumberFormat="1" applyBorder="1"/>
    <xf numFmtId="164" fontId="0" fillId="0" borderId="31" xfId="0" applyNumberFormat="1" applyFill="1" applyBorder="1"/>
    <xf numFmtId="164" fontId="0" fillId="0" borderId="33" xfId="0" applyNumberFormat="1" applyFill="1" applyBorder="1"/>
    <xf numFmtId="164" fontId="0" fillId="0" borderId="34" xfId="0" applyNumberFormat="1" applyFill="1" applyBorder="1"/>
    <xf numFmtId="164" fontId="0" fillId="0" borderId="31" xfId="0" applyNumberFormat="1" applyBorder="1"/>
    <xf numFmtId="164" fontId="14" fillId="0" borderId="0" xfId="0" applyNumberFormat="1" applyFont="1" applyBorder="1"/>
    <xf numFmtId="0" fontId="1" fillId="21" borderId="27" xfId="0" applyFont="1" applyFill="1" applyBorder="1"/>
    <xf numFmtId="164" fontId="0" fillId="21" borderId="28" xfId="0" applyNumberFormat="1" applyFont="1" applyFill="1" applyBorder="1"/>
    <xf numFmtId="0" fontId="0" fillId="21" borderId="29" xfId="0" applyFont="1" applyFill="1" applyBorder="1"/>
    <xf numFmtId="0" fontId="0" fillId="21" borderId="27" xfId="0" applyFill="1" applyBorder="1"/>
    <xf numFmtId="2" fontId="0" fillId="21" borderId="28" xfId="0" applyNumberFormat="1" applyFill="1" applyBorder="1"/>
    <xf numFmtId="0" fontId="0" fillId="21" borderId="29" xfId="0" applyFill="1" applyBorder="1"/>
    <xf numFmtId="0" fontId="0" fillId="21" borderId="7" xfId="0" applyFill="1" applyBorder="1"/>
    <xf numFmtId="0" fontId="0" fillId="21" borderId="0" xfId="0" applyFill="1" applyBorder="1"/>
    <xf numFmtId="0" fontId="0" fillId="21" borderId="8" xfId="0" applyFill="1" applyBorder="1"/>
    <xf numFmtId="2" fontId="0" fillId="21" borderId="0" xfId="0" applyNumberFormat="1" applyFill="1" applyBorder="1"/>
    <xf numFmtId="0" fontId="0" fillId="21" borderId="30" xfId="0" applyFill="1" applyBorder="1"/>
    <xf numFmtId="2" fontId="0" fillId="21" borderId="17" xfId="0" applyNumberFormat="1" applyFill="1" applyBorder="1"/>
    <xf numFmtId="0" fontId="0" fillId="21" borderId="31" xfId="0" applyFill="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cellXfs>
  <cellStyles count="4">
    <cellStyle name="Currency" xfId="2" builtinId="4"/>
    <cellStyle name="Hyperlink" xfId="1" builtinId="8"/>
    <cellStyle name="Neutral" xfId="3" builtinId="28"/>
    <cellStyle name="Normal" xfId="0" builtinId="0"/>
  </cellStyles>
  <dxfs count="0"/>
  <tableStyles count="0" defaultTableStyle="TableStyleMedium9" defaultPivotStyle="PivotStyleLight16"/>
  <colors>
    <mruColors>
      <color rgb="FF051AFF"/>
      <color rgb="FFFF1919"/>
      <color rgb="FF2F70BF"/>
      <color rgb="FFBC0000"/>
      <color rgb="FF680000"/>
      <color rgb="FFFF2D2D"/>
      <color rgb="FFDE0000"/>
      <color rgb="FFFF5B5B"/>
      <color rgb="FFA40000"/>
      <color rgb="FF5790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Module Cost</a:t>
            </a:r>
          </a:p>
        </c:rich>
      </c:tx>
      <c:overlay val="0"/>
    </c:title>
    <c:autoTitleDeleted val="0"/>
    <c:plotArea>
      <c:layout/>
      <c:barChart>
        <c:barDir val="col"/>
        <c:grouping val="clustered"/>
        <c:varyColors val="0"/>
        <c:ser>
          <c:idx val="0"/>
          <c:order val="0"/>
          <c:tx>
            <c:strRef>
              <c:f>'Results Summary'!$C$8</c:f>
              <c:strCache>
                <c:ptCount val="1"/>
                <c:pt idx="0">
                  <c:v>Standard mc-Si</c:v>
                </c:pt>
              </c:strCache>
            </c:strRef>
          </c:tx>
          <c:spPr>
            <a:solidFill>
              <a:schemeClr val="accent1">
                <a:lumMod val="75000"/>
              </a:schemeClr>
            </a:solidFill>
          </c:spPr>
          <c:invertIfNegative val="0"/>
          <c:cat>
            <c:strRef>
              <c:f>'Results Summary'!$B$37:$B$55</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'Results Summary'!$C$37:$C$55</c:f>
              <c:numCache>
                <c:formatCode>0.000</c:formatCode>
                <c:ptCount val="19"/>
                <c:pt idx="0">
                  <c:v>0.17766960624103481</c:v>
                </c:pt>
                <c:pt idx="1">
                  <c:v>0.10413824919309614</c:v>
                </c:pt>
                <c:pt idx="2">
                  <c:v>4.0974188746510189E-2</c:v>
                </c:pt>
                <c:pt idx="3">
                  <c:v>0.11485173825240791</c:v>
                </c:pt>
                <c:pt idx="4">
                  <c:v>4.9944103700511312E-2</c:v>
                </c:pt>
                <c:pt idx="5">
                  <c:v>8.0865179308402757E-2</c:v>
                </c:pt>
                <c:pt idx="6">
                  <c:v>1.4024143405631155E-2</c:v>
                </c:pt>
                <c:pt idx="7">
                  <c:v>2.2532485940259014E-2</c:v>
                </c:pt>
                <c:pt idx="8">
                  <c:v>3.2208929081287488E-2</c:v>
                </c:pt>
                <c:pt idx="9">
                  <c:v>4.9822549822549821E-2</c:v>
                </c:pt>
                <c:pt idx="10">
                  <c:v>5.7633341109124582E-2</c:v>
                </c:pt>
                <c:pt idx="11">
                  <c:v>3.412503412503412E-2</c:v>
                </c:pt>
                <c:pt idx="12">
                  <c:v>2.4959960857396754E-2</c:v>
                </c:pt>
                <c:pt idx="13">
                  <c:v>2.4710361248822785E-2</c:v>
                </c:pt>
                <c:pt idx="14">
                  <c:v>4.777504777504777E-2</c:v>
                </c:pt>
                <c:pt idx="15">
                  <c:v>3.207753207753207E-2</c:v>
                </c:pt>
                <c:pt idx="16">
                  <c:v>3.0712530712530711E-3</c:v>
                </c:pt>
                <c:pt idx="17">
                  <c:v>8.9142717347845558E-3</c:v>
                </c:pt>
                <c:pt idx="18">
                  <c:v>0</c:v>
                </c:pt>
              </c:numCache>
            </c:numRef>
          </c:val>
          <c:extLst>
            <c:ext xmlns:c16="http://schemas.microsoft.com/office/drawing/2014/chart" uri="{C3380CC4-5D6E-409C-BE32-E72D297353CC}">
              <c16:uniqueId val="{00000000-404D-46DB-8937-158E13EE80CB}"/>
            </c:ext>
          </c:extLst>
        </c:ser>
        <c:ser>
          <c:idx val="4"/>
          <c:order val="1"/>
          <c:tx>
            <c:strRef>
              <c:f>'Results Summary'!$D$8</c:f>
              <c:strCache>
                <c:ptCount val="1"/>
                <c:pt idx="0">
                  <c:v>Line-of-Sight</c:v>
                </c:pt>
              </c:strCache>
            </c:strRef>
          </c:tx>
          <c:spPr>
            <a:solidFill>
              <a:schemeClr val="accent2">
                <a:lumMod val="75000"/>
              </a:schemeClr>
            </a:solidFill>
          </c:spPr>
          <c:invertIfNegative val="0"/>
          <c:val>
            <c:numRef>
              <c:f>'Results Summary'!$D$37:$D$55</c:f>
              <c:numCache>
                <c:formatCode>0.000</c:formatCode>
                <c:ptCount val="19"/>
                <c:pt idx="0">
                  <c:v>7.848088834840776E-2</c:v>
                </c:pt>
                <c:pt idx="1">
                  <c:v>6.3317922773772475E-2</c:v>
                </c:pt>
                <c:pt idx="2">
                  <c:v>2.4913041450878411E-2</c:v>
                </c:pt>
                <c:pt idx="3">
                  <c:v>6.4637005640183057E-2</c:v>
                </c:pt>
                <c:pt idx="4">
                  <c:v>3.6285523333954899E-2</c:v>
                </c:pt>
                <c:pt idx="5">
                  <c:v>2.7200225350878904E-2</c:v>
                </c:pt>
                <c:pt idx="6">
                  <c:v>4.542991891154256E-3</c:v>
                </c:pt>
                <c:pt idx="7">
                  <c:v>1.4715656061558545E-2</c:v>
                </c:pt>
                <c:pt idx="8">
                  <c:v>1.7325641171365522E-2</c:v>
                </c:pt>
                <c:pt idx="9">
                  <c:v>4.0759352317141256E-2</c:v>
                </c:pt>
                <c:pt idx="10">
                  <c:v>4.7149286093293878E-2</c:v>
                </c:pt>
                <c:pt idx="11">
                  <c:v>2.7917364600781685E-2</c:v>
                </c:pt>
                <c:pt idx="12">
                  <c:v>2.0419505666252218E-2</c:v>
                </c:pt>
                <c:pt idx="13">
                  <c:v>2.0317408137920958E-2</c:v>
                </c:pt>
                <c:pt idx="14">
                  <c:v>3.908431044109436E-2</c:v>
                </c:pt>
                <c:pt idx="15">
                  <c:v>2.6242322724734785E-2</c:v>
                </c:pt>
                <c:pt idx="16">
                  <c:v>2.5125628140703514E-3</c:v>
                </c:pt>
                <c:pt idx="17">
                  <c:v>7.2190171547356343E-3</c:v>
                </c:pt>
                <c:pt idx="18">
                  <c:v>0</c:v>
                </c:pt>
              </c:numCache>
            </c:numRef>
          </c:val>
          <c:extLst>
            <c:ext xmlns:c16="http://schemas.microsoft.com/office/drawing/2014/chart" uri="{C3380CC4-5D6E-409C-BE32-E72D297353CC}">
              <c16:uniqueId val="{00000001-404D-46DB-8937-158E13EE80CB}"/>
            </c:ext>
          </c:extLst>
        </c:ser>
        <c:ser>
          <c:idx val="3"/>
          <c:order val="2"/>
          <c:tx>
            <c:strRef>
              <c:f>'Results Summary'!$E$8</c:f>
              <c:strCache>
                <c:ptCount val="1"/>
                <c:pt idx="0">
                  <c:v>Adv. Concept</c:v>
                </c:pt>
              </c:strCache>
            </c:strRef>
          </c:tx>
          <c:spPr>
            <a:solidFill>
              <a:schemeClr val="accent4">
                <a:lumMod val="75000"/>
              </a:schemeClr>
            </a:solidFill>
          </c:spPr>
          <c:invertIfNegative val="0"/>
          <c:cat>
            <c:strRef>
              <c:f>'Results Summary'!$B$37:$B$55</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'Results Summary'!$E$37:$E$55</c:f>
              <c:numCache>
                <c:formatCode>0.000</c:formatCode>
                <c:ptCount val="19"/>
                <c:pt idx="0">
                  <c:v>1.7815109568884251E-2</c:v>
                </c:pt>
                <c:pt idx="1">
                  <c:v>7.3069761394395388E-2</c:v>
                </c:pt>
                <c:pt idx="2">
                  <c:v>2.674696592446512E-2</c:v>
                </c:pt>
                <c:pt idx="3">
                  <c:v>3.7640240574941336E-2</c:v>
                </c:pt>
                <c:pt idx="4">
                  <c:v>2.9111570365581048E-2</c:v>
                </c:pt>
                <c:pt idx="5">
                  <c:v>2.4248682729429632E-2</c:v>
                </c:pt>
                <c:pt idx="6">
                  <c:v>0</c:v>
                </c:pt>
                <c:pt idx="7">
                  <c:v>0</c:v>
                </c:pt>
                <c:pt idx="8">
                  <c:v>0</c:v>
                </c:pt>
                <c:pt idx="9">
                  <c:v>3.596945060359695E-2</c:v>
                </c:pt>
                <c:pt idx="10">
                  <c:v>4.1608460898294827E-2</c:v>
                </c:pt>
                <c:pt idx="11">
                  <c:v>2.4636610002463661E-2</c:v>
                </c:pt>
                <c:pt idx="12">
                  <c:v>1.8019874179974246E-2</c:v>
                </c:pt>
                <c:pt idx="13">
                  <c:v>1.7839675438174503E-2</c:v>
                </c:pt>
                <c:pt idx="14">
                  <c:v>3.4491254003449129E-2</c:v>
                </c:pt>
                <c:pt idx="15">
                  <c:v>2.3158413402315843E-2</c:v>
                </c:pt>
                <c:pt idx="16">
                  <c:v>2.2172949002217299E-3</c:v>
                </c:pt>
                <c:pt idx="17">
                  <c:v>0</c:v>
                </c:pt>
                <c:pt idx="18">
                  <c:v>0</c:v>
                </c:pt>
              </c:numCache>
            </c:numRef>
          </c:val>
          <c:extLst>
            <c:ext xmlns:c16="http://schemas.microsoft.com/office/drawing/2014/chart" uri="{C3380CC4-5D6E-409C-BE32-E72D297353CC}">
              <c16:uniqueId val="{00000002-404D-46DB-8937-158E13EE80CB}"/>
            </c:ext>
          </c:extLst>
        </c:ser>
        <c:dLbls>
          <c:showLegendKey val="0"/>
          <c:showVal val="0"/>
          <c:showCatName val="0"/>
          <c:showSerName val="0"/>
          <c:showPercent val="0"/>
          <c:showBubbleSize val="0"/>
        </c:dLbls>
        <c:gapWidth val="50"/>
        <c:overlap val="8"/>
        <c:axId val="173905024"/>
        <c:axId val="173906560"/>
      </c:barChart>
      <c:catAx>
        <c:axId val="173905024"/>
        <c:scaling>
          <c:orientation val="minMax"/>
        </c:scaling>
        <c:delete val="0"/>
        <c:axPos val="b"/>
        <c:numFmt formatCode="General" sourceLinked="0"/>
        <c:majorTickMark val="in"/>
        <c:minorTickMark val="none"/>
        <c:tickLblPos val="nextTo"/>
        <c:txPr>
          <a:bodyPr/>
          <a:lstStyle/>
          <a:p>
            <a:pPr>
              <a:defRPr sz="1800" b="0"/>
            </a:pPr>
            <a:endParaRPr lang="en-US"/>
          </a:p>
        </c:txPr>
        <c:crossAx val="173906560"/>
        <c:crosses val="autoZero"/>
        <c:auto val="1"/>
        <c:lblAlgn val="ctr"/>
        <c:lblOffset val="20"/>
        <c:tickMarkSkip val="1"/>
        <c:noMultiLvlLbl val="0"/>
      </c:catAx>
      <c:valAx>
        <c:axId val="173906560"/>
        <c:scaling>
          <c:orientation val="minMax"/>
        </c:scaling>
        <c:delete val="0"/>
        <c:axPos val="l"/>
        <c:majorGridlines>
          <c:spPr>
            <a:ln>
              <a:prstDash val="dash"/>
            </a:ln>
          </c:spPr>
        </c:majorGridlines>
        <c:title>
          <c:tx>
            <c:rich>
              <a:bodyPr rot="-5400000" vert="horz"/>
              <a:lstStyle/>
              <a:p>
                <a:pPr>
                  <a:defRPr sz="2000"/>
                </a:pPr>
                <a:r>
                  <a:rPr lang="en-US" sz="2000"/>
                  <a:t>Cost</a:t>
                </a:r>
                <a:r>
                  <a:rPr lang="en-US" sz="2000" baseline="0"/>
                  <a:t> [$/W</a:t>
                </a:r>
                <a:r>
                  <a:rPr lang="en-US" sz="2000" baseline="-25000"/>
                  <a:t>p</a:t>
                </a:r>
                <a:r>
                  <a:rPr lang="en-US" sz="2000" baseline="0"/>
                  <a:t>]</a:t>
                </a:r>
                <a:endParaRPr lang="en-US" sz="2000"/>
              </a:p>
            </c:rich>
          </c:tx>
          <c:overlay val="0"/>
        </c:title>
        <c:numFmt formatCode="0.00" sourceLinked="0"/>
        <c:majorTickMark val="in"/>
        <c:minorTickMark val="none"/>
        <c:tickLblPos val="nextTo"/>
        <c:txPr>
          <a:bodyPr/>
          <a:lstStyle/>
          <a:p>
            <a:pPr>
              <a:defRPr sz="2000"/>
            </a:pPr>
            <a:endParaRPr lang="en-US"/>
          </a:p>
        </c:txPr>
        <c:crossAx val="173905024"/>
        <c:crosses val="autoZero"/>
        <c:crossBetween val="between"/>
      </c:valAx>
      <c:spPr>
        <a:ln w="3175">
          <a:solidFill>
            <a:schemeClr val="bg1">
              <a:lumMod val="50000"/>
            </a:schemeClr>
          </a:solidFill>
        </a:ln>
      </c:spPr>
    </c:plotArea>
    <c:legend>
      <c:legendPos val="r"/>
      <c:layout>
        <c:manualLayout>
          <c:xMode val="edge"/>
          <c:yMode val="edge"/>
          <c:x val="0.81820504786289594"/>
          <c:y val="0.14566320267085875"/>
          <c:w val="0.15913652615546844"/>
          <c:h val="0.15799089306042771"/>
        </c:manualLayout>
      </c:layout>
      <c:overlay val="1"/>
      <c:spPr>
        <a:solidFill>
          <a:schemeClr val="bg1"/>
        </a:solidFill>
        <a:ln>
          <a:solidFill>
            <a:schemeClr val="bg1">
              <a:lumMod val="50000"/>
            </a:schemeClr>
          </a:solidFill>
        </a:ln>
      </c:spPr>
      <c:txPr>
        <a:bodyPr/>
        <a:lstStyle/>
        <a:p>
          <a:pPr>
            <a:defRPr sz="1800"/>
          </a:pPr>
          <a:endParaRPr lang="en-US"/>
        </a:p>
      </c:txPr>
    </c:legend>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2200"/>
            </a:pPr>
            <a:r>
              <a:rPr lang="en-US" sz="2200"/>
              <a:t>US$0.53/W</a:t>
            </a:r>
            <a:r>
              <a:rPr lang="en-US" sz="2200" baseline="-25000"/>
              <a:t>p</a:t>
            </a:r>
            <a:r>
              <a:rPr lang="en-US" sz="2200"/>
              <a:t> </a:t>
            </a:r>
            <a:r>
              <a:rPr lang="en-US" sz="2200" baseline="0"/>
              <a:t>Module Price Map</a:t>
            </a:r>
            <a:endParaRPr lang="en-US" sz="2200"/>
          </a:p>
        </c:rich>
      </c:tx>
      <c:layout>
        <c:manualLayout>
          <c:xMode val="edge"/>
          <c:yMode val="edge"/>
          <c:x val="0.28395909330758107"/>
          <c:y val="3.3421647010530152E-2"/>
        </c:manualLayout>
      </c:layout>
      <c:overlay val="0"/>
    </c:title>
    <c:autoTitleDeleted val="0"/>
    <c:plotArea>
      <c:layout>
        <c:manualLayout>
          <c:layoutTarget val="inner"/>
          <c:xMode val="edge"/>
          <c:yMode val="edge"/>
          <c:x val="0.11041866517721451"/>
          <c:y val="0.10548766741289996"/>
          <c:w val="0.69974356224222167"/>
          <c:h val="0.7034755430640216"/>
        </c:manualLayout>
      </c:layout>
      <c:scatterChart>
        <c:scatterStyle val="smoothMarker"/>
        <c:varyColors val="0"/>
        <c:ser>
          <c:idx val="3"/>
          <c:order val="0"/>
          <c:spPr>
            <a:ln>
              <a:noFill/>
            </a:ln>
          </c:spPr>
          <c:marker>
            <c:symbol val="none"/>
          </c:marker>
          <c:yVal>
            <c:numLit>
              <c:formatCode>General</c:formatCode>
              <c:ptCount val="1"/>
              <c:pt idx="0">
                <c:v>1</c:v>
              </c:pt>
            </c:numLit>
          </c:yVal>
          <c:smooth val="1"/>
          <c:extLst>
            <c:ext xmlns:c16="http://schemas.microsoft.com/office/drawing/2014/chart" uri="{C3380CC4-5D6E-409C-BE32-E72D297353CC}">
              <c16:uniqueId val="{00000000-12FC-40F1-BDAE-D254AA4760F5}"/>
            </c:ext>
          </c:extLst>
        </c:ser>
        <c:ser>
          <c:idx val="4"/>
          <c:order val="1"/>
          <c:spPr>
            <a:ln w="28575">
              <a:noFill/>
            </a:ln>
          </c:spPr>
          <c:marker>
            <c:symbol val="diamond"/>
            <c:size val="13"/>
            <c:spPr>
              <a:solidFill>
                <a:srgbClr val="FF0000"/>
              </a:solidFill>
              <a:ln>
                <a:solidFill>
                  <a:srgbClr val="FF0000"/>
                </a:solidFill>
              </a:ln>
            </c:spPr>
          </c:marker>
          <c:dLbls>
            <c:dLbl>
              <c:idx val="0"/>
              <c:tx>
                <c:strRef>
                  <c:f>'Parameter Map'!$C$40</c:f>
                  <c:strCache>
                    <c:ptCount val="1"/>
                    <c:pt idx="0">
                      <c:v>Std. mc-Si</c:v>
                    </c:pt>
                  </c:strCache>
                </c:strRef>
              </c:tx>
              <c:spPr>
                <a:solidFill>
                  <a:sysClr val="window" lastClr="FFFFFF"/>
                </a:solidFill>
              </c:spPr>
              <c:txPr>
                <a:bodyPr/>
                <a:lstStyle/>
                <a:p>
                  <a:pPr>
                    <a:defRPr sz="1600"/>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{C16F5573-FB92-44F3-A911-3DD4A5910EC5}</c15:txfldGUID>
                      <c15:f>'Parameter Map'!$C$40</c15:f>
                      <c15:dlblFieldTableCache>
                        <c:ptCount val="1"/>
                        <c:pt idx="0">
                          <c:v>Std. mc-Si</c:v>
                        </c:pt>
                      </c15:dlblFieldTableCache>
                    </c15:dlblFTEntry>
                  </c15:dlblFieldTable>
                  <c15:showDataLabelsRange val="0"/>
                </c:ext>
                <c:ext xmlns:c16="http://schemas.microsoft.com/office/drawing/2014/chart" uri="{C3380CC4-5D6E-409C-BE32-E72D297353CC}">
                  <c16:uniqueId val="{00000001-12FC-40F1-BDAE-D254AA4760F5}"/>
                </c:ext>
              </c:extLst>
            </c:dLbl>
            <c:dLbl>
              <c:idx val="1"/>
              <c:tx>
                <c:strRef>
                  <c:f>'Parameter Map'!$C$41</c:f>
                  <c:strCache>
                    <c:ptCount val="1"/>
                    <c:pt idx="0">
                      <c:v>Line-of-Sight</c:v>
                    </c:pt>
                  </c:strCache>
                </c:strRef>
              </c:tx>
              <c:spPr>
                <a:solidFill>
                  <a:sysClr val="window" lastClr="FFFFFF"/>
                </a:solidFill>
              </c:spPr>
              <c:txPr>
                <a:bodyPr/>
                <a:lstStyle/>
                <a:p>
                  <a:pPr>
                    <a:defRPr sz="1600"/>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{C7269E76-38B8-4FA9-A736-F0D203E5AD78}</c15:txfldGUID>
                      <c15:f>'Parameter Map'!$C$41</c15:f>
                      <c15:dlblFieldTableCache>
                        <c:ptCount val="1"/>
                        <c:pt idx="0">
                          <c:v>Line-of-Sight</c:v>
                        </c:pt>
                      </c15:dlblFieldTableCache>
                    </c15:dlblFTEntry>
                  </c15:dlblFieldTable>
                  <c15:showDataLabelsRange val="0"/>
                </c:ext>
                <c:ext xmlns:c16="http://schemas.microsoft.com/office/drawing/2014/chart" uri="{C3380CC4-5D6E-409C-BE32-E72D297353CC}">
                  <c16:uniqueId val="{00000002-12FC-40F1-BDAE-D254AA4760F5}"/>
                </c:ext>
              </c:extLst>
            </c:dLbl>
            <c:dLbl>
              <c:idx val="2"/>
              <c:delete val="1"/>
              <c:extLst>
                <c:ext xmlns:c15="http://schemas.microsoft.com/office/drawing/2012/chart" uri="{CE6537A1-D6FC-4f65-9D91-7224C49458BB}"/>
                <c:ext xmlns:c16="http://schemas.microsoft.com/office/drawing/2014/chart" uri="{C3380CC4-5D6E-409C-BE32-E72D297353CC}">
                  <c16:uniqueId val="{00000003-12FC-40F1-BDAE-D254AA4760F5}"/>
                </c:ext>
              </c:extLst>
            </c:dLbl>
            <c:spPr>
              <a:noFill/>
              <a:ln>
                <a:noFill/>
              </a:ln>
              <a:effectLst/>
            </c:spPr>
            <c:txPr>
              <a:bodyPr/>
              <a:lstStyle/>
              <a:p>
                <a:pPr>
                  <a:defRPr sz="1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'Parameter Map'!$F$40:$F$42</c:f>
              <c:numCache>
                <c:formatCode>0.00</c:formatCode>
                <c:ptCount val="3"/>
                <c:pt idx="0">
                  <c:v>129.28748387855535</c:v>
                </c:pt>
                <c:pt idx="1">
                  <c:v>95.605672383416803</c:v>
                </c:pt>
                <c:pt idx="2">
                  <c:v>97.069024511734398</c:v>
                </c:pt>
              </c:numCache>
            </c:numRef>
          </c:xVal>
          <c:yVal>
            <c:numRef>
              <c:f>'Parameter Map'!$G$40:$G$42</c:f>
              <c:numCache>
                <c:formatCode>0.00</c:formatCode>
                <c:ptCount val="3"/>
                <c:pt idx="0">
                  <c:v>120.79163952164335</c:v>
                </c:pt>
                <c:pt idx="1">
                  <c:v>89.94997857571316</c:v>
                </c:pt>
                <c:pt idx="2">
                  <c:v>68.368238531317402</c:v>
                </c:pt>
              </c:numCache>
            </c:numRef>
          </c:yVal>
          <c:smooth val="1"/>
          <c:extLst>
            <c:ext xmlns:c16="http://schemas.microsoft.com/office/drawing/2014/chart" uri="{C3380CC4-5D6E-409C-BE32-E72D297353CC}">
              <c16:uniqueId val="{00000004-12FC-40F1-BDAE-D254AA4760F5}"/>
            </c:ext>
          </c:extLst>
        </c:ser>
        <c:ser>
          <c:idx val="5"/>
          <c:order val="2"/>
          <c:tx>
            <c:v>14</c:v>
          </c:tx>
          <c:spPr>
            <a:ln w="28575">
              <a:solidFill>
                <a:sysClr val="window" lastClr="FFFFFF">
                  <a:shade val="50000"/>
                </a:sysClr>
              </a:solidFill>
            </a:ln>
          </c:spPr>
          <c:marker>
            <c:symbol val="none"/>
          </c:marker>
          <c:xVal>
            <c:numRef>
              <c:f>'Parameter Map'!$E$10:$E$12</c:f>
              <c:numCache>
                <c:formatCode>General</c:formatCode>
                <c:ptCount val="3"/>
                <c:pt idx="0">
                  <c:v>250</c:v>
                </c:pt>
                <c:pt idx="1">
                  <c:v>125</c:v>
                </c:pt>
                <c:pt idx="2">
                  <c:v>0</c:v>
                </c:pt>
              </c:numCache>
            </c:numRef>
          </c:xVal>
          <c:yVal>
            <c:numRef>
              <c:f>'Parameter Map'!$G$10:$G$12</c:f>
              <c:numCache>
                <c:formatCode>0.00</c:formatCode>
                <c:ptCount val="3"/>
                <c:pt idx="0">
                  <c:v>13.868105069635178</c:v>
                </c:pt>
                <c:pt idx="1">
                  <c:v>40.138552534817592</c:v>
                </c:pt>
                <c:pt idx="2">
                  <c:v>66.40900000000002</c:v>
                </c:pt>
              </c:numCache>
            </c:numRef>
          </c:yVal>
          <c:smooth val="1"/>
          <c:extLst>
            <c:ext xmlns:c16="http://schemas.microsoft.com/office/drawing/2014/chart" uri="{C3380CC4-5D6E-409C-BE32-E72D297353CC}">
              <c16:uniqueId val="{00000005-12FC-40F1-BDAE-D254AA4760F5}"/>
            </c:ext>
          </c:extLst>
        </c:ser>
        <c:ser>
          <c:idx val="6"/>
          <c:order val="3"/>
          <c:tx>
            <c:v>16</c:v>
          </c:tx>
          <c:spPr>
            <a:ln w="28575">
              <a:solidFill>
                <a:sysClr val="window" lastClr="FFFFFF">
                  <a:shade val="50000"/>
                </a:sysClr>
              </a:solidFill>
            </a:ln>
          </c:spPr>
          <c:marker>
            <c:symbol val="none"/>
          </c:marker>
          <c:xVal>
            <c:numRef>
              <c:f>'Parameter Map'!$E$16:$E$18</c:f>
              <c:numCache>
                <c:formatCode>General</c:formatCode>
                <c:ptCount val="3"/>
                <c:pt idx="0">
                  <c:v>250</c:v>
                </c:pt>
                <c:pt idx="1">
                  <c:v>125</c:v>
                </c:pt>
                <c:pt idx="2">
                  <c:v>0</c:v>
                </c:pt>
              </c:numCache>
            </c:numRef>
          </c:xVal>
          <c:yVal>
            <c:numRef>
              <c:f>'Parameter Map'!$G$16:$G$18</c:f>
              <c:numCache>
                <c:formatCode>0.00</c:formatCode>
                <c:ptCount val="3"/>
                <c:pt idx="0">
                  <c:v>23.355105069635183</c:v>
                </c:pt>
                <c:pt idx="1">
                  <c:v>49.625552534817608</c:v>
                </c:pt>
                <c:pt idx="2">
                  <c:v>75.896000000000015</c:v>
                </c:pt>
              </c:numCache>
            </c:numRef>
          </c:yVal>
          <c:smooth val="1"/>
          <c:extLst>
            <c:ext xmlns:c16="http://schemas.microsoft.com/office/drawing/2014/chart" uri="{C3380CC4-5D6E-409C-BE32-E72D297353CC}">
              <c16:uniqueId val="{00000006-12FC-40F1-BDAE-D254AA4760F5}"/>
            </c:ext>
          </c:extLst>
        </c:ser>
        <c:ser>
          <c:idx val="7"/>
          <c:order val="4"/>
          <c:tx>
            <c:v>18</c:v>
          </c:tx>
          <c:spPr>
            <a:ln w="28575">
              <a:solidFill>
                <a:sysClr val="window" lastClr="FFFFFF">
                  <a:shade val="50000"/>
                </a:sysClr>
              </a:solidFill>
            </a:ln>
          </c:spPr>
          <c:marker>
            <c:symbol val="none"/>
          </c:marker>
          <c:xVal>
            <c:numRef>
              <c:f>'Parameter Map'!$E$22:$E$24</c:f>
              <c:numCache>
                <c:formatCode>General</c:formatCode>
                <c:ptCount val="3"/>
                <c:pt idx="0">
                  <c:v>250</c:v>
                </c:pt>
                <c:pt idx="1">
                  <c:v>125</c:v>
                </c:pt>
                <c:pt idx="2">
                  <c:v>0</c:v>
                </c:pt>
              </c:numCache>
            </c:numRef>
          </c:xVal>
          <c:yVal>
            <c:numRef>
              <c:f>'Parameter Map'!$G$22:$G$24</c:f>
              <c:numCache>
                <c:formatCode>0.00</c:formatCode>
                <c:ptCount val="3"/>
                <c:pt idx="0">
                  <c:v>32.842105069635075</c:v>
                </c:pt>
                <c:pt idx="1">
                  <c:v>59.112552534817567</c:v>
                </c:pt>
                <c:pt idx="2">
                  <c:v>85.38300000000001</c:v>
                </c:pt>
              </c:numCache>
            </c:numRef>
          </c:yVal>
          <c:smooth val="1"/>
          <c:extLst>
            <c:ext xmlns:c16="http://schemas.microsoft.com/office/drawing/2014/chart" uri="{C3380CC4-5D6E-409C-BE32-E72D297353CC}">
              <c16:uniqueId val="{00000007-12FC-40F1-BDAE-D254AA4760F5}"/>
            </c:ext>
          </c:extLst>
        </c:ser>
        <c:ser>
          <c:idx val="8"/>
          <c:order val="5"/>
          <c:tx>
            <c:v>20</c:v>
          </c:tx>
          <c:spPr>
            <a:ln w="28575">
              <a:solidFill>
                <a:sysClr val="window" lastClr="FFFFFF">
                  <a:shade val="50000"/>
                </a:sysClr>
              </a:solidFill>
            </a:ln>
          </c:spPr>
          <c:marker>
            <c:symbol val="none"/>
          </c:marker>
          <c:xVal>
            <c:numRef>
              <c:f>'Parameter Map'!$E$28:$E$30</c:f>
              <c:numCache>
                <c:formatCode>General</c:formatCode>
                <c:ptCount val="3"/>
                <c:pt idx="0">
                  <c:v>250</c:v>
                </c:pt>
                <c:pt idx="1">
                  <c:v>125</c:v>
                </c:pt>
                <c:pt idx="2">
                  <c:v>0</c:v>
                </c:pt>
              </c:numCache>
            </c:numRef>
          </c:xVal>
          <c:yVal>
            <c:numRef>
              <c:f>'Parameter Map'!$G$28:$G$30</c:f>
              <c:numCache>
                <c:formatCode>0.00</c:formatCode>
                <c:ptCount val="3"/>
                <c:pt idx="0">
                  <c:v>42.329105069635176</c:v>
                </c:pt>
                <c:pt idx="1">
                  <c:v>68.599552534817562</c:v>
                </c:pt>
                <c:pt idx="2">
                  <c:v>94.87</c:v>
                </c:pt>
              </c:numCache>
            </c:numRef>
          </c:yVal>
          <c:smooth val="1"/>
          <c:extLst>
            <c:ext xmlns:c16="http://schemas.microsoft.com/office/drawing/2014/chart" uri="{C3380CC4-5D6E-409C-BE32-E72D297353CC}">
              <c16:uniqueId val="{00000008-12FC-40F1-BDAE-D254AA4760F5}"/>
            </c:ext>
          </c:extLst>
        </c:ser>
        <c:ser>
          <c:idx val="9"/>
          <c:order val="6"/>
          <c:tx>
            <c:v>22</c:v>
          </c:tx>
          <c:spPr>
            <a:ln w="28575">
              <a:solidFill>
                <a:sysClr val="window" lastClr="FFFFFF">
                  <a:shade val="50000"/>
                </a:sysClr>
              </a:solidFill>
            </a:ln>
          </c:spPr>
          <c:marker>
            <c:symbol val="none"/>
          </c:marker>
          <c:xVal>
            <c:numRef>
              <c:f>'Parameter Map'!$E$34:$E$36</c:f>
              <c:numCache>
                <c:formatCode>General</c:formatCode>
                <c:ptCount val="3"/>
                <c:pt idx="0">
                  <c:v>250</c:v>
                </c:pt>
                <c:pt idx="1">
                  <c:v>125</c:v>
                </c:pt>
                <c:pt idx="2">
                  <c:v>0</c:v>
                </c:pt>
              </c:numCache>
            </c:numRef>
          </c:xVal>
          <c:yVal>
            <c:numRef>
              <c:f>'Parameter Map'!$G$34:$G$36</c:f>
              <c:numCache>
                <c:formatCode>0.00</c:formatCode>
                <c:ptCount val="3"/>
                <c:pt idx="0">
                  <c:v>51.816105069635185</c:v>
                </c:pt>
                <c:pt idx="1">
                  <c:v>78.086552534817599</c:v>
                </c:pt>
                <c:pt idx="2">
                  <c:v>104.35700000000001</c:v>
                </c:pt>
              </c:numCache>
            </c:numRef>
          </c:yVal>
          <c:smooth val="1"/>
          <c:extLst>
            <c:ext xmlns:c16="http://schemas.microsoft.com/office/drawing/2014/chart" uri="{C3380CC4-5D6E-409C-BE32-E72D297353CC}">
              <c16:uniqueId val="{00000009-12FC-40F1-BDAE-D254AA4760F5}"/>
            </c:ext>
          </c:extLst>
        </c:ser>
        <c:dLbls>
          <c:showLegendKey val="0"/>
          <c:showVal val="0"/>
          <c:showCatName val="0"/>
          <c:showSerName val="0"/>
          <c:showPercent val="0"/>
          <c:showBubbleSize val="0"/>
        </c:dLbls>
        <c:axId val="183182848"/>
        <c:axId val="183184768"/>
      </c:scatterChart>
      <c:valAx>
        <c:axId val="183182848"/>
        <c:scaling>
          <c:orientation val="minMax"/>
          <c:max val="200"/>
        </c:scaling>
        <c:delete val="0"/>
        <c:axPos val="b"/>
        <c:majorGridlines>
          <c:spPr>
            <a:ln>
              <a:prstDash val="dash"/>
            </a:ln>
          </c:spPr>
        </c:majorGridlines>
        <c:title>
          <c:tx>
            <c:rich>
              <a:bodyPr/>
              <a:lstStyle/>
              <a:p>
                <a:pPr>
                  <a:defRPr sz="1800"/>
                </a:pPr>
                <a:r>
                  <a:rPr lang="en-US" sz="1800"/>
                  <a:t>Initial Capital</a:t>
                </a:r>
                <a:r>
                  <a:rPr lang="en-US" sz="1800" baseline="0"/>
                  <a:t> Cost [US$/(m</a:t>
                </a:r>
                <a:r>
                  <a:rPr lang="en-US" sz="1800" baseline="30000"/>
                  <a:t>2</a:t>
                </a:r>
                <a:r>
                  <a:rPr lang="en-US" sz="1800" baseline="0"/>
                  <a:t>/yr)]</a:t>
                </a:r>
                <a:endParaRPr lang="en-US" sz="1800"/>
              </a:p>
            </c:rich>
          </c:tx>
          <c:overlay val="0"/>
        </c:title>
        <c:numFmt formatCode="General" sourceLinked="1"/>
        <c:majorTickMark val="in"/>
        <c:minorTickMark val="none"/>
        <c:tickLblPos val="nextTo"/>
        <c:spPr>
          <a:solidFill>
            <a:sysClr val="window" lastClr="FFFFFF"/>
          </a:solidFill>
        </c:spPr>
        <c:txPr>
          <a:bodyPr/>
          <a:lstStyle/>
          <a:p>
            <a:pPr>
              <a:defRPr sz="1800"/>
            </a:pPr>
            <a:endParaRPr lang="en-US"/>
          </a:p>
        </c:txPr>
        <c:crossAx val="183184768"/>
        <c:crosses val="autoZero"/>
        <c:crossBetween val="midCat"/>
      </c:valAx>
      <c:valAx>
        <c:axId val="183184768"/>
        <c:scaling>
          <c:orientation val="minMax"/>
          <c:max val="130"/>
          <c:min val="30"/>
        </c:scaling>
        <c:delete val="0"/>
        <c:axPos val="l"/>
        <c:majorGridlines>
          <c:spPr>
            <a:ln>
              <a:prstDash val="dash"/>
            </a:ln>
          </c:spPr>
        </c:majorGridlines>
        <c:title>
          <c:tx>
            <c:rich>
              <a:bodyPr rot="-5400000" vert="horz"/>
              <a:lstStyle/>
              <a:p>
                <a:pPr>
                  <a:defRPr sz="1800"/>
                </a:pPr>
                <a:r>
                  <a:rPr lang="en-US" sz="1800"/>
                  <a:t>Variable Cost</a:t>
                </a:r>
                <a:r>
                  <a:rPr lang="en-US" sz="1800" baseline="0"/>
                  <a:t> [US$/m</a:t>
                </a:r>
                <a:r>
                  <a:rPr lang="en-US" sz="1800" baseline="30000"/>
                  <a:t>2</a:t>
                </a:r>
                <a:r>
                  <a:rPr lang="en-US" sz="1800" baseline="0"/>
                  <a:t>]</a:t>
                </a:r>
                <a:endParaRPr lang="en-US" sz="1800"/>
              </a:p>
            </c:rich>
          </c:tx>
          <c:overlay val="0"/>
        </c:title>
        <c:numFmt formatCode="General" sourceLinked="1"/>
        <c:majorTickMark val="in"/>
        <c:minorTickMark val="none"/>
        <c:tickLblPos val="nextTo"/>
        <c:txPr>
          <a:bodyPr/>
          <a:lstStyle/>
          <a:p>
            <a:pPr>
              <a:defRPr sz="1800"/>
            </a:pPr>
            <a:endParaRPr lang="en-US"/>
          </a:p>
        </c:txPr>
        <c:crossAx val="183182848"/>
        <c:crosses val="autoZero"/>
        <c:crossBetween val="midCat"/>
        <c:majorUnit val="20"/>
      </c:valAx>
      <c:spPr>
        <a:ln>
          <a:solidFill>
            <a:sysClr val="window" lastClr="FFFFFF">
              <a:lumMod val="50000"/>
            </a:sysClr>
          </a:solidFill>
        </a:ln>
      </c:spPr>
    </c:plotArea>
    <c:plotVisOnly val="1"/>
    <c:dispBlanksAs val="gap"/>
    <c:showDLblsOverMax val="0"/>
  </c:chart>
  <c:spPr>
    <a:ln>
      <a:noFill/>
    </a:ln>
  </c:spPr>
  <c:printSettings>
    <c:headerFooter/>
    <c:pageMargins b="0.75000000000000588" l="0.70000000000000062" r="0.70000000000000062" t="0.75000000000000588"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16187641545772"/>
          <c:y val="9.8446178008401594E-2"/>
          <c:w val="0.66337494286085763"/>
          <c:h val="0.6320970211767617"/>
        </c:manualLayout>
      </c:layout>
      <c:barChart>
        <c:barDir val="col"/>
        <c:grouping val="stacked"/>
        <c:varyColors val="0"/>
        <c:ser>
          <c:idx val="0"/>
          <c:order val="0"/>
          <c:tx>
            <c:strRef>
              <c:f>'Results Summary'!$B$106</c:f>
              <c:strCache>
                <c:ptCount val="1"/>
                <c:pt idx="0">
                  <c:v>Silicon Feedstock</c:v>
                </c:pt>
              </c:strCache>
            </c:strRef>
          </c:tx>
          <c:spPr>
            <a:solidFill>
              <a:schemeClr val="tx2">
                <a:lumMod val="5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Summary'!$C$106:$H$106</c:f>
              <c:numCache>
                <c:formatCode>0.000</c:formatCode>
                <c:ptCount val="6"/>
                <c:pt idx="0">
                  <c:v>0.17766960624103481</c:v>
                </c:pt>
                <c:pt idx="1">
                  <c:v>7.848088834840776E-2</c:v>
                </c:pt>
                <c:pt idx="5">
                  <c:v>1.7815109568884251E-2</c:v>
                </c:pt>
              </c:numCache>
            </c:numRef>
          </c:val>
          <c:extLst>
            <c:ext xmlns:c16="http://schemas.microsoft.com/office/drawing/2014/chart" uri="{C3380CC4-5D6E-409C-BE32-E72D297353CC}">
              <c16:uniqueId val="{00000000-16D1-4A67-BF37-579358E7A6B0}"/>
            </c:ext>
          </c:extLst>
        </c:ser>
        <c:ser>
          <c:idx val="1"/>
          <c:order val="1"/>
          <c:tx>
            <c:strRef>
              <c:f>'Results Summary'!$B$107</c:f>
              <c:strCache>
                <c:ptCount val="1"/>
                <c:pt idx="0">
                  <c:v>Labor</c:v>
                </c:pt>
              </c:strCache>
            </c:strRef>
          </c:tx>
          <c:spPr>
            <a:solidFill>
              <a:schemeClr val="tx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Summary'!$C$107:$H$107</c:f>
              <c:numCache>
                <c:formatCode>0.000</c:formatCode>
                <c:ptCount val="6"/>
                <c:pt idx="0">
                  <c:v>6.6257129110477334E-2</c:v>
                </c:pt>
                <c:pt idx="1">
                  <c:v>3.9650792307979119E-2</c:v>
                </c:pt>
                <c:pt idx="5">
                  <c:v>1.5365323662060679E-2</c:v>
                </c:pt>
              </c:numCache>
            </c:numRef>
          </c:val>
          <c:extLst>
            <c:ext xmlns:c16="http://schemas.microsoft.com/office/drawing/2014/chart" uri="{C3380CC4-5D6E-409C-BE32-E72D297353CC}">
              <c16:uniqueId val="{00000001-16D1-4A67-BF37-579358E7A6B0}"/>
            </c:ext>
          </c:extLst>
        </c:ser>
        <c:ser>
          <c:idx val="2"/>
          <c:order val="2"/>
          <c:tx>
            <c:strRef>
              <c:f>'Results Summary'!$B$108</c:f>
              <c:strCache>
                <c:ptCount val="1"/>
                <c:pt idx="0">
                  <c:v>Depreciation</c:v>
                </c:pt>
              </c:strCache>
            </c:strRef>
          </c:tx>
          <c:spPr>
            <a:solidFill>
              <a:schemeClr val="tx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Summary'!$C$108:$H$108</c:f>
              <c:numCache>
                <c:formatCode>0.000</c:formatCode>
                <c:ptCount val="6"/>
                <c:pt idx="0">
                  <c:v>4.5910919297398892E-2</c:v>
                </c:pt>
                <c:pt idx="1">
                  <c:v>2.7914662144505522E-2</c:v>
                </c:pt>
                <c:pt idx="5">
                  <c:v>4.1508168668154918E-2</c:v>
                </c:pt>
              </c:numCache>
            </c:numRef>
          </c:val>
          <c:extLst>
            <c:ext xmlns:c16="http://schemas.microsoft.com/office/drawing/2014/chart" uri="{C3380CC4-5D6E-409C-BE32-E72D297353CC}">
              <c16:uniqueId val="{00000002-16D1-4A67-BF37-579358E7A6B0}"/>
            </c:ext>
          </c:extLst>
        </c:ser>
        <c:ser>
          <c:idx val="3"/>
          <c:order val="3"/>
          <c:tx>
            <c:strRef>
              <c:f>'Results Summary'!$B$109</c:f>
              <c:strCache>
                <c:ptCount val="1"/>
                <c:pt idx="0">
                  <c:v>Slurry</c:v>
                </c:pt>
              </c:strCache>
            </c:strRef>
          </c:tx>
          <c:spPr>
            <a:solidFill>
              <a:schemeClr val="tx2">
                <a:lumMod val="20000"/>
                <a:lumOff val="8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Summary'!$C$109:$H$109</c:f>
              <c:numCache>
                <c:formatCode>0.000</c:formatCode>
                <c:ptCount val="6"/>
                <c:pt idx="0">
                  <c:v>3.2208929081287488E-2</c:v>
                </c:pt>
                <c:pt idx="1">
                  <c:v>1.7325641171365522E-2</c:v>
                </c:pt>
                <c:pt idx="5">
                  <c:v>0</c:v>
                </c:pt>
              </c:numCache>
            </c:numRef>
          </c:val>
          <c:extLst>
            <c:ext xmlns:c16="http://schemas.microsoft.com/office/drawing/2014/chart" uri="{C3380CC4-5D6E-409C-BE32-E72D297353CC}">
              <c16:uniqueId val="{00000003-16D1-4A67-BF37-579358E7A6B0}"/>
            </c:ext>
          </c:extLst>
        </c:ser>
        <c:ser>
          <c:idx val="31"/>
          <c:order val="4"/>
          <c:tx>
            <c:strRef>
              <c:f>'Results Summary'!$B$112</c:f>
              <c:strCache>
                <c:ptCount val="1"/>
                <c:pt idx="0">
                  <c:v>Input Electricity</c:v>
                </c:pt>
              </c:strCache>
            </c:strRef>
          </c:tx>
          <c:spPr>
            <a:solidFill>
              <a:schemeClr val="tx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Summary'!$C$112:$H$112</c:f>
              <c:numCache>
                <c:formatCode>0.000</c:formatCode>
                <c:ptCount val="6"/>
                <c:pt idx="0">
                  <c:v>2.4558660743639785E-2</c:v>
                </c:pt>
                <c:pt idx="1">
                  <c:v>1.5701284519230314E-2</c:v>
                </c:pt>
                <c:pt idx="5">
                  <c:v>1.0784518865010377E-2</c:v>
                </c:pt>
              </c:numCache>
            </c:numRef>
          </c:val>
          <c:extLst>
            <c:ext xmlns:c16="http://schemas.microsoft.com/office/drawing/2014/chart" uri="{C3380CC4-5D6E-409C-BE32-E72D297353CC}">
              <c16:uniqueId val="{00000004-16D1-4A67-BF37-579358E7A6B0}"/>
            </c:ext>
          </c:extLst>
        </c:ser>
        <c:ser>
          <c:idx val="29"/>
          <c:order val="5"/>
          <c:tx>
            <c:strRef>
              <c:f>'Results Summary'!$B$110</c:f>
              <c:strCache>
                <c:ptCount val="1"/>
                <c:pt idx="0">
                  <c:v>Wire</c:v>
                </c:pt>
              </c:strCache>
            </c:strRef>
          </c:tx>
          <c:spPr>
            <a:solidFill>
              <a:schemeClr val="tx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Summary'!$C$110:$H$110</c:f>
              <c:numCache>
                <c:formatCode>0.000</c:formatCode>
                <c:ptCount val="6"/>
                <c:pt idx="0">
                  <c:v>2.2532485940259014E-2</c:v>
                </c:pt>
                <c:pt idx="1">
                  <c:v>1.4715656061558545E-2</c:v>
                </c:pt>
                <c:pt idx="5">
                  <c:v>0</c:v>
                </c:pt>
              </c:numCache>
            </c:numRef>
          </c:val>
          <c:extLst>
            <c:ext xmlns:c16="http://schemas.microsoft.com/office/drawing/2014/chart" uri="{C3380CC4-5D6E-409C-BE32-E72D297353CC}">
              <c16:uniqueId val="{00000005-16D1-4A67-BF37-579358E7A6B0}"/>
            </c:ext>
          </c:extLst>
        </c:ser>
        <c:ser>
          <c:idx val="30"/>
          <c:order val="6"/>
          <c:tx>
            <c:strRef>
              <c:f>'Results Summary'!$B$111</c:f>
              <c:strCache>
                <c:ptCount val="1"/>
                <c:pt idx="0">
                  <c:v>Maintenance</c:v>
                </c:pt>
              </c:strCache>
            </c:strRef>
          </c:tx>
          <c:spPr>
            <a:solidFill>
              <a:schemeClr val="tx2">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Summary'!$C$111:$H$111</c:f>
              <c:numCache>
                <c:formatCode>0.000</c:formatCode>
                <c:ptCount val="6"/>
                <c:pt idx="0">
                  <c:v>1.9455549165370602E-2</c:v>
                </c:pt>
                <c:pt idx="1">
                  <c:v>1.182932274279043E-2</c:v>
                </c:pt>
                <c:pt idx="5">
                  <c:v>1.5082983741197042E-2</c:v>
                </c:pt>
              </c:numCache>
            </c:numRef>
          </c:val>
          <c:extLst>
            <c:ext xmlns:c16="http://schemas.microsoft.com/office/drawing/2014/chart" uri="{C3380CC4-5D6E-409C-BE32-E72D297353CC}">
              <c16:uniqueId val="{00000006-16D1-4A67-BF37-579358E7A6B0}"/>
            </c:ext>
          </c:extLst>
        </c:ser>
        <c:ser>
          <c:idx val="24"/>
          <c:order val="7"/>
          <c:tx>
            <c:strRef>
              <c:f>'Results Summary'!$B$113</c:f>
              <c:strCache>
                <c:ptCount val="1"/>
                <c:pt idx="0">
                  <c:v>Crucible</c:v>
                </c:pt>
              </c:strCache>
            </c:strRef>
          </c:tx>
          <c:spPr>
            <a:solidFill>
              <a:schemeClr val="tx2">
                <a:lumMod val="60000"/>
                <a:lumOff val="40000"/>
              </a:schemeClr>
            </a:solidFill>
          </c:spPr>
          <c:invertIfNegative val="0"/>
          <c:val>
            <c:numRef>
              <c:f>'Results Summary'!$C$113:$H$113</c:f>
              <c:numCache>
                <c:formatCode>0.000</c:formatCode>
                <c:ptCount val="6"/>
                <c:pt idx="0">
                  <c:v>1.4024143405631155E-2</c:v>
                </c:pt>
                <c:pt idx="1">
                  <c:v>4.542991891154256E-3</c:v>
                </c:pt>
                <c:pt idx="5">
                  <c:v>0</c:v>
                </c:pt>
              </c:numCache>
            </c:numRef>
          </c:val>
          <c:extLst>
            <c:ext xmlns:c16="http://schemas.microsoft.com/office/drawing/2014/chart" uri="{C3380CC4-5D6E-409C-BE32-E72D297353CC}">
              <c16:uniqueId val="{00000007-16D1-4A67-BF37-579358E7A6B0}"/>
            </c:ext>
          </c:extLst>
        </c:ser>
        <c:ser>
          <c:idx val="28"/>
          <c:order val="8"/>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Lit>
              <c:formatCode>General</c:formatCode>
              <c:ptCount val="1"/>
              <c:pt idx="0">
                <c:v>0</c:v>
              </c:pt>
            </c:numLit>
          </c:val>
          <c:extLst>
            <c:ext xmlns:c16="http://schemas.microsoft.com/office/drawing/2014/chart" uri="{C3380CC4-5D6E-409C-BE32-E72D297353CC}">
              <c16:uniqueId val="{00000008-16D1-4A67-BF37-579358E7A6B0}"/>
            </c:ext>
          </c:extLst>
        </c:ser>
        <c:ser>
          <c:idx val="6"/>
          <c:order val="9"/>
          <c:tx>
            <c:strRef>
              <c:f>'Results Summary'!$B$114</c:f>
              <c:strCache>
                <c:ptCount val="1"/>
                <c:pt idx="0">
                  <c:v>Metal Paste</c:v>
                </c:pt>
              </c:strCache>
            </c:strRef>
          </c:tx>
          <c:spPr>
            <a:solidFill>
              <a:srgbClr val="471A19"/>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Summary'!$C$114:$H$114</c:f>
              <c:numCache>
                <c:formatCode>0.000</c:formatCode>
                <c:ptCount val="6"/>
                <c:pt idx="0">
                  <c:v>8.0865179308402757E-2</c:v>
                </c:pt>
                <c:pt idx="1">
                  <c:v>2.7200225350878904E-2</c:v>
                </c:pt>
                <c:pt idx="5">
                  <c:v>2.4248682729429632E-2</c:v>
                </c:pt>
              </c:numCache>
            </c:numRef>
          </c:val>
          <c:extLst>
            <c:ext xmlns:c16="http://schemas.microsoft.com/office/drawing/2014/chart" uri="{C3380CC4-5D6E-409C-BE32-E72D297353CC}">
              <c16:uniqueId val="{00000009-16D1-4A67-BF37-579358E7A6B0}"/>
            </c:ext>
          </c:extLst>
        </c:ser>
        <c:ser>
          <c:idx val="7"/>
          <c:order val="10"/>
          <c:tx>
            <c:strRef>
              <c:f>'Results Summary'!$B$115</c:f>
              <c:strCache>
                <c:ptCount val="1"/>
                <c:pt idx="0">
                  <c:v>Depreciation</c:v>
                </c:pt>
              </c:strCache>
            </c:strRef>
          </c:tx>
          <c:spPr>
            <a:solidFill>
              <a:schemeClr val="accent2">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Summary'!$C$115:$H$115</c:f>
              <c:numCache>
                <c:formatCode>0.000</c:formatCode>
                <c:ptCount val="6"/>
                <c:pt idx="0">
                  <c:v>4.1171405607630107E-2</c:v>
                </c:pt>
                <c:pt idx="1">
                  <c:v>2.50329528386618E-2</c:v>
                </c:pt>
                <c:pt idx="5">
                  <c:v>2.2316584636158925E-2</c:v>
                </c:pt>
              </c:numCache>
            </c:numRef>
          </c:val>
          <c:extLst>
            <c:ext xmlns:c16="http://schemas.microsoft.com/office/drawing/2014/chart" uri="{C3380CC4-5D6E-409C-BE32-E72D297353CC}">
              <c16:uniqueId val="{0000000A-16D1-4A67-BF37-579358E7A6B0}"/>
            </c:ext>
          </c:extLst>
        </c:ser>
        <c:ser>
          <c:idx val="8"/>
          <c:order val="11"/>
          <c:tx>
            <c:strRef>
              <c:f>'Results Summary'!$B$116</c:f>
              <c:strCache>
                <c:ptCount val="1"/>
                <c:pt idx="0">
                  <c:v>Chemicals</c:v>
                </c:pt>
              </c:strCache>
            </c:strRef>
          </c:tx>
          <c:spPr>
            <a:solidFill>
              <a:schemeClr val="accent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Summary'!$C$116:$H$116</c:f>
              <c:numCache>
                <c:formatCode>0.000</c:formatCode>
                <c:ptCount val="6"/>
                <c:pt idx="0">
                  <c:v>2.4710361248822785E-2</c:v>
                </c:pt>
                <c:pt idx="1">
                  <c:v>2.0317408137920958E-2</c:v>
                </c:pt>
                <c:pt idx="5">
                  <c:v>1.7839675438174503E-2</c:v>
                </c:pt>
              </c:numCache>
            </c:numRef>
          </c:val>
          <c:extLst>
            <c:ext xmlns:c16="http://schemas.microsoft.com/office/drawing/2014/chart" uri="{C3380CC4-5D6E-409C-BE32-E72D297353CC}">
              <c16:uniqueId val="{0000000B-16D1-4A67-BF37-579358E7A6B0}"/>
            </c:ext>
          </c:extLst>
        </c:ser>
        <c:ser>
          <c:idx val="9"/>
          <c:order val="12"/>
          <c:tx>
            <c:strRef>
              <c:f>'Results Summary'!$B$117</c:f>
              <c:strCache>
                <c:ptCount val="1"/>
                <c:pt idx="0">
                  <c:v>Labor</c:v>
                </c:pt>
              </c:strCache>
            </c:strRef>
          </c:tx>
          <c:spPr>
            <a:solidFill>
              <a:schemeClr val="accent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Summary'!$C$117:$H$117</c:f>
              <c:numCache>
                <c:formatCode>0.000</c:formatCode>
                <c:ptCount val="6"/>
                <c:pt idx="0">
                  <c:v>2.4763104137434495E-2</c:v>
                </c:pt>
                <c:pt idx="1">
                  <c:v>1.3410194369613462E-2</c:v>
                </c:pt>
                <c:pt idx="5">
                  <c:v>1.1955031416614088E-2</c:v>
                </c:pt>
              </c:numCache>
            </c:numRef>
          </c:val>
          <c:extLst>
            <c:ext xmlns:c16="http://schemas.microsoft.com/office/drawing/2014/chart" uri="{C3380CC4-5D6E-409C-BE32-E72D297353CC}">
              <c16:uniqueId val="{0000000C-16D1-4A67-BF37-579358E7A6B0}"/>
            </c:ext>
          </c:extLst>
        </c:ser>
        <c:ser>
          <c:idx val="10"/>
          <c:order val="13"/>
          <c:tx>
            <c:strRef>
              <c:f>'Results Summary'!$B$118</c:f>
              <c:strCache>
                <c:ptCount val="1"/>
                <c:pt idx="0">
                  <c:v>Input Electricity</c:v>
                </c:pt>
              </c:strCache>
            </c:strRef>
          </c:tx>
          <c:spPr>
            <a:solidFill>
              <a:schemeClr val="accent2">
                <a:lumMod val="20000"/>
                <a:lumOff val="8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Summary'!$C$118:$H$118</c:f>
              <c:numCache>
                <c:formatCode>0.000</c:formatCode>
                <c:ptCount val="6"/>
                <c:pt idx="0">
                  <c:v>2.2187790759219332E-2</c:v>
                </c:pt>
                <c:pt idx="1">
                  <c:v>1.7968270082172933E-2</c:v>
                </c:pt>
                <c:pt idx="5">
                  <c:v>1.6018502596899815E-2</c:v>
                </c:pt>
              </c:numCache>
            </c:numRef>
          </c:val>
          <c:extLst>
            <c:ext xmlns:c16="http://schemas.microsoft.com/office/drawing/2014/chart" uri="{C3380CC4-5D6E-409C-BE32-E72D297353CC}">
              <c16:uniqueId val="{0000000D-16D1-4A67-BF37-579358E7A6B0}"/>
            </c:ext>
          </c:extLst>
        </c:ser>
        <c:ser>
          <c:idx val="11"/>
          <c:order val="14"/>
          <c:tx>
            <c:strRef>
              <c:f>'Results Summary'!$B$119</c:f>
              <c:strCache>
                <c:ptCount val="1"/>
                <c:pt idx="0">
                  <c:v>Maintenance</c:v>
                </c:pt>
              </c:strCache>
            </c:strRef>
          </c:tx>
          <c:spPr>
            <a:solidFill>
              <a:schemeClr val="accent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Summary'!$C$119:$H$119</c:f>
              <c:numCache>
                <c:formatCode>0.000</c:formatCode>
                <c:ptCount val="6"/>
                <c:pt idx="0">
                  <c:v>1.5066066454459315E-2</c:v>
                </c:pt>
                <c:pt idx="1">
                  <c:v>9.1604385483678892E-3</c:v>
                </c:pt>
                <c:pt idx="5">
                  <c:v>8.1664238129053688E-3</c:v>
                </c:pt>
              </c:numCache>
            </c:numRef>
          </c:val>
          <c:extLst>
            <c:ext xmlns:c16="http://schemas.microsoft.com/office/drawing/2014/chart" uri="{C3380CC4-5D6E-409C-BE32-E72D297353CC}">
              <c16:uniqueId val="{0000000E-16D1-4A67-BF37-579358E7A6B0}"/>
            </c:ext>
          </c:extLst>
        </c:ser>
        <c:ser>
          <c:idx val="12"/>
          <c:order val="15"/>
          <c:tx>
            <c:strRef>
              <c:f>'Results Summary'!$B$120</c:f>
              <c:strCache>
                <c:ptCount val="1"/>
                <c:pt idx="0">
                  <c:v>Screens</c:v>
                </c:pt>
              </c:strCache>
            </c:strRef>
          </c:tx>
          <c:spPr>
            <a:solidFill>
              <a:schemeClr val="accent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Summary'!$C$120:$H$120</c:f>
              <c:numCache>
                <c:formatCode>0.000</c:formatCode>
                <c:ptCount val="6"/>
                <c:pt idx="0">
                  <c:v>8.9142717347845558E-3</c:v>
                </c:pt>
                <c:pt idx="1">
                  <c:v>7.2190171547356343E-3</c:v>
                </c:pt>
                <c:pt idx="5">
                  <c:v>0</c:v>
                </c:pt>
              </c:numCache>
            </c:numRef>
          </c:val>
          <c:extLst>
            <c:ext xmlns:c16="http://schemas.microsoft.com/office/drawing/2014/chart" uri="{C3380CC4-5D6E-409C-BE32-E72D297353CC}">
              <c16:uniqueId val="{0000000F-16D1-4A67-BF37-579358E7A6B0}"/>
            </c:ext>
          </c:extLst>
        </c:ser>
        <c:ser>
          <c:idx val="27"/>
          <c:order val="16"/>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Lit>
              <c:formatCode>General</c:formatCode>
              <c:ptCount val="1"/>
              <c:pt idx="0">
                <c:v>0</c:v>
              </c:pt>
            </c:numLit>
          </c:val>
          <c:extLst>
            <c:ext xmlns:c16="http://schemas.microsoft.com/office/drawing/2014/chart" uri="{C3380CC4-5D6E-409C-BE32-E72D297353CC}">
              <c16:uniqueId val="{00000010-16D1-4A67-BF37-579358E7A6B0}"/>
            </c:ext>
          </c:extLst>
        </c:ser>
        <c:ser>
          <c:idx val="14"/>
          <c:order val="17"/>
          <c:tx>
            <c:strRef>
              <c:f>'Results Summary'!$B$122</c:f>
              <c:strCache>
                <c:ptCount val="1"/>
                <c:pt idx="0">
                  <c:v>Frame</c:v>
                </c:pt>
              </c:strCache>
            </c:strRef>
          </c:tx>
          <c:spPr>
            <a:solidFill>
              <a:schemeClr val="accent4">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Summary'!$C$122:$H$122</c:f>
              <c:numCache>
                <c:formatCode>0.000</c:formatCode>
                <c:ptCount val="6"/>
                <c:pt idx="0">
                  <c:v>5.7633341109124582E-2</c:v>
                </c:pt>
                <c:pt idx="1">
                  <c:v>4.7149286093293878E-2</c:v>
                </c:pt>
                <c:pt idx="5">
                  <c:v>4.1608460898294827E-2</c:v>
                </c:pt>
              </c:numCache>
            </c:numRef>
          </c:val>
          <c:extLst>
            <c:ext xmlns:c16="http://schemas.microsoft.com/office/drawing/2014/chart" uri="{C3380CC4-5D6E-409C-BE32-E72D297353CC}">
              <c16:uniqueId val="{00000011-16D1-4A67-BF37-579358E7A6B0}"/>
            </c:ext>
          </c:extLst>
        </c:ser>
        <c:ser>
          <c:idx val="13"/>
          <c:order val="18"/>
          <c:tx>
            <c:strRef>
              <c:f>'Results Summary'!$B$121</c:f>
              <c:strCache>
                <c:ptCount val="1"/>
                <c:pt idx="0">
                  <c:v>Glass</c:v>
                </c:pt>
              </c:strCache>
            </c:strRef>
          </c:tx>
          <c:spPr>
            <a:solidFill>
              <a:schemeClr val="accent4">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Summary'!$C$121:$H$121</c:f>
              <c:numCache>
                <c:formatCode>0.000</c:formatCode>
                <c:ptCount val="6"/>
                <c:pt idx="0">
                  <c:v>4.9822549822549821E-2</c:v>
                </c:pt>
                <c:pt idx="1">
                  <c:v>4.0759352317141256E-2</c:v>
                </c:pt>
                <c:pt idx="5">
                  <c:v>3.596945060359695E-2</c:v>
                </c:pt>
              </c:numCache>
            </c:numRef>
          </c:val>
          <c:extLst>
            <c:ext xmlns:c16="http://schemas.microsoft.com/office/drawing/2014/chart" uri="{C3380CC4-5D6E-409C-BE32-E72D297353CC}">
              <c16:uniqueId val="{00000012-16D1-4A67-BF37-579358E7A6B0}"/>
            </c:ext>
          </c:extLst>
        </c:ser>
        <c:ser>
          <c:idx val="15"/>
          <c:order val="19"/>
          <c:tx>
            <c:strRef>
              <c:f>'Results Summary'!$B$123</c:f>
              <c:strCache>
                <c:ptCount val="1"/>
                <c:pt idx="0">
                  <c:v>Backsheet</c:v>
                </c:pt>
              </c:strCache>
            </c:strRef>
          </c:tx>
          <c:spPr>
            <a:solidFill>
              <a:schemeClr val="accent4">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Summary'!$C$123:$H$123</c:f>
              <c:numCache>
                <c:formatCode>0.000</c:formatCode>
                <c:ptCount val="6"/>
                <c:pt idx="0">
                  <c:v>4.777504777504777E-2</c:v>
                </c:pt>
                <c:pt idx="1">
                  <c:v>3.908431044109436E-2</c:v>
                </c:pt>
                <c:pt idx="5">
                  <c:v>3.4491254003449129E-2</c:v>
                </c:pt>
              </c:numCache>
            </c:numRef>
          </c:val>
          <c:extLst>
            <c:ext xmlns:c16="http://schemas.microsoft.com/office/drawing/2014/chart" uri="{C3380CC4-5D6E-409C-BE32-E72D297353CC}">
              <c16:uniqueId val="{00000013-16D1-4A67-BF37-579358E7A6B0}"/>
            </c:ext>
          </c:extLst>
        </c:ser>
        <c:ser>
          <c:idx val="16"/>
          <c:order val="20"/>
          <c:tx>
            <c:strRef>
              <c:f>'Results Summary'!$B$124</c:f>
              <c:strCache>
                <c:ptCount val="1"/>
                <c:pt idx="0">
                  <c:v>Encapsulant</c:v>
                </c:pt>
              </c:strCache>
            </c:strRef>
          </c:tx>
          <c:spPr>
            <a:solidFill>
              <a:schemeClr val="accent4">
                <a:lumMod val="20000"/>
                <a:lumOff val="8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Summary'!$C$124:$H$124</c:f>
              <c:numCache>
                <c:formatCode>0.000</c:formatCode>
                <c:ptCount val="6"/>
                <c:pt idx="0">
                  <c:v>3.412503412503412E-2</c:v>
                </c:pt>
                <c:pt idx="1">
                  <c:v>2.7917364600781685E-2</c:v>
                </c:pt>
                <c:pt idx="5">
                  <c:v>2.4636610002463661E-2</c:v>
                </c:pt>
              </c:numCache>
            </c:numRef>
          </c:val>
          <c:extLst>
            <c:ext xmlns:c16="http://schemas.microsoft.com/office/drawing/2014/chart" uri="{C3380CC4-5D6E-409C-BE32-E72D297353CC}">
              <c16:uniqueId val="{00000014-16D1-4A67-BF37-579358E7A6B0}"/>
            </c:ext>
          </c:extLst>
        </c:ser>
        <c:ser>
          <c:idx val="18"/>
          <c:order val="21"/>
          <c:tx>
            <c:strRef>
              <c:f>'Results Summary'!$B$126</c:f>
              <c:strCache>
                <c:ptCount val="1"/>
                <c:pt idx="0">
                  <c:v>Ribbon</c:v>
                </c:pt>
              </c:strCache>
            </c:strRef>
          </c:tx>
          <c:spPr>
            <a:solidFill>
              <a:schemeClr val="accent4">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Summary'!$C$126:$H$126</c:f>
              <c:numCache>
                <c:formatCode>0.000</c:formatCode>
                <c:ptCount val="6"/>
                <c:pt idx="0">
                  <c:v>3.207753207753207E-2</c:v>
                </c:pt>
                <c:pt idx="1">
                  <c:v>2.6242322724734785E-2</c:v>
                </c:pt>
                <c:pt idx="5">
                  <c:v>2.3158413402315843E-2</c:v>
                </c:pt>
              </c:numCache>
            </c:numRef>
          </c:val>
          <c:extLst>
            <c:ext xmlns:c16="http://schemas.microsoft.com/office/drawing/2014/chart" uri="{C3380CC4-5D6E-409C-BE32-E72D297353CC}">
              <c16:uniqueId val="{00000015-16D1-4A67-BF37-579358E7A6B0}"/>
            </c:ext>
          </c:extLst>
        </c:ser>
        <c:ser>
          <c:idx val="17"/>
          <c:order val="22"/>
          <c:tx>
            <c:strRef>
              <c:f>'Results Summary'!$B$125</c:f>
              <c:strCache>
                <c:ptCount val="1"/>
                <c:pt idx="0">
                  <c:v>JB and Cable</c:v>
                </c:pt>
              </c:strCache>
            </c:strRef>
          </c:tx>
          <c:spPr>
            <a:solidFill>
              <a:schemeClr val="accent4">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Summary'!$C$125:$H$125</c:f>
              <c:numCache>
                <c:formatCode>0.000</c:formatCode>
                <c:ptCount val="6"/>
                <c:pt idx="0">
                  <c:v>2.4959960857396754E-2</c:v>
                </c:pt>
                <c:pt idx="1">
                  <c:v>2.0419505666252218E-2</c:v>
                </c:pt>
                <c:pt idx="5">
                  <c:v>1.8019874179974246E-2</c:v>
                </c:pt>
              </c:numCache>
            </c:numRef>
          </c:val>
          <c:extLst>
            <c:ext xmlns:c16="http://schemas.microsoft.com/office/drawing/2014/chart" uri="{C3380CC4-5D6E-409C-BE32-E72D297353CC}">
              <c16:uniqueId val="{00000016-16D1-4A67-BF37-579358E7A6B0}"/>
            </c:ext>
          </c:extLst>
        </c:ser>
        <c:ser>
          <c:idx val="20"/>
          <c:order val="23"/>
          <c:tx>
            <c:strRef>
              <c:f>'Results Summary'!$B$128</c:f>
              <c:strCache>
                <c:ptCount val="1"/>
                <c:pt idx="0">
                  <c:v>Labor</c:v>
                </c:pt>
              </c:strCache>
            </c:strRef>
          </c:tx>
          <c:spPr>
            <a:solidFill>
              <a:schemeClr val="accent4">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Summary'!$C$128:$H$128</c:f>
              <c:numCache>
                <c:formatCode>0.000</c:formatCode>
                <c:ptCount val="6"/>
                <c:pt idx="0">
                  <c:v>2.3831505004496076E-2</c:v>
                </c:pt>
                <c:pt idx="1">
                  <c:v>1.1576018962590476E-2</c:v>
                </c:pt>
                <c:pt idx="5">
                  <c:v>1.031988549626657E-2</c:v>
                </c:pt>
              </c:numCache>
            </c:numRef>
          </c:val>
          <c:extLst>
            <c:ext xmlns:c16="http://schemas.microsoft.com/office/drawing/2014/chart" uri="{C3380CC4-5D6E-409C-BE32-E72D297353CC}">
              <c16:uniqueId val="{00000017-16D1-4A67-BF37-579358E7A6B0}"/>
            </c:ext>
          </c:extLst>
        </c:ser>
        <c:ser>
          <c:idx val="19"/>
          <c:order val="24"/>
          <c:tx>
            <c:strRef>
              <c:f>'Results Summary'!$B$127</c:f>
              <c:strCache>
                <c:ptCount val="1"/>
                <c:pt idx="0">
                  <c:v>Depreciation</c:v>
                </c:pt>
              </c:strCache>
            </c:strRef>
          </c:tx>
          <c:spPr>
            <a:solidFill>
              <a:schemeClr val="accent4">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Summary'!$C$127:$H$127</c:f>
              <c:numCache>
                <c:formatCode>0.000</c:formatCode>
                <c:ptCount val="6"/>
                <c:pt idx="0">
                  <c:v>1.7055924288067147E-2</c:v>
                </c:pt>
                <c:pt idx="1">
                  <c:v>1.0370307790605156E-2</c:v>
                </c:pt>
                <c:pt idx="5">
                  <c:v>9.2450080900815506E-3</c:v>
                </c:pt>
              </c:numCache>
            </c:numRef>
          </c:val>
          <c:extLst>
            <c:ext xmlns:c16="http://schemas.microsoft.com/office/drawing/2014/chart" uri="{C3380CC4-5D6E-409C-BE32-E72D297353CC}">
              <c16:uniqueId val="{00000018-16D1-4A67-BF37-579358E7A6B0}"/>
            </c:ext>
          </c:extLst>
        </c:ser>
        <c:ser>
          <c:idx val="21"/>
          <c:order val="25"/>
          <c:tx>
            <c:strRef>
              <c:f>'Results Summary'!$B$129</c:f>
              <c:strCache>
                <c:ptCount val="1"/>
                <c:pt idx="0">
                  <c:v>Maintenance</c:v>
                </c:pt>
              </c:strCache>
            </c:strRef>
          </c:tx>
          <c:spPr>
            <a:solidFill>
              <a:schemeClr val="accent4">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Summary'!$C$129:$H$129</c:f>
              <c:numCache>
                <c:formatCode>0.000</c:formatCode>
                <c:ptCount val="6"/>
                <c:pt idx="0">
                  <c:v>6.4525731266802718E-3</c:v>
                </c:pt>
                <c:pt idx="1">
                  <c:v>3.9232801597200925E-3</c:v>
                </c:pt>
                <c:pt idx="5">
                  <c:v>3.4975583703627101E-3</c:v>
                </c:pt>
              </c:numCache>
            </c:numRef>
          </c:val>
          <c:extLst>
            <c:ext xmlns:c16="http://schemas.microsoft.com/office/drawing/2014/chart" uri="{C3380CC4-5D6E-409C-BE32-E72D297353CC}">
              <c16:uniqueId val="{00000019-16D1-4A67-BF37-579358E7A6B0}"/>
            </c:ext>
          </c:extLst>
        </c:ser>
        <c:ser>
          <c:idx val="23"/>
          <c:order val="26"/>
          <c:tx>
            <c:strRef>
              <c:f>'Results Summary'!$B$130</c:f>
              <c:strCache>
                <c:ptCount val="1"/>
                <c:pt idx="0">
                  <c:v>Input Electricity</c:v>
                </c:pt>
              </c:strCache>
            </c:strRef>
          </c:tx>
          <c:spPr>
            <a:solidFill>
              <a:schemeClr val="accent4">
                <a:lumMod val="20000"/>
                <a:lumOff val="80000"/>
              </a:schemeClr>
            </a:solidFill>
          </c:spPr>
          <c:invertIfNegative val="0"/>
          <c:dLbls>
            <c:dLbl>
              <c:idx val="0"/>
              <c:layout>
                <c:manualLayout>
                  <c:x val="-9.8546825142308177E-4"/>
                  <c:y val="-4.6883593544740532E-2"/>
                </c:manualLayout>
              </c:layout>
              <c:tx>
                <c:strRef>
                  <c:f>'Results Summary'!$C$136</c:f>
                  <c:strCache>
                    <c:ptCount val="1"/>
                    <c:pt idx="0">
                      <c:v>0.92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{B32058C2-1AE3-419B-930A-FBD54CA37575}</c15:txfldGUID>
                      <c15:f>'Results Summary'!$C$136</c15:f>
                      <c15:dlblFieldTableCache>
                        <c:ptCount val="1"/>
                        <c:pt idx="0">
                          <c:v>0.92</c:v>
                        </c:pt>
                      </c15:dlblFieldTableCache>
                    </c15:dlblFTEntry>
                  </c15:dlblFieldTable>
                  <c15:showDataLabelsRange val="0"/>
                </c:ext>
                <c:ext xmlns:c16="http://schemas.microsoft.com/office/drawing/2014/chart" uri="{C3380CC4-5D6E-409C-BE32-E72D297353CC}">
                  <c16:uniqueId val="{0000001A-16D1-4A67-BF37-579358E7A6B0}"/>
                </c:ext>
              </c:extLst>
            </c:dLbl>
            <c:dLbl>
              <c:idx val="1"/>
              <c:layout>
                <c:manualLayout>
                  <c:x val="-1.5196053545580741E-3"/>
                  <c:y val="-5.6674601721296472E-2"/>
                </c:manualLayout>
              </c:layout>
              <c:tx>
                <c:strRef>
                  <c:f>'Results Summary'!$D$136</c:f>
                  <c:strCache>
                    <c:ptCount val="1"/>
                    <c:pt idx="0">
                      <c:v>0.56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{9186EF32-A9F9-4CD5-972B-66591359A763}</c15:txfldGUID>
                      <c15:f>'Results Summary'!$D$136</c15:f>
                      <c15:dlblFieldTableCache>
                        <c:ptCount val="1"/>
                        <c:pt idx="0">
                          <c:v>0.56</c:v>
                        </c:pt>
                      </c15:dlblFieldTableCache>
                    </c15:dlblFTEntry>
                  </c15:dlblFieldTable>
                  <c15:showDataLabelsRange val="0"/>
                </c:ext>
                <c:ext xmlns:c16="http://schemas.microsoft.com/office/drawing/2014/chart" uri="{C3380CC4-5D6E-409C-BE32-E72D297353CC}">
                  <c16:uniqueId val="{0000001B-16D1-4A67-BF37-579358E7A6B0}"/>
                </c:ext>
              </c:extLst>
            </c:dLbl>
            <c:dLbl>
              <c:idx val="2"/>
              <c:layout>
                <c:manualLayout>
                  <c:x val="7.2158751106622134E-4"/>
                  <c:y val="-5.9519676811564434E-2"/>
                </c:manualLayout>
              </c:layout>
              <c:tx>
                <c:strRef>
                  <c:f>'Bottoms Up Summary'!#REF!</c:f>
                  <c:strCache>
                    <c:ptCount val="1"/>
                    <c:pt idx="0">
                      <c:v>#REF!</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{8221B176-F2A5-4505-8F79-91B6C7D8D829}</c15:txfldGUID>
                      <c15:f>'Bottoms Up Summary'!#REF!</c15:f>
                      <c15:dlblFieldTableCache>
                        <c:ptCount val="1"/>
                        <c:pt idx="0">
                          <c:v>#REF!</c:v>
                        </c:pt>
                      </c15:dlblFieldTableCache>
                    </c15:dlblFTEntry>
                  </c15:dlblFieldTable>
                  <c15:showDataLabelsRange val="0"/>
                </c:ext>
                <c:ext xmlns:c16="http://schemas.microsoft.com/office/drawing/2014/chart" uri="{C3380CC4-5D6E-409C-BE32-E72D297353CC}">
                  <c16:uniqueId val="{0000001C-16D1-4A67-BF37-579358E7A6B0}"/>
                </c:ext>
              </c:extLst>
            </c:dLbl>
            <c:dLbl>
              <c:idx val="3"/>
              <c:layout>
                <c:manualLayout>
                  <c:x val="7.4708257302040005E-4"/>
                  <c:y val="-4.9426578234223924E-2"/>
                </c:manualLayout>
              </c:layout>
              <c:tx>
                <c:strRef>
                  <c:f>'Bottoms Up Summary'!#REF!</c:f>
                  <c:strCache>
                    <c:ptCount val="1"/>
                    <c:pt idx="0">
                      <c:v>#REF!</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{B897CE4C-0568-48E5-8718-E95610AEBE93}</c15:txfldGUID>
                      <c15:f>'Bottoms Up Summary'!#REF!</c15:f>
                      <c15:dlblFieldTableCache>
                        <c:ptCount val="1"/>
                        <c:pt idx="0">
                          <c:v>#REF!</c:v>
                        </c:pt>
                      </c15:dlblFieldTableCache>
                    </c15:dlblFTEntry>
                  </c15:dlblFieldTable>
                  <c15:showDataLabelsRange val="0"/>
                </c:ext>
                <c:ext xmlns:c16="http://schemas.microsoft.com/office/drawing/2014/chart" uri="{C3380CC4-5D6E-409C-BE32-E72D297353CC}">
                  <c16:uniqueId val="{0000001D-16D1-4A67-BF37-579358E7A6B0}"/>
                </c:ext>
              </c:extLst>
            </c:dLbl>
            <c:dLbl>
              <c:idx val="4"/>
              <c:layout>
                <c:manualLayout>
                  <c:x val="8.5092794362274268E-4"/>
                  <c:y val="-5.0942919252508434E-2"/>
                </c:manualLayout>
              </c:layout>
              <c:tx>
                <c:strRef>
                  <c:f>'Bottoms Up Summary'!#REF!</c:f>
                  <c:strCache>
                    <c:ptCount val="1"/>
                    <c:pt idx="0">
                      <c:v>#REF!</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{11BD3F67-CCC1-40F7-910B-E97FE98A7CC1}</c15:txfldGUID>
                      <c15:f>'Bottoms Up Summary'!#REF!</c15:f>
                      <c15:dlblFieldTableCache>
                        <c:ptCount val="1"/>
                        <c:pt idx="0">
                          <c:v>#REF!</c:v>
                        </c:pt>
                      </c15:dlblFieldTableCache>
                    </c15:dlblFTEntry>
                  </c15:dlblFieldTable>
                  <c15:showDataLabelsRange val="0"/>
                </c:ext>
                <c:ext xmlns:c16="http://schemas.microsoft.com/office/drawing/2014/chart" uri="{C3380CC4-5D6E-409C-BE32-E72D297353CC}">
                  <c16:uniqueId val="{0000001E-16D1-4A67-BF37-579358E7A6B0}"/>
                </c:ext>
              </c:extLst>
            </c:dLbl>
            <c:dLbl>
              <c:idx val="5"/>
              <c:layout>
                <c:manualLayout>
                  <c:x val="-1.9623809438363352E-3"/>
                  <c:y val="-4.5195029458483034E-2"/>
                </c:manualLayout>
              </c:layout>
              <c:tx>
                <c:strRef>
                  <c:f>'Results Summary'!$H$136</c:f>
                  <c:strCache>
                    <c:ptCount val="1"/>
                    <c:pt idx="0">
                      <c:v>0.41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{F9E28C55-C97E-4B94-A992-306C61DC1E00}</c15:txfldGUID>
                      <c15:f>'Results Summary'!$H$136</c15:f>
                      <c15:dlblFieldTableCache>
                        <c:ptCount val="1"/>
                        <c:pt idx="0">
                          <c:v>0.41</c:v>
                        </c:pt>
                      </c15:dlblFieldTableCache>
                    </c15:dlblFTEntry>
                  </c15:dlblFieldTable>
                  <c15:showDataLabelsRange val="0"/>
                </c:ext>
                <c:ext xmlns:c16="http://schemas.microsoft.com/office/drawing/2014/chart" uri="{C3380CC4-5D6E-409C-BE32-E72D297353CC}">
                  <c16:uniqueId val="{0000001F-16D1-4A67-BF37-579358E7A6B0}"/>
                </c:ext>
              </c:extLst>
            </c:dLbl>
            <c:dLbl>
              <c:idx val="6"/>
              <c:layout>
                <c:manualLayout>
                  <c:x val="6.2684881706664424E-6"/>
                  <c:y val="-4.1439535679880256E-2"/>
                </c:manualLayout>
              </c:layout>
              <c:tx>
                <c:strRef>
                  <c:f>'Results Summary'!$E$92</c:f>
                  <c:strCache>
                    <c:ptCount val="1"/>
                    <c:pt idx="0">
                      <c:v>0.407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{995F435D-FFDF-4047-918C-BE0764DDBEE0}</c15:txfldGUID>
                      <c15:f>'Results Summary'!$E$92</c15:f>
                      <c15:dlblFieldTableCache>
                        <c:ptCount val="1"/>
                        <c:pt idx="0">
                          <c:v>0.407</c:v>
                        </c:pt>
                      </c15:dlblFieldTableCache>
                    </c15:dlblFTEntry>
                  </c15:dlblFieldTable>
                  <c15:showDataLabelsRange val="0"/>
                </c:ext>
                <c:ext xmlns:c16="http://schemas.microsoft.com/office/drawing/2014/chart" uri="{C3380CC4-5D6E-409C-BE32-E72D297353CC}">
                  <c16:uniqueId val="{00000020-16D1-4A67-BF37-579358E7A6B0}"/>
                </c:ext>
              </c:extLst>
            </c:dLbl>
            <c:spPr>
              <a:solidFill>
                <a:schemeClr val="bg1"/>
              </a:solidFill>
            </c:spPr>
            <c:txPr>
              <a:bodyPr/>
              <a:lstStyle/>
              <a:p>
                <a:pPr>
                  <a:defRPr sz="2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Summary'!$C$130:$H$130</c:f>
              <c:numCache>
                <c:formatCode>0.000</c:formatCode>
                <c:ptCount val="6"/>
                <c:pt idx="0">
                  <c:v>3.1976521976521976E-3</c:v>
                </c:pt>
                <c:pt idx="1">
                  <c:v>2.6159687325516471E-3</c:v>
                </c:pt>
                <c:pt idx="5">
                  <c:v>2.3085489036708553E-3</c:v>
                </c:pt>
              </c:numCache>
            </c:numRef>
          </c:val>
          <c:extLst>
            <c:ext xmlns:c16="http://schemas.microsoft.com/office/drawing/2014/chart" uri="{C3380CC4-5D6E-409C-BE32-E72D297353CC}">
              <c16:uniqueId val="{00000021-16D1-4A67-BF37-579358E7A6B0}"/>
            </c:ext>
          </c:extLst>
        </c:ser>
        <c:ser>
          <c:idx val="5"/>
          <c:order val="27"/>
          <c:tx>
            <c:strRef>
              <c:f>'Results Summary'!$B$131</c:f>
              <c:strCache>
                <c:ptCount val="1"/>
                <c:pt idx="0">
                  <c:v>Packaging</c:v>
                </c:pt>
              </c:strCache>
            </c:strRef>
          </c:tx>
          <c:spPr>
            <a:solidFill>
              <a:schemeClr val="accent4">
                <a:lumMod val="40000"/>
                <a:lumOff val="60000"/>
              </a:schemeClr>
            </a:solidFill>
          </c:spPr>
          <c:invertIfNegative val="0"/>
          <c:errBars>
            <c:errBarType val="both"/>
            <c:errValType val="cust"/>
            <c:noEndCap val="0"/>
            <c:plus>
              <c:numRef>
                <c:f>'Results Summary'!$Y$12:$Y$17</c:f>
                <c:numCache>
                  <c:formatCode>General</c:formatCode>
                  <c:ptCount val="6"/>
                  <c:pt idx="0">
                    <c:v>9.2029797569068483E-2</c:v>
                  </c:pt>
                  <c:pt idx="1">
                    <c:v>5.6304002597217906E-2</c:v>
                  </c:pt>
                  <c:pt idx="5">
                    <c:v>4.0657336398618793E-2</c:v>
                  </c:pt>
                </c:numCache>
              </c:numRef>
            </c:plus>
            <c:minus>
              <c:numRef>
                <c:f>'Results Summary'!$Z$12:$Z$17</c:f>
                <c:numCache>
                  <c:formatCode>General</c:formatCode>
                  <c:ptCount val="6"/>
                  <c:pt idx="0">
                    <c:v>9.2029797569068705E-2</c:v>
                  </c:pt>
                  <c:pt idx="1">
                    <c:v>5.6304002597217795E-2</c:v>
                  </c:pt>
                  <c:pt idx="5">
                    <c:v>4.0657336398618626E-2</c:v>
                  </c:pt>
                </c:numCache>
              </c:numRef>
            </c:minus>
            <c:spPr>
              <a:ln w="25400"/>
            </c:spPr>
          </c:errBars>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Summary'!$C$131:$H$131</c:f>
              <c:numCache>
                <c:formatCode>0.000</c:formatCode>
                <c:ptCount val="6"/>
                <c:pt idx="0">
                  <c:v>3.0712530712530711E-3</c:v>
                </c:pt>
                <c:pt idx="1">
                  <c:v>2.5125628140703514E-3</c:v>
                </c:pt>
                <c:pt idx="5">
                  <c:v>2.2172949002217299E-3</c:v>
                </c:pt>
              </c:numCache>
            </c:numRef>
          </c:val>
          <c:extLst>
            <c:ext xmlns:c16="http://schemas.microsoft.com/office/drawing/2014/chart" uri="{C3380CC4-5D6E-409C-BE32-E72D297353CC}">
              <c16:uniqueId val="{00000022-16D1-4A67-BF37-579358E7A6B0}"/>
            </c:ext>
          </c:extLst>
        </c:ser>
        <c:ser>
          <c:idx val="26"/>
          <c:order val="28"/>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Lit>
              <c:formatCode>General</c:formatCode>
              <c:ptCount val="1"/>
              <c:pt idx="0">
                <c:v>0</c:v>
              </c:pt>
            </c:numLit>
          </c:val>
          <c:extLst>
            <c:ext xmlns:c16="http://schemas.microsoft.com/office/drawing/2014/chart" uri="{C3380CC4-5D6E-409C-BE32-E72D297353CC}">
              <c16:uniqueId val="{00000023-16D1-4A67-BF37-579358E7A6B0}"/>
            </c:ext>
          </c:extLst>
        </c:ser>
        <c:ser>
          <c:idx val="35"/>
          <c:order val="29"/>
          <c:tx>
            <c:strRef>
              <c:f>'Results Summary'!$B$134</c:f>
              <c:strCache>
                <c:ptCount val="1"/>
                <c:pt idx="0">
                  <c:v>Bottom</c:v>
                </c:pt>
              </c:strCache>
            </c:strRef>
          </c:tx>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Summary'!$C$134:$H$134</c:f>
              <c:numCache>
                <c:formatCode>General</c:formatCode>
                <c:ptCount val="6"/>
                <c:pt idx="2" formatCode="0.000">
                  <c:v>0.49437660817069373</c:v>
                </c:pt>
                <c:pt idx="3" formatCode="0.000">
                  <c:v>0.43324075379436988</c:v>
                </c:pt>
                <c:pt idx="4" formatCode="0.000">
                  <c:v>0.40657336398618765</c:v>
                </c:pt>
              </c:numCache>
            </c:numRef>
          </c:val>
          <c:extLst>
            <c:ext xmlns:c16="http://schemas.microsoft.com/office/drawing/2014/chart" uri="{C3380CC4-5D6E-409C-BE32-E72D297353CC}">
              <c16:uniqueId val="{00000024-16D1-4A67-BF37-579358E7A6B0}"/>
            </c:ext>
          </c:extLst>
        </c:ser>
        <c:ser>
          <c:idx val="34"/>
          <c:order val="30"/>
          <c:tx>
            <c:strRef>
              <c:f>'Results Summary'!$B$133</c:f>
              <c:strCache>
                <c:ptCount val="1"/>
                <c:pt idx="0">
                  <c:v>Delta</c:v>
                </c:pt>
              </c:strCache>
            </c:strRef>
          </c:tx>
          <c:spPr>
            <a:solidFill>
              <a:srgbClr val="92D050"/>
            </a:solidFill>
          </c:spPr>
          <c:invertIfNegative val="0"/>
          <c:dLbls>
            <c:dLbl>
              <c:idx val="2"/>
              <c:layout>
                <c:manualLayout>
                  <c:x val="0"/>
                  <c:y val="-4.7278774837830134E-2"/>
                </c:manualLayout>
              </c:layout>
              <c:tx>
                <c:strRef>
                  <c:f>'Results Summary'!$E$135</c:f>
                  <c:strCache>
                    <c:ptCount val="1"/>
                    <c:pt idx="0">
                      <c:v>-0.07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{5B1BD045-725C-4741-9FB7-0F4216941EBE}</c15:txfldGUID>
                      <c15:f>'Results Summary'!$E$135</c15:f>
                      <c15:dlblFieldTableCache>
                        <c:ptCount val="1"/>
                        <c:pt idx="0">
                          <c:v>-0.07</c:v>
                        </c:pt>
                      </c15:dlblFieldTableCache>
                    </c15:dlblFTEntry>
                  </c15:dlblFieldTable>
                  <c15:showDataLabelsRange val="0"/>
                </c:ext>
                <c:ext xmlns:c16="http://schemas.microsoft.com/office/drawing/2014/chart" uri="{C3380CC4-5D6E-409C-BE32-E72D297353CC}">
                  <c16:uniqueId val="{00000025-16D1-4A67-BF37-579358E7A6B0}"/>
                </c:ext>
              </c:extLst>
            </c:dLbl>
            <c:dLbl>
              <c:idx val="3"/>
              <c:layout>
                <c:manualLayout>
                  <c:x val="-9.84190109571357E-4"/>
                  <c:y val="-4.7765324379497723E-2"/>
                </c:manualLayout>
              </c:layout>
              <c:tx>
                <c:strRef>
                  <c:f>'Results Summary'!$F$135</c:f>
                  <c:strCache>
                    <c:ptCount val="1"/>
                    <c:pt idx="0">
                      <c:v>-0.06</c:v>
                    </c:pt>
                  </c:strCache>
                </c:strRef>
              </c:tx>
              <c:numFmt formatCode="#,##0.00" sourceLinked="0"/>
              <c:spPr>
                <a:noFill/>
              </c:spPr>
              <c:txPr>
                <a:bodyPr/>
                <a:lstStyle/>
                <a:p>
                  <a:pPr>
                    <a:defRPr sz="2600"/>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{66DB614B-1A94-4E67-8C9C-ECC39EE5C085}</c15:txfldGUID>
                      <c15:f>'Results Summary'!$F$135</c15:f>
                      <c15:dlblFieldTableCache>
                        <c:ptCount val="1"/>
                        <c:pt idx="0">
                          <c:v>-0.06</c:v>
                        </c:pt>
                      </c15:dlblFieldTableCache>
                    </c15:dlblFTEntry>
                  </c15:dlblFieldTable>
                  <c15:showDataLabelsRange val="0"/>
                </c:ext>
                <c:ext xmlns:c16="http://schemas.microsoft.com/office/drawing/2014/chart" uri="{C3380CC4-5D6E-409C-BE32-E72D297353CC}">
                  <c16:uniqueId val="{00000026-16D1-4A67-BF37-579358E7A6B0}"/>
                </c:ext>
              </c:extLst>
            </c:dLbl>
            <c:dLbl>
              <c:idx val="4"/>
              <c:layout>
                <c:manualLayout>
                  <c:x val="9.7747794293726476E-4"/>
                  <c:y val="-3.8860736732372357E-2"/>
                </c:manualLayout>
              </c:layout>
              <c:tx>
                <c:strRef>
                  <c:f>'Results Summary'!$G$135</c:f>
                  <c:strCache>
                    <c:ptCount val="1"/>
                    <c:pt idx="0">
                      <c:v>-0.03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{D686A5AE-491D-482F-9244-EF0923AE44B2}</c15:txfldGUID>
                      <c15:f>'Results Summary'!$G$135</c15:f>
                      <c15:dlblFieldTableCache>
                        <c:ptCount val="1"/>
                        <c:pt idx="0">
                          <c:v>-0.03</c:v>
                        </c:pt>
                      </c15:dlblFieldTableCache>
                    </c15:dlblFTEntry>
                  </c15:dlblFieldTable>
                  <c15:showDataLabelsRange val="0"/>
                </c:ext>
                <c:ext xmlns:c16="http://schemas.microsoft.com/office/drawing/2014/chart" uri="{C3380CC4-5D6E-409C-BE32-E72D297353CC}">
                  <c16:uniqueId val="{00000027-16D1-4A67-BF37-579358E7A6B0}"/>
                </c:ext>
              </c:extLst>
            </c:dLbl>
            <c:dLbl>
              <c:idx val="5"/>
              <c:layout>
                <c:manualLayout>
                  <c:x val="-9.8419010957128523E-4"/>
                  <c:y val="-2.8306889566732028E-2"/>
                </c:manualLayout>
              </c:layout>
              <c:tx>
                <c:strRef>
                  <c:f>'Results Summary'!$G$135</c:f>
                  <c:strCache>
                    <c:ptCount val="1"/>
                    <c:pt idx="0">
                      <c:v>-0.03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{14B195D8-3FC3-4BF5-85E0-3D8C60CC9E9A}</c15:txfldGUID>
                      <c15:f>'Results Summary'!$G$135</c15:f>
                      <c15:dlblFieldTableCache>
                        <c:ptCount val="1"/>
                        <c:pt idx="0">
                          <c:v>-0.03</c:v>
                        </c:pt>
                      </c15:dlblFieldTableCache>
                    </c15:dlblFTEntry>
                  </c15:dlblFieldTable>
                  <c15:showDataLabelsRange val="0"/>
                </c:ext>
                <c:ext xmlns:c16="http://schemas.microsoft.com/office/drawing/2014/chart" uri="{C3380CC4-5D6E-409C-BE32-E72D297353CC}">
                  <c16:uniqueId val="{00000028-16D1-4A67-BF37-579358E7A6B0}"/>
                </c:ext>
              </c:extLst>
            </c:dLbl>
            <c:numFmt formatCode="#,##0.00" sourceLinked="0"/>
            <c:spPr>
              <a:solidFill>
                <a:schemeClr val="bg1"/>
              </a:solidFill>
            </c:spPr>
            <c:txPr>
              <a:bodyPr/>
              <a:lstStyle/>
              <a:p>
                <a:pPr>
                  <a:defRPr sz="2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Summary'!$C$133:$H$133</c:f>
              <c:numCache>
                <c:formatCode>General</c:formatCode>
                <c:ptCount val="6"/>
                <c:pt idx="2" formatCode="0.000">
                  <c:v>6.8663417801485271E-2</c:v>
                </c:pt>
                <c:pt idx="3" formatCode="0.000">
                  <c:v>6.113585437632385E-2</c:v>
                </c:pt>
                <c:pt idx="4" formatCode="0.000">
                  <c:v>2.6667389808182229E-2</c:v>
                </c:pt>
              </c:numCache>
            </c:numRef>
          </c:val>
          <c:extLst>
            <c:ext xmlns:c16="http://schemas.microsoft.com/office/drawing/2014/chart" uri="{C3380CC4-5D6E-409C-BE32-E72D297353CC}">
              <c16:uniqueId val="{00000029-16D1-4A67-BF37-579358E7A6B0}"/>
            </c:ext>
          </c:extLst>
        </c:ser>
        <c:dLbls>
          <c:showLegendKey val="0"/>
          <c:showVal val="0"/>
          <c:showCatName val="0"/>
          <c:showSerName val="0"/>
          <c:showPercent val="0"/>
          <c:showBubbleSize val="0"/>
        </c:dLbls>
        <c:gapWidth val="70"/>
        <c:overlap val="100"/>
        <c:axId val="174229760"/>
        <c:axId val="174247936"/>
      </c:barChart>
      <c:catAx>
        <c:axId val="174229760"/>
        <c:scaling>
          <c:orientation val="minMax"/>
        </c:scaling>
        <c:delete val="0"/>
        <c:axPos val="b"/>
        <c:numFmt formatCode="General" sourceLinked="1"/>
        <c:majorTickMark val="none"/>
        <c:minorTickMark val="none"/>
        <c:tickLblPos val="nextTo"/>
        <c:txPr>
          <a:bodyPr rot="-2100000"/>
          <a:lstStyle/>
          <a:p>
            <a:pPr>
              <a:defRPr sz="2600"/>
            </a:pPr>
            <a:endParaRPr lang="en-US"/>
          </a:p>
        </c:txPr>
        <c:crossAx val="174247936"/>
        <c:crosses val="autoZero"/>
        <c:auto val="1"/>
        <c:lblAlgn val="ctr"/>
        <c:lblOffset val="100"/>
        <c:noMultiLvlLbl val="0"/>
      </c:catAx>
      <c:valAx>
        <c:axId val="174247936"/>
        <c:scaling>
          <c:orientation val="minMax"/>
          <c:max val="1.25"/>
        </c:scaling>
        <c:delete val="0"/>
        <c:axPos val="l"/>
        <c:majorGridlines>
          <c:spPr>
            <a:ln w="9525">
              <a:solidFill>
                <a:schemeClr val="bg1">
                  <a:lumMod val="50000"/>
                </a:schemeClr>
              </a:solidFill>
              <a:prstDash val="dash"/>
            </a:ln>
          </c:spPr>
        </c:majorGridlines>
        <c:title>
          <c:tx>
            <c:rich>
              <a:bodyPr rot="-5400000" vert="horz"/>
              <a:lstStyle/>
              <a:p>
                <a:pPr>
                  <a:defRPr sz="3200"/>
                </a:pPr>
                <a:r>
                  <a:rPr lang="en-US" sz="3200"/>
                  <a:t>Cost [2012 US$/W</a:t>
                </a:r>
                <a:r>
                  <a:rPr lang="en-US" sz="3200" baseline="-25000"/>
                  <a:t>p</a:t>
                </a:r>
                <a:r>
                  <a:rPr lang="en-US" sz="3200"/>
                  <a:t>]</a:t>
                </a:r>
              </a:p>
            </c:rich>
          </c:tx>
          <c:layout>
            <c:manualLayout>
              <c:xMode val="edge"/>
              <c:yMode val="edge"/>
              <c:x val="4.3989746007501793E-4"/>
              <c:y val="0.2727326912821158"/>
            </c:manualLayout>
          </c:layout>
          <c:overlay val="0"/>
        </c:title>
        <c:numFmt formatCode="0.00" sourceLinked="0"/>
        <c:majorTickMark val="in"/>
        <c:minorTickMark val="none"/>
        <c:tickLblPos val="nextTo"/>
        <c:txPr>
          <a:bodyPr/>
          <a:lstStyle/>
          <a:p>
            <a:pPr>
              <a:defRPr sz="2600"/>
            </a:pPr>
            <a:endParaRPr lang="en-US"/>
          </a:p>
        </c:txPr>
        <c:crossAx val="174229760"/>
        <c:crosses val="autoZero"/>
        <c:crossBetween val="between"/>
        <c:majorUnit val="0.25"/>
      </c:valAx>
      <c:spPr>
        <a:ln>
          <a:solidFill>
            <a:sysClr val="window" lastClr="FFFFFF">
              <a:lumMod val="50000"/>
            </a:sysClr>
          </a:solidFill>
        </a:ln>
      </c:spPr>
    </c:plotArea>
    <c:legend>
      <c:legendPos val="r"/>
      <c:legendEntry>
        <c:idx val="0"/>
        <c:delete val="1"/>
      </c:legendEntry>
      <c:legendEntry>
        <c:idx val="1"/>
        <c:delete val="1"/>
      </c:legendEntry>
      <c:legendEntry>
        <c:idx val="2"/>
        <c:txPr>
          <a:bodyPr/>
          <a:lstStyle/>
          <a:p>
            <a:pPr>
              <a:defRPr sz="2300">
                <a:solidFill>
                  <a:schemeClr val="bg1"/>
                </a:solidFill>
              </a:defRPr>
            </a:pPr>
            <a:endParaRPr lang="en-US"/>
          </a:p>
        </c:txPr>
      </c:legendEntry>
      <c:legendEntry>
        <c:idx val="14"/>
        <c:txPr>
          <a:bodyPr/>
          <a:lstStyle/>
          <a:p>
            <a:pPr>
              <a:defRPr sz="2300">
                <a:solidFill>
                  <a:schemeClr val="bg1"/>
                </a:solidFill>
              </a:defRPr>
            </a:pPr>
            <a:endParaRPr lang="en-US"/>
          </a:p>
        </c:txPr>
      </c:legendEntry>
      <c:legendEntry>
        <c:idx val="22"/>
        <c:txPr>
          <a:bodyPr/>
          <a:lstStyle/>
          <a:p>
            <a:pPr>
              <a:defRPr sz="2300">
                <a:solidFill>
                  <a:schemeClr val="bg1"/>
                </a:solidFill>
              </a:defRPr>
            </a:pPr>
            <a:endParaRPr lang="en-US"/>
          </a:p>
        </c:txPr>
      </c:legendEntry>
      <c:layout>
        <c:manualLayout>
          <c:xMode val="edge"/>
          <c:yMode val="edge"/>
          <c:x val="0.76601454495264065"/>
          <c:y val="6.6308669151484062E-2"/>
          <c:w val="0.20333002587070742"/>
          <c:h val="0.78444016911679149"/>
        </c:manualLayout>
      </c:layout>
      <c:overlay val="0"/>
      <c:txPr>
        <a:bodyPr/>
        <a:lstStyle/>
        <a:p>
          <a:pPr>
            <a:defRPr sz="2300"/>
          </a:pPr>
          <a:endParaRPr lang="en-US"/>
        </a:p>
      </c:txPr>
    </c:legend>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65525381741077"/>
          <c:y val="0.10147788691962494"/>
          <c:w val="0.66337494286085763"/>
          <c:h val="0.6320970211767617"/>
        </c:manualLayout>
      </c:layout>
      <c:barChart>
        <c:barDir val="col"/>
        <c:grouping val="stacked"/>
        <c:varyColors val="0"/>
        <c:ser>
          <c:idx val="0"/>
          <c:order val="0"/>
          <c:tx>
            <c:strRef>
              <c:f>'Results Summary'!$B$106</c:f>
              <c:strCache>
                <c:ptCount val="1"/>
                <c:pt idx="0">
                  <c:v>Silicon Feedstock</c:v>
                </c:pt>
              </c:strCache>
            </c:strRef>
          </c:tx>
          <c:spPr>
            <a:solidFill>
              <a:schemeClr val="tx2">
                <a:lumMod val="5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Summary'!$C$106:$H$106</c:f>
              <c:numCache>
                <c:formatCode>0.000</c:formatCode>
                <c:ptCount val="6"/>
                <c:pt idx="0">
                  <c:v>0.17766960624103481</c:v>
                </c:pt>
                <c:pt idx="1">
                  <c:v>7.848088834840776E-2</c:v>
                </c:pt>
                <c:pt idx="5">
                  <c:v>1.7815109568884251E-2</c:v>
                </c:pt>
              </c:numCache>
            </c:numRef>
          </c:val>
          <c:extLst>
            <c:ext xmlns:c16="http://schemas.microsoft.com/office/drawing/2014/chart" uri="{C3380CC4-5D6E-409C-BE32-E72D297353CC}">
              <c16:uniqueId val="{00000000-812B-4506-8DA8-28A20CCE7E10}"/>
            </c:ext>
          </c:extLst>
        </c:ser>
        <c:ser>
          <c:idx val="1"/>
          <c:order val="1"/>
          <c:tx>
            <c:strRef>
              <c:f>'Results Summary'!$B$107</c:f>
              <c:strCache>
                <c:ptCount val="1"/>
                <c:pt idx="0">
                  <c:v>Labor</c:v>
                </c:pt>
              </c:strCache>
            </c:strRef>
          </c:tx>
          <c:spPr>
            <a:solidFill>
              <a:schemeClr val="tx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Summary'!$C$107:$H$107</c:f>
              <c:numCache>
                <c:formatCode>0.000</c:formatCode>
                <c:ptCount val="6"/>
                <c:pt idx="0">
                  <c:v>6.6257129110477334E-2</c:v>
                </c:pt>
                <c:pt idx="1">
                  <c:v>3.9650792307979119E-2</c:v>
                </c:pt>
                <c:pt idx="5">
                  <c:v>1.5365323662060679E-2</c:v>
                </c:pt>
              </c:numCache>
            </c:numRef>
          </c:val>
          <c:extLst>
            <c:ext xmlns:c16="http://schemas.microsoft.com/office/drawing/2014/chart" uri="{C3380CC4-5D6E-409C-BE32-E72D297353CC}">
              <c16:uniqueId val="{00000001-812B-4506-8DA8-28A20CCE7E10}"/>
            </c:ext>
          </c:extLst>
        </c:ser>
        <c:ser>
          <c:idx val="2"/>
          <c:order val="2"/>
          <c:tx>
            <c:strRef>
              <c:f>'Results Summary'!$B$108</c:f>
              <c:strCache>
                <c:ptCount val="1"/>
                <c:pt idx="0">
                  <c:v>Depreciation</c:v>
                </c:pt>
              </c:strCache>
            </c:strRef>
          </c:tx>
          <c:spPr>
            <a:solidFill>
              <a:schemeClr val="tx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Summary'!$C$108:$H$108</c:f>
              <c:numCache>
                <c:formatCode>0.000</c:formatCode>
                <c:ptCount val="6"/>
                <c:pt idx="0">
                  <c:v>4.5910919297398892E-2</c:v>
                </c:pt>
                <c:pt idx="1">
                  <c:v>2.7914662144505522E-2</c:v>
                </c:pt>
                <c:pt idx="5">
                  <c:v>4.1508168668154918E-2</c:v>
                </c:pt>
              </c:numCache>
            </c:numRef>
          </c:val>
          <c:extLst>
            <c:ext xmlns:c16="http://schemas.microsoft.com/office/drawing/2014/chart" uri="{C3380CC4-5D6E-409C-BE32-E72D297353CC}">
              <c16:uniqueId val="{00000002-812B-4506-8DA8-28A20CCE7E10}"/>
            </c:ext>
          </c:extLst>
        </c:ser>
        <c:ser>
          <c:idx val="3"/>
          <c:order val="3"/>
          <c:tx>
            <c:strRef>
              <c:f>'Results Summary'!$B$109</c:f>
              <c:strCache>
                <c:ptCount val="1"/>
                <c:pt idx="0">
                  <c:v>Slurry</c:v>
                </c:pt>
              </c:strCache>
            </c:strRef>
          </c:tx>
          <c:spPr>
            <a:solidFill>
              <a:schemeClr val="tx2">
                <a:lumMod val="20000"/>
                <a:lumOff val="8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Summary'!$C$109:$H$109</c:f>
              <c:numCache>
                <c:formatCode>0.000</c:formatCode>
                <c:ptCount val="6"/>
                <c:pt idx="0">
                  <c:v>3.2208929081287488E-2</c:v>
                </c:pt>
                <c:pt idx="1">
                  <c:v>1.7325641171365522E-2</c:v>
                </c:pt>
                <c:pt idx="5">
                  <c:v>0</c:v>
                </c:pt>
              </c:numCache>
            </c:numRef>
          </c:val>
          <c:extLst>
            <c:ext xmlns:c16="http://schemas.microsoft.com/office/drawing/2014/chart" uri="{C3380CC4-5D6E-409C-BE32-E72D297353CC}">
              <c16:uniqueId val="{00000003-812B-4506-8DA8-28A20CCE7E10}"/>
            </c:ext>
          </c:extLst>
        </c:ser>
        <c:ser>
          <c:idx val="31"/>
          <c:order val="4"/>
          <c:tx>
            <c:strRef>
              <c:f>'Results Summary'!$B$112</c:f>
              <c:strCache>
                <c:ptCount val="1"/>
                <c:pt idx="0">
                  <c:v>Input Electricity</c:v>
                </c:pt>
              </c:strCache>
            </c:strRef>
          </c:tx>
          <c:spPr>
            <a:solidFill>
              <a:schemeClr val="tx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Summary'!$C$112:$H$112</c:f>
              <c:numCache>
                <c:formatCode>0.000</c:formatCode>
                <c:ptCount val="6"/>
                <c:pt idx="0">
                  <c:v>2.4558660743639785E-2</c:v>
                </c:pt>
                <c:pt idx="1">
                  <c:v>1.5701284519230314E-2</c:v>
                </c:pt>
                <c:pt idx="5">
                  <c:v>1.0784518865010377E-2</c:v>
                </c:pt>
              </c:numCache>
            </c:numRef>
          </c:val>
          <c:extLst>
            <c:ext xmlns:c16="http://schemas.microsoft.com/office/drawing/2014/chart" uri="{C3380CC4-5D6E-409C-BE32-E72D297353CC}">
              <c16:uniqueId val="{00000004-812B-4506-8DA8-28A20CCE7E10}"/>
            </c:ext>
          </c:extLst>
        </c:ser>
        <c:ser>
          <c:idx val="29"/>
          <c:order val="5"/>
          <c:tx>
            <c:strRef>
              <c:f>'Results Summary'!$B$110</c:f>
              <c:strCache>
                <c:ptCount val="1"/>
                <c:pt idx="0">
                  <c:v>Wire</c:v>
                </c:pt>
              </c:strCache>
            </c:strRef>
          </c:tx>
          <c:spPr>
            <a:solidFill>
              <a:schemeClr val="tx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Summary'!$C$110:$H$110</c:f>
              <c:numCache>
                <c:formatCode>0.000</c:formatCode>
                <c:ptCount val="6"/>
                <c:pt idx="0">
                  <c:v>2.2532485940259014E-2</c:v>
                </c:pt>
                <c:pt idx="1">
                  <c:v>1.4715656061558545E-2</c:v>
                </c:pt>
                <c:pt idx="5">
                  <c:v>0</c:v>
                </c:pt>
              </c:numCache>
            </c:numRef>
          </c:val>
          <c:extLst>
            <c:ext xmlns:c16="http://schemas.microsoft.com/office/drawing/2014/chart" uri="{C3380CC4-5D6E-409C-BE32-E72D297353CC}">
              <c16:uniqueId val="{00000005-812B-4506-8DA8-28A20CCE7E10}"/>
            </c:ext>
          </c:extLst>
        </c:ser>
        <c:ser>
          <c:idx val="30"/>
          <c:order val="6"/>
          <c:tx>
            <c:strRef>
              <c:f>'Results Summary'!$B$111</c:f>
              <c:strCache>
                <c:ptCount val="1"/>
                <c:pt idx="0">
                  <c:v>Maintenance</c:v>
                </c:pt>
              </c:strCache>
            </c:strRef>
          </c:tx>
          <c:spPr>
            <a:solidFill>
              <a:schemeClr val="tx2">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Summary'!$C$111:$H$111</c:f>
              <c:numCache>
                <c:formatCode>0.000</c:formatCode>
                <c:ptCount val="6"/>
                <c:pt idx="0">
                  <c:v>1.9455549165370602E-2</c:v>
                </c:pt>
                <c:pt idx="1">
                  <c:v>1.182932274279043E-2</c:v>
                </c:pt>
                <c:pt idx="5">
                  <c:v>1.5082983741197042E-2</c:v>
                </c:pt>
              </c:numCache>
            </c:numRef>
          </c:val>
          <c:extLst>
            <c:ext xmlns:c16="http://schemas.microsoft.com/office/drawing/2014/chart" uri="{C3380CC4-5D6E-409C-BE32-E72D297353CC}">
              <c16:uniqueId val="{00000006-812B-4506-8DA8-28A20CCE7E10}"/>
            </c:ext>
          </c:extLst>
        </c:ser>
        <c:ser>
          <c:idx val="25"/>
          <c:order val="7"/>
          <c:tx>
            <c:strRef>
              <c:f>'Results Summary'!$B$113</c:f>
              <c:strCache>
                <c:ptCount val="1"/>
                <c:pt idx="0">
                  <c:v>Crucible</c:v>
                </c:pt>
              </c:strCache>
            </c:strRef>
          </c:tx>
          <c:spPr>
            <a:solidFill>
              <a:schemeClr val="tx2">
                <a:lumMod val="60000"/>
                <a:lumOff val="40000"/>
              </a:schemeClr>
            </a:solidFill>
            <a:ln w="28575">
              <a:noFill/>
            </a:ln>
          </c:spPr>
          <c:invertIfNegative val="0"/>
          <c:val>
            <c:numRef>
              <c:f>'Results Summary'!$C$113:$H$113</c:f>
              <c:numCache>
                <c:formatCode>0.000</c:formatCode>
                <c:ptCount val="6"/>
                <c:pt idx="0">
                  <c:v>1.4024143405631155E-2</c:v>
                </c:pt>
                <c:pt idx="1">
                  <c:v>4.542991891154256E-3</c:v>
                </c:pt>
                <c:pt idx="5">
                  <c:v>0</c:v>
                </c:pt>
              </c:numCache>
            </c:numRef>
          </c:val>
          <c:extLst>
            <c:ext xmlns:c16="http://schemas.microsoft.com/office/drawing/2014/chart" uri="{C3380CC4-5D6E-409C-BE32-E72D297353CC}">
              <c16:uniqueId val="{00000007-812B-4506-8DA8-28A20CCE7E10}"/>
            </c:ext>
          </c:extLst>
        </c:ser>
        <c:ser>
          <c:idx val="28"/>
          <c:order val="8"/>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Lit>
              <c:formatCode>General</c:formatCode>
              <c:ptCount val="1"/>
              <c:pt idx="0">
                <c:v>0</c:v>
              </c:pt>
            </c:numLit>
          </c:val>
          <c:extLst>
            <c:ext xmlns:c16="http://schemas.microsoft.com/office/drawing/2014/chart" uri="{C3380CC4-5D6E-409C-BE32-E72D297353CC}">
              <c16:uniqueId val="{00000008-812B-4506-8DA8-28A20CCE7E10}"/>
            </c:ext>
          </c:extLst>
        </c:ser>
        <c:ser>
          <c:idx val="6"/>
          <c:order val="9"/>
          <c:tx>
            <c:strRef>
              <c:f>'Results Summary'!$B$114</c:f>
              <c:strCache>
                <c:ptCount val="1"/>
                <c:pt idx="0">
                  <c:v>Metal Paste</c:v>
                </c:pt>
              </c:strCache>
            </c:strRef>
          </c:tx>
          <c:spPr>
            <a:solidFill>
              <a:srgbClr val="471A19"/>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Summary'!$C$114:$H$114</c:f>
              <c:numCache>
                <c:formatCode>0.000</c:formatCode>
                <c:ptCount val="6"/>
                <c:pt idx="0">
                  <c:v>8.0865179308402757E-2</c:v>
                </c:pt>
                <c:pt idx="1">
                  <c:v>2.7200225350878904E-2</c:v>
                </c:pt>
                <c:pt idx="5">
                  <c:v>2.4248682729429632E-2</c:v>
                </c:pt>
              </c:numCache>
            </c:numRef>
          </c:val>
          <c:extLst>
            <c:ext xmlns:c16="http://schemas.microsoft.com/office/drawing/2014/chart" uri="{C3380CC4-5D6E-409C-BE32-E72D297353CC}">
              <c16:uniqueId val="{00000009-812B-4506-8DA8-28A20CCE7E10}"/>
            </c:ext>
          </c:extLst>
        </c:ser>
        <c:ser>
          <c:idx val="7"/>
          <c:order val="10"/>
          <c:tx>
            <c:strRef>
              <c:f>'Results Summary'!$B$115</c:f>
              <c:strCache>
                <c:ptCount val="1"/>
                <c:pt idx="0">
                  <c:v>Depreciation</c:v>
                </c:pt>
              </c:strCache>
            </c:strRef>
          </c:tx>
          <c:spPr>
            <a:solidFill>
              <a:schemeClr val="accent2">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Summary'!$C$115:$H$115</c:f>
              <c:numCache>
                <c:formatCode>0.000</c:formatCode>
                <c:ptCount val="6"/>
                <c:pt idx="0">
                  <c:v>4.1171405607630107E-2</c:v>
                </c:pt>
                <c:pt idx="1">
                  <c:v>2.50329528386618E-2</c:v>
                </c:pt>
                <c:pt idx="5">
                  <c:v>2.2316584636158925E-2</c:v>
                </c:pt>
              </c:numCache>
            </c:numRef>
          </c:val>
          <c:extLst>
            <c:ext xmlns:c16="http://schemas.microsoft.com/office/drawing/2014/chart" uri="{C3380CC4-5D6E-409C-BE32-E72D297353CC}">
              <c16:uniqueId val="{0000000A-812B-4506-8DA8-28A20CCE7E10}"/>
            </c:ext>
          </c:extLst>
        </c:ser>
        <c:ser>
          <c:idx val="8"/>
          <c:order val="11"/>
          <c:tx>
            <c:strRef>
              <c:f>'Results Summary'!$B$116</c:f>
              <c:strCache>
                <c:ptCount val="1"/>
                <c:pt idx="0">
                  <c:v>Chemicals</c:v>
                </c:pt>
              </c:strCache>
            </c:strRef>
          </c:tx>
          <c:spPr>
            <a:solidFill>
              <a:schemeClr val="accent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Summary'!$C$116:$H$116</c:f>
              <c:numCache>
                <c:formatCode>0.000</c:formatCode>
                <c:ptCount val="6"/>
                <c:pt idx="0">
                  <c:v>2.4710361248822785E-2</c:v>
                </c:pt>
                <c:pt idx="1">
                  <c:v>2.0317408137920958E-2</c:v>
                </c:pt>
                <c:pt idx="5">
                  <c:v>1.7839675438174503E-2</c:v>
                </c:pt>
              </c:numCache>
            </c:numRef>
          </c:val>
          <c:extLst>
            <c:ext xmlns:c16="http://schemas.microsoft.com/office/drawing/2014/chart" uri="{C3380CC4-5D6E-409C-BE32-E72D297353CC}">
              <c16:uniqueId val="{0000000B-812B-4506-8DA8-28A20CCE7E10}"/>
            </c:ext>
          </c:extLst>
        </c:ser>
        <c:ser>
          <c:idx val="9"/>
          <c:order val="12"/>
          <c:tx>
            <c:strRef>
              <c:f>'Results Summary'!$B$117</c:f>
              <c:strCache>
                <c:ptCount val="1"/>
                <c:pt idx="0">
                  <c:v>Labor</c:v>
                </c:pt>
              </c:strCache>
            </c:strRef>
          </c:tx>
          <c:spPr>
            <a:solidFill>
              <a:schemeClr val="accent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Summary'!$C$117:$H$117</c:f>
              <c:numCache>
                <c:formatCode>0.000</c:formatCode>
                <c:ptCount val="6"/>
                <c:pt idx="0">
                  <c:v>2.4763104137434495E-2</c:v>
                </c:pt>
                <c:pt idx="1">
                  <c:v>1.3410194369613462E-2</c:v>
                </c:pt>
                <c:pt idx="5">
                  <c:v>1.1955031416614088E-2</c:v>
                </c:pt>
              </c:numCache>
            </c:numRef>
          </c:val>
          <c:extLst>
            <c:ext xmlns:c16="http://schemas.microsoft.com/office/drawing/2014/chart" uri="{C3380CC4-5D6E-409C-BE32-E72D297353CC}">
              <c16:uniqueId val="{0000000C-812B-4506-8DA8-28A20CCE7E10}"/>
            </c:ext>
          </c:extLst>
        </c:ser>
        <c:ser>
          <c:idx val="10"/>
          <c:order val="13"/>
          <c:tx>
            <c:strRef>
              <c:f>'Results Summary'!$B$118</c:f>
              <c:strCache>
                <c:ptCount val="1"/>
                <c:pt idx="0">
                  <c:v>Input Electricity</c:v>
                </c:pt>
              </c:strCache>
            </c:strRef>
          </c:tx>
          <c:spPr>
            <a:solidFill>
              <a:schemeClr val="accent2">
                <a:lumMod val="20000"/>
                <a:lumOff val="8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Summary'!$C$118:$H$118</c:f>
              <c:numCache>
                <c:formatCode>0.000</c:formatCode>
                <c:ptCount val="6"/>
                <c:pt idx="0">
                  <c:v>2.2187790759219332E-2</c:v>
                </c:pt>
                <c:pt idx="1">
                  <c:v>1.7968270082172933E-2</c:v>
                </c:pt>
                <c:pt idx="5">
                  <c:v>1.6018502596899815E-2</c:v>
                </c:pt>
              </c:numCache>
            </c:numRef>
          </c:val>
          <c:extLst>
            <c:ext xmlns:c16="http://schemas.microsoft.com/office/drawing/2014/chart" uri="{C3380CC4-5D6E-409C-BE32-E72D297353CC}">
              <c16:uniqueId val="{0000000D-812B-4506-8DA8-28A20CCE7E10}"/>
            </c:ext>
          </c:extLst>
        </c:ser>
        <c:ser>
          <c:idx val="11"/>
          <c:order val="14"/>
          <c:tx>
            <c:strRef>
              <c:f>'Results Summary'!$B$119</c:f>
              <c:strCache>
                <c:ptCount val="1"/>
                <c:pt idx="0">
                  <c:v>Maintenance</c:v>
                </c:pt>
              </c:strCache>
            </c:strRef>
          </c:tx>
          <c:spPr>
            <a:solidFill>
              <a:schemeClr val="accent2">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Summary'!$C$119:$H$119</c:f>
              <c:numCache>
                <c:formatCode>0.000</c:formatCode>
                <c:ptCount val="6"/>
                <c:pt idx="0">
                  <c:v>1.5066066454459315E-2</c:v>
                </c:pt>
                <c:pt idx="1">
                  <c:v>9.1604385483678892E-3</c:v>
                </c:pt>
                <c:pt idx="5">
                  <c:v>8.1664238129053688E-3</c:v>
                </c:pt>
              </c:numCache>
            </c:numRef>
          </c:val>
          <c:extLst>
            <c:ext xmlns:c16="http://schemas.microsoft.com/office/drawing/2014/chart" uri="{C3380CC4-5D6E-409C-BE32-E72D297353CC}">
              <c16:uniqueId val="{0000000E-812B-4506-8DA8-28A20CCE7E10}"/>
            </c:ext>
          </c:extLst>
        </c:ser>
        <c:ser>
          <c:idx val="12"/>
          <c:order val="15"/>
          <c:tx>
            <c:strRef>
              <c:f>'Results Summary'!$B$120</c:f>
              <c:strCache>
                <c:ptCount val="1"/>
                <c:pt idx="0">
                  <c:v>Screens</c:v>
                </c:pt>
              </c:strCache>
            </c:strRef>
          </c:tx>
          <c:spPr>
            <a:solidFill>
              <a:schemeClr val="accent2">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Summary'!$C$120:$H$120</c:f>
              <c:numCache>
                <c:formatCode>0.000</c:formatCode>
                <c:ptCount val="6"/>
                <c:pt idx="0">
                  <c:v>8.9142717347845558E-3</c:v>
                </c:pt>
                <c:pt idx="1">
                  <c:v>7.2190171547356343E-3</c:v>
                </c:pt>
                <c:pt idx="5">
                  <c:v>0</c:v>
                </c:pt>
              </c:numCache>
            </c:numRef>
          </c:val>
          <c:extLst>
            <c:ext xmlns:c16="http://schemas.microsoft.com/office/drawing/2014/chart" uri="{C3380CC4-5D6E-409C-BE32-E72D297353CC}">
              <c16:uniqueId val="{0000000F-812B-4506-8DA8-28A20CCE7E10}"/>
            </c:ext>
          </c:extLst>
        </c:ser>
        <c:ser>
          <c:idx val="27"/>
          <c:order val="16"/>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Lit>
              <c:formatCode>General</c:formatCode>
              <c:ptCount val="1"/>
              <c:pt idx="0">
                <c:v>0</c:v>
              </c:pt>
            </c:numLit>
          </c:val>
          <c:extLst>
            <c:ext xmlns:c16="http://schemas.microsoft.com/office/drawing/2014/chart" uri="{C3380CC4-5D6E-409C-BE32-E72D297353CC}">
              <c16:uniqueId val="{00000010-812B-4506-8DA8-28A20CCE7E10}"/>
            </c:ext>
          </c:extLst>
        </c:ser>
        <c:ser>
          <c:idx val="14"/>
          <c:order val="17"/>
          <c:tx>
            <c:strRef>
              <c:f>'Results Summary'!$B$122</c:f>
              <c:strCache>
                <c:ptCount val="1"/>
                <c:pt idx="0">
                  <c:v>Frame</c:v>
                </c:pt>
              </c:strCache>
            </c:strRef>
          </c:tx>
          <c:spPr>
            <a:solidFill>
              <a:schemeClr val="accent4">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Summary'!$C$122:$H$122</c:f>
              <c:numCache>
                <c:formatCode>0.000</c:formatCode>
                <c:ptCount val="6"/>
                <c:pt idx="0">
                  <c:v>5.7633341109124582E-2</c:v>
                </c:pt>
                <c:pt idx="1">
                  <c:v>4.7149286093293878E-2</c:v>
                </c:pt>
                <c:pt idx="5">
                  <c:v>4.1608460898294827E-2</c:v>
                </c:pt>
              </c:numCache>
            </c:numRef>
          </c:val>
          <c:extLst>
            <c:ext xmlns:c16="http://schemas.microsoft.com/office/drawing/2014/chart" uri="{C3380CC4-5D6E-409C-BE32-E72D297353CC}">
              <c16:uniqueId val="{00000011-812B-4506-8DA8-28A20CCE7E10}"/>
            </c:ext>
          </c:extLst>
        </c:ser>
        <c:ser>
          <c:idx val="13"/>
          <c:order val="18"/>
          <c:tx>
            <c:strRef>
              <c:f>'Results Summary'!$B$121</c:f>
              <c:strCache>
                <c:ptCount val="1"/>
                <c:pt idx="0">
                  <c:v>Glass</c:v>
                </c:pt>
              </c:strCache>
            </c:strRef>
          </c:tx>
          <c:spPr>
            <a:solidFill>
              <a:schemeClr val="accent4">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Summary'!$C$121:$H$121</c:f>
              <c:numCache>
                <c:formatCode>0.000</c:formatCode>
                <c:ptCount val="6"/>
                <c:pt idx="0">
                  <c:v>4.9822549822549821E-2</c:v>
                </c:pt>
                <c:pt idx="1">
                  <c:v>4.0759352317141256E-2</c:v>
                </c:pt>
                <c:pt idx="5">
                  <c:v>3.596945060359695E-2</c:v>
                </c:pt>
              </c:numCache>
            </c:numRef>
          </c:val>
          <c:extLst>
            <c:ext xmlns:c16="http://schemas.microsoft.com/office/drawing/2014/chart" uri="{C3380CC4-5D6E-409C-BE32-E72D297353CC}">
              <c16:uniqueId val="{00000012-812B-4506-8DA8-28A20CCE7E10}"/>
            </c:ext>
          </c:extLst>
        </c:ser>
        <c:ser>
          <c:idx val="15"/>
          <c:order val="19"/>
          <c:tx>
            <c:strRef>
              <c:f>'Results Summary'!$B$123</c:f>
              <c:strCache>
                <c:ptCount val="1"/>
                <c:pt idx="0">
                  <c:v>Backsheet</c:v>
                </c:pt>
              </c:strCache>
            </c:strRef>
          </c:tx>
          <c:spPr>
            <a:solidFill>
              <a:schemeClr val="accent4">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Summary'!$C$123:$H$123</c:f>
              <c:numCache>
                <c:formatCode>0.000</c:formatCode>
                <c:ptCount val="6"/>
                <c:pt idx="0">
                  <c:v>4.777504777504777E-2</c:v>
                </c:pt>
                <c:pt idx="1">
                  <c:v>3.908431044109436E-2</c:v>
                </c:pt>
                <c:pt idx="5">
                  <c:v>3.4491254003449129E-2</c:v>
                </c:pt>
              </c:numCache>
            </c:numRef>
          </c:val>
          <c:extLst>
            <c:ext xmlns:c16="http://schemas.microsoft.com/office/drawing/2014/chart" uri="{C3380CC4-5D6E-409C-BE32-E72D297353CC}">
              <c16:uniqueId val="{00000013-812B-4506-8DA8-28A20CCE7E10}"/>
            </c:ext>
          </c:extLst>
        </c:ser>
        <c:ser>
          <c:idx val="16"/>
          <c:order val="20"/>
          <c:tx>
            <c:strRef>
              <c:f>'Results Summary'!$B$124</c:f>
              <c:strCache>
                <c:ptCount val="1"/>
                <c:pt idx="0">
                  <c:v>Encapsulant</c:v>
                </c:pt>
              </c:strCache>
            </c:strRef>
          </c:tx>
          <c:spPr>
            <a:solidFill>
              <a:schemeClr val="accent4">
                <a:lumMod val="20000"/>
                <a:lumOff val="8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Summary'!$C$124:$H$124</c:f>
              <c:numCache>
                <c:formatCode>0.000</c:formatCode>
                <c:ptCount val="6"/>
                <c:pt idx="0">
                  <c:v>3.412503412503412E-2</c:v>
                </c:pt>
                <c:pt idx="1">
                  <c:v>2.7917364600781685E-2</c:v>
                </c:pt>
                <c:pt idx="5">
                  <c:v>2.4636610002463661E-2</c:v>
                </c:pt>
              </c:numCache>
            </c:numRef>
          </c:val>
          <c:extLst>
            <c:ext xmlns:c16="http://schemas.microsoft.com/office/drawing/2014/chart" uri="{C3380CC4-5D6E-409C-BE32-E72D297353CC}">
              <c16:uniqueId val="{00000014-812B-4506-8DA8-28A20CCE7E10}"/>
            </c:ext>
          </c:extLst>
        </c:ser>
        <c:ser>
          <c:idx val="18"/>
          <c:order val="21"/>
          <c:tx>
            <c:strRef>
              <c:f>'Results Summary'!$B$126</c:f>
              <c:strCache>
                <c:ptCount val="1"/>
                <c:pt idx="0">
                  <c:v>Ribbon</c:v>
                </c:pt>
              </c:strCache>
            </c:strRef>
          </c:tx>
          <c:spPr>
            <a:solidFill>
              <a:schemeClr val="accent4">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Summary'!$C$126:$H$126</c:f>
              <c:numCache>
                <c:formatCode>0.000</c:formatCode>
                <c:ptCount val="6"/>
                <c:pt idx="0">
                  <c:v>3.207753207753207E-2</c:v>
                </c:pt>
                <c:pt idx="1">
                  <c:v>2.6242322724734785E-2</c:v>
                </c:pt>
                <c:pt idx="5">
                  <c:v>2.3158413402315843E-2</c:v>
                </c:pt>
              </c:numCache>
            </c:numRef>
          </c:val>
          <c:extLst>
            <c:ext xmlns:c16="http://schemas.microsoft.com/office/drawing/2014/chart" uri="{C3380CC4-5D6E-409C-BE32-E72D297353CC}">
              <c16:uniqueId val="{00000015-812B-4506-8DA8-28A20CCE7E10}"/>
            </c:ext>
          </c:extLst>
        </c:ser>
        <c:ser>
          <c:idx val="17"/>
          <c:order val="22"/>
          <c:tx>
            <c:strRef>
              <c:f>'Results Summary'!$B$125</c:f>
              <c:strCache>
                <c:ptCount val="1"/>
                <c:pt idx="0">
                  <c:v>JB and Cable</c:v>
                </c:pt>
              </c:strCache>
            </c:strRef>
          </c:tx>
          <c:spPr>
            <a:solidFill>
              <a:schemeClr val="accent4">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Summary'!$C$125:$H$125</c:f>
              <c:numCache>
                <c:formatCode>0.000</c:formatCode>
                <c:ptCount val="6"/>
                <c:pt idx="0">
                  <c:v>2.4959960857396754E-2</c:v>
                </c:pt>
                <c:pt idx="1">
                  <c:v>2.0419505666252218E-2</c:v>
                </c:pt>
                <c:pt idx="5">
                  <c:v>1.8019874179974246E-2</c:v>
                </c:pt>
              </c:numCache>
            </c:numRef>
          </c:val>
          <c:extLst>
            <c:ext xmlns:c16="http://schemas.microsoft.com/office/drawing/2014/chart" uri="{C3380CC4-5D6E-409C-BE32-E72D297353CC}">
              <c16:uniqueId val="{00000016-812B-4506-8DA8-28A20CCE7E10}"/>
            </c:ext>
          </c:extLst>
        </c:ser>
        <c:ser>
          <c:idx val="20"/>
          <c:order val="23"/>
          <c:tx>
            <c:strRef>
              <c:f>'Results Summary'!$B$128</c:f>
              <c:strCache>
                <c:ptCount val="1"/>
                <c:pt idx="0">
                  <c:v>Labor</c:v>
                </c:pt>
              </c:strCache>
            </c:strRef>
          </c:tx>
          <c:spPr>
            <a:solidFill>
              <a:schemeClr val="accent4">
                <a:lumMod val="75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Summary'!$C$128:$H$128</c:f>
              <c:numCache>
                <c:formatCode>0.000</c:formatCode>
                <c:ptCount val="6"/>
                <c:pt idx="0">
                  <c:v>2.3831505004496076E-2</c:v>
                </c:pt>
                <c:pt idx="1">
                  <c:v>1.1576018962590476E-2</c:v>
                </c:pt>
                <c:pt idx="5">
                  <c:v>1.031988549626657E-2</c:v>
                </c:pt>
              </c:numCache>
            </c:numRef>
          </c:val>
          <c:extLst>
            <c:ext xmlns:c16="http://schemas.microsoft.com/office/drawing/2014/chart" uri="{C3380CC4-5D6E-409C-BE32-E72D297353CC}">
              <c16:uniqueId val="{00000017-812B-4506-8DA8-28A20CCE7E10}"/>
            </c:ext>
          </c:extLst>
        </c:ser>
        <c:ser>
          <c:idx val="19"/>
          <c:order val="24"/>
          <c:tx>
            <c:strRef>
              <c:f>'Results Summary'!$B$127</c:f>
              <c:strCache>
                <c:ptCount val="1"/>
                <c:pt idx="0">
                  <c:v>Depreciation</c:v>
                </c:pt>
              </c:strCache>
            </c:strRef>
          </c:tx>
          <c:spPr>
            <a:solidFill>
              <a:schemeClr val="accent4">
                <a:lumMod val="60000"/>
                <a:lumOff val="4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Summary'!$C$127:$H$127</c:f>
              <c:numCache>
                <c:formatCode>0.000</c:formatCode>
                <c:ptCount val="6"/>
                <c:pt idx="0">
                  <c:v>1.7055924288067147E-2</c:v>
                </c:pt>
                <c:pt idx="1">
                  <c:v>1.0370307790605156E-2</c:v>
                </c:pt>
                <c:pt idx="5">
                  <c:v>9.2450080900815506E-3</c:v>
                </c:pt>
              </c:numCache>
            </c:numRef>
          </c:val>
          <c:extLst>
            <c:ext xmlns:c16="http://schemas.microsoft.com/office/drawing/2014/chart" uri="{C3380CC4-5D6E-409C-BE32-E72D297353CC}">
              <c16:uniqueId val="{00000018-812B-4506-8DA8-28A20CCE7E10}"/>
            </c:ext>
          </c:extLst>
        </c:ser>
        <c:ser>
          <c:idx val="21"/>
          <c:order val="25"/>
          <c:tx>
            <c:strRef>
              <c:f>'Results Summary'!$B$129</c:f>
              <c:strCache>
                <c:ptCount val="1"/>
                <c:pt idx="0">
                  <c:v>Maintenance</c:v>
                </c:pt>
              </c:strCache>
            </c:strRef>
          </c:tx>
          <c:spPr>
            <a:solidFill>
              <a:schemeClr val="accent4">
                <a:lumMod val="40000"/>
                <a:lumOff val="60000"/>
              </a:schemeClr>
            </a:solid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Summary'!$C$129:$H$129</c:f>
              <c:numCache>
                <c:formatCode>0.000</c:formatCode>
                <c:ptCount val="6"/>
                <c:pt idx="0">
                  <c:v>6.4525731266802718E-3</c:v>
                </c:pt>
                <c:pt idx="1">
                  <c:v>3.9232801597200925E-3</c:v>
                </c:pt>
                <c:pt idx="5">
                  <c:v>3.4975583703627101E-3</c:v>
                </c:pt>
              </c:numCache>
            </c:numRef>
          </c:val>
          <c:extLst>
            <c:ext xmlns:c16="http://schemas.microsoft.com/office/drawing/2014/chart" uri="{C3380CC4-5D6E-409C-BE32-E72D297353CC}">
              <c16:uniqueId val="{00000019-812B-4506-8DA8-28A20CCE7E10}"/>
            </c:ext>
          </c:extLst>
        </c:ser>
        <c:ser>
          <c:idx val="23"/>
          <c:order val="26"/>
          <c:tx>
            <c:strRef>
              <c:f>'Results Summary'!$B$130</c:f>
              <c:strCache>
                <c:ptCount val="1"/>
                <c:pt idx="0">
                  <c:v>Input Electricity</c:v>
                </c:pt>
              </c:strCache>
            </c:strRef>
          </c:tx>
          <c:spPr>
            <a:solidFill>
              <a:schemeClr val="accent4">
                <a:lumMod val="20000"/>
                <a:lumOff val="80000"/>
              </a:schemeClr>
            </a:solidFill>
          </c:spPr>
          <c:invertIfNegative val="0"/>
          <c:dLbls>
            <c:dLbl>
              <c:idx val="0"/>
              <c:layout>
                <c:manualLayout>
                  <c:x val="3.109687036995681E-2"/>
                  <c:y val="-2.1987953697022992E-2"/>
                </c:manualLayout>
              </c:layout>
              <c:tx>
                <c:strRef>
                  <c:f>'Results Summary'!$C$136</c:f>
                  <c:strCache>
                    <c:ptCount val="1"/>
                    <c:pt idx="0">
                      <c:v>0.92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{99DFDB78-2B6C-416C-8188-B42F6CEF2C04}</c15:txfldGUID>
                      <c15:f>'Results Summary'!$C$136</c15:f>
                      <c15:dlblFieldTableCache>
                        <c:ptCount val="1"/>
                        <c:pt idx="0">
                          <c:v>0.92</c:v>
                        </c:pt>
                      </c15:dlblFieldTableCache>
                    </c15:dlblFTEntry>
                  </c15:dlblFieldTable>
                  <c15:showDataLabelsRange val="0"/>
                </c:ext>
                <c:ext xmlns:c16="http://schemas.microsoft.com/office/drawing/2014/chart" uri="{C3380CC4-5D6E-409C-BE32-E72D297353CC}">
                  <c16:uniqueId val="{0000001A-812B-4506-8DA8-28A20CCE7E10}"/>
                </c:ext>
              </c:extLst>
            </c:dLbl>
            <c:dLbl>
              <c:idx val="1"/>
              <c:layout>
                <c:manualLayout>
                  <c:x val="3.146980530469607E-2"/>
                  <c:y val="-2.2075948175801351E-2"/>
                </c:manualLayout>
              </c:layout>
              <c:tx>
                <c:strRef>
                  <c:f>'Results Summary'!$D$136</c:f>
                  <c:strCache>
                    <c:ptCount val="1"/>
                    <c:pt idx="0">
                      <c:v>0.56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{D729A1F0-9396-41F3-8431-4F4683C8AB49}</c15:txfldGUID>
                      <c15:f>'Results Summary'!$D$136</c15:f>
                      <c15:dlblFieldTableCache>
                        <c:ptCount val="1"/>
                        <c:pt idx="0">
                          <c:v>0.56</c:v>
                        </c:pt>
                      </c15:dlblFieldTableCache>
                    </c15:dlblFTEntry>
                  </c15:dlblFieldTable>
                  <c15:showDataLabelsRange val="0"/>
                </c:ext>
                <c:ext xmlns:c16="http://schemas.microsoft.com/office/drawing/2014/chart" uri="{C3380CC4-5D6E-409C-BE32-E72D297353CC}">
                  <c16:uniqueId val="{0000001B-812B-4506-8DA8-28A20CCE7E10}"/>
                </c:ext>
              </c:extLst>
            </c:dLbl>
            <c:dLbl>
              <c:idx val="2"/>
              <c:layout>
                <c:manualLayout>
                  <c:x val="7.2158751106622134E-4"/>
                  <c:y val="-5.9519676811564434E-2"/>
                </c:manualLayout>
              </c:layout>
              <c:tx>
                <c:strRef>
                  <c:f>'Bottoms Up Summary'!#REF!</c:f>
                  <c:strCache>
                    <c:ptCount val="1"/>
                    <c:pt idx="0">
                      <c:v>#REF!</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{6C1B3299-3570-43EB-9790-D0FC5434CE0D}</c15:txfldGUID>
                      <c15:f>'Bottoms Up Summary'!#REF!</c15:f>
                      <c15:dlblFieldTableCache>
                        <c:ptCount val="1"/>
                        <c:pt idx="0">
                          <c:v>#REF!</c:v>
                        </c:pt>
                      </c15:dlblFieldTableCache>
                    </c15:dlblFTEntry>
                  </c15:dlblFieldTable>
                  <c15:showDataLabelsRange val="0"/>
                </c:ext>
                <c:ext xmlns:c16="http://schemas.microsoft.com/office/drawing/2014/chart" uri="{C3380CC4-5D6E-409C-BE32-E72D297353CC}">
                  <c16:uniqueId val="{0000001C-812B-4506-8DA8-28A20CCE7E10}"/>
                </c:ext>
              </c:extLst>
            </c:dLbl>
            <c:dLbl>
              <c:idx val="3"/>
              <c:layout>
                <c:manualLayout>
                  <c:x val="7.4708257302040059E-4"/>
                  <c:y val="-4.9426578234223924E-2"/>
                </c:manualLayout>
              </c:layout>
              <c:tx>
                <c:strRef>
                  <c:f>'Bottoms Up Summary'!#REF!</c:f>
                  <c:strCache>
                    <c:ptCount val="1"/>
                    <c:pt idx="0">
                      <c:v>#REF!</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{3A5D12F5-DAB8-463B-BF68-A68E44734E01}</c15:txfldGUID>
                      <c15:f>'Bottoms Up Summary'!#REF!</c15:f>
                      <c15:dlblFieldTableCache>
                        <c:ptCount val="1"/>
                        <c:pt idx="0">
                          <c:v>#REF!</c:v>
                        </c:pt>
                      </c15:dlblFieldTableCache>
                    </c15:dlblFTEntry>
                  </c15:dlblFieldTable>
                  <c15:showDataLabelsRange val="0"/>
                </c:ext>
                <c:ext xmlns:c16="http://schemas.microsoft.com/office/drawing/2014/chart" uri="{C3380CC4-5D6E-409C-BE32-E72D297353CC}">
                  <c16:uniqueId val="{0000001D-812B-4506-8DA8-28A20CCE7E10}"/>
                </c:ext>
              </c:extLst>
            </c:dLbl>
            <c:dLbl>
              <c:idx val="4"/>
              <c:layout>
                <c:manualLayout>
                  <c:x val="8.5092794362274268E-4"/>
                  <c:y val="-5.0942919252508434E-2"/>
                </c:manualLayout>
              </c:layout>
              <c:tx>
                <c:strRef>
                  <c:f>'Bottoms Up Summary'!#REF!</c:f>
                  <c:strCache>
                    <c:ptCount val="1"/>
                    <c:pt idx="0">
                      <c:v>#REF!</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{217527BC-5505-4740-97E0-C9F91E826EA7}</c15:txfldGUID>
                      <c15:f>'Bottoms Up Summary'!#REF!</c15:f>
                      <c15:dlblFieldTableCache>
                        <c:ptCount val="1"/>
                        <c:pt idx="0">
                          <c:v>#REF!</c:v>
                        </c:pt>
                      </c15:dlblFieldTableCache>
                    </c15:dlblFTEntry>
                  </c15:dlblFieldTable>
                  <c15:showDataLabelsRange val="0"/>
                </c:ext>
                <c:ext xmlns:c16="http://schemas.microsoft.com/office/drawing/2014/chart" uri="{C3380CC4-5D6E-409C-BE32-E72D297353CC}">
                  <c16:uniqueId val="{0000001E-812B-4506-8DA8-28A20CCE7E10}"/>
                </c:ext>
              </c:extLst>
            </c:dLbl>
            <c:dLbl>
              <c:idx val="5"/>
              <c:layout>
                <c:manualLayout>
                  <c:x val="3.011997186865541E-2"/>
                  <c:y val="-1.610266650656552E-2"/>
                </c:manualLayout>
              </c:layout>
              <c:tx>
                <c:strRef>
                  <c:f>'Results Summary'!$H$136</c:f>
                  <c:strCache>
                    <c:ptCount val="1"/>
                    <c:pt idx="0">
                      <c:v>0.41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{4A6F74B3-89D0-4153-AF14-1BFDC6D6A943}</c15:txfldGUID>
                      <c15:f>'Results Summary'!$H$136</c15:f>
                      <c15:dlblFieldTableCache>
                        <c:ptCount val="1"/>
                        <c:pt idx="0">
                          <c:v>0.41</c:v>
                        </c:pt>
                      </c15:dlblFieldTableCache>
                    </c15:dlblFTEntry>
                  </c15:dlblFieldTable>
                  <c15:showDataLabelsRange val="0"/>
                </c:ext>
                <c:ext xmlns:c16="http://schemas.microsoft.com/office/drawing/2014/chart" uri="{C3380CC4-5D6E-409C-BE32-E72D297353CC}">
                  <c16:uniqueId val="{0000001F-812B-4506-8DA8-28A20CCE7E10}"/>
                </c:ext>
              </c:extLst>
            </c:dLbl>
            <c:dLbl>
              <c:idx val="6"/>
              <c:layout>
                <c:manualLayout>
                  <c:x val="6.2684881706664424E-6"/>
                  <c:y val="-4.1439535679880256E-2"/>
                </c:manualLayout>
              </c:layout>
              <c:tx>
                <c:strRef>
                  <c:f>'Results Summary'!$E$92</c:f>
                  <c:strCache>
                    <c:ptCount val="1"/>
                    <c:pt idx="0">
                      <c:v>0.407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{C9824732-1CE4-432E-B5B8-17D488F208E8}</c15:txfldGUID>
                      <c15:f>'Results Summary'!$E$92</c15:f>
                      <c15:dlblFieldTableCache>
                        <c:ptCount val="1"/>
                        <c:pt idx="0">
                          <c:v>0.407</c:v>
                        </c:pt>
                      </c15:dlblFieldTableCache>
                    </c15:dlblFTEntry>
                  </c15:dlblFieldTable>
                  <c15:showDataLabelsRange val="0"/>
                </c:ext>
                <c:ext xmlns:c16="http://schemas.microsoft.com/office/drawing/2014/chart" uri="{C3380CC4-5D6E-409C-BE32-E72D297353CC}">
                  <c16:uniqueId val="{00000020-812B-4506-8DA8-28A20CCE7E10}"/>
                </c:ext>
              </c:extLst>
            </c:dLbl>
            <c:spPr>
              <a:noFill/>
            </c:spPr>
            <c:txPr>
              <a:bodyPr/>
              <a:lstStyle/>
              <a:p>
                <a:pPr>
                  <a:defRPr sz="2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Summary'!$C$130:$H$130</c:f>
              <c:numCache>
                <c:formatCode>0.000</c:formatCode>
                <c:ptCount val="6"/>
                <c:pt idx="0">
                  <c:v>3.1976521976521976E-3</c:v>
                </c:pt>
                <c:pt idx="1">
                  <c:v>2.6159687325516471E-3</c:v>
                </c:pt>
                <c:pt idx="5">
                  <c:v>2.3085489036708553E-3</c:v>
                </c:pt>
              </c:numCache>
            </c:numRef>
          </c:val>
          <c:extLst>
            <c:ext xmlns:c16="http://schemas.microsoft.com/office/drawing/2014/chart" uri="{C3380CC4-5D6E-409C-BE32-E72D297353CC}">
              <c16:uniqueId val="{00000021-812B-4506-8DA8-28A20CCE7E10}"/>
            </c:ext>
          </c:extLst>
        </c:ser>
        <c:ser>
          <c:idx val="5"/>
          <c:order val="27"/>
          <c:tx>
            <c:strRef>
              <c:f>'Results Summary'!$B$131</c:f>
              <c:strCache>
                <c:ptCount val="1"/>
                <c:pt idx="0">
                  <c:v>Packaging</c:v>
                </c:pt>
              </c:strCache>
            </c:strRef>
          </c:tx>
          <c:spPr>
            <a:solidFill>
              <a:schemeClr val="accent4">
                <a:lumMod val="40000"/>
                <a:lumOff val="60000"/>
              </a:schemeClr>
            </a:solidFill>
          </c:spPr>
          <c:invertIfNegative val="0"/>
          <c:errBars>
            <c:errBarType val="both"/>
            <c:errValType val="cust"/>
            <c:noEndCap val="0"/>
            <c:plus>
              <c:numRef>
                <c:f>'Results Summary'!$Y$12:$Y$17</c:f>
                <c:numCache>
                  <c:formatCode>General</c:formatCode>
                  <c:ptCount val="6"/>
                  <c:pt idx="0">
                    <c:v>9.2029797569068483E-2</c:v>
                  </c:pt>
                  <c:pt idx="1">
                    <c:v>5.6304002597217906E-2</c:v>
                  </c:pt>
                  <c:pt idx="5">
                    <c:v>4.0657336398618793E-2</c:v>
                  </c:pt>
                </c:numCache>
              </c:numRef>
            </c:plus>
            <c:minus>
              <c:numRef>
                <c:f>'Results Summary'!$Z$12:$Z$17</c:f>
                <c:numCache>
                  <c:formatCode>General</c:formatCode>
                  <c:ptCount val="6"/>
                  <c:pt idx="0">
                    <c:v>9.2029797569068705E-2</c:v>
                  </c:pt>
                  <c:pt idx="1">
                    <c:v>5.6304002597217795E-2</c:v>
                  </c:pt>
                  <c:pt idx="5">
                    <c:v>4.0657336398618626E-2</c:v>
                  </c:pt>
                </c:numCache>
              </c:numRef>
            </c:minus>
            <c:spPr>
              <a:ln w="25400"/>
            </c:spPr>
          </c:errBars>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Summary'!$C$131:$H$131</c:f>
              <c:numCache>
                <c:formatCode>0.000</c:formatCode>
                <c:ptCount val="6"/>
                <c:pt idx="0">
                  <c:v>3.0712530712530711E-3</c:v>
                </c:pt>
                <c:pt idx="1">
                  <c:v>2.5125628140703514E-3</c:v>
                </c:pt>
                <c:pt idx="5">
                  <c:v>2.2172949002217299E-3</c:v>
                </c:pt>
              </c:numCache>
            </c:numRef>
          </c:val>
          <c:extLst>
            <c:ext xmlns:c16="http://schemas.microsoft.com/office/drawing/2014/chart" uri="{C3380CC4-5D6E-409C-BE32-E72D297353CC}">
              <c16:uniqueId val="{00000022-812B-4506-8DA8-28A20CCE7E10}"/>
            </c:ext>
          </c:extLst>
        </c:ser>
        <c:ser>
          <c:idx val="26"/>
          <c:order val="28"/>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Lit>
              <c:formatCode>General</c:formatCode>
              <c:ptCount val="1"/>
              <c:pt idx="0">
                <c:v>0</c:v>
              </c:pt>
            </c:numLit>
          </c:val>
          <c:extLst>
            <c:ext xmlns:c16="http://schemas.microsoft.com/office/drawing/2014/chart" uri="{C3380CC4-5D6E-409C-BE32-E72D297353CC}">
              <c16:uniqueId val="{00000023-812B-4506-8DA8-28A20CCE7E10}"/>
            </c:ext>
          </c:extLst>
        </c:ser>
        <c:ser>
          <c:idx val="35"/>
          <c:order val="29"/>
          <c:tx>
            <c:strRef>
              <c:f>'Results Summary'!$B$134</c:f>
              <c:strCache>
                <c:ptCount val="1"/>
                <c:pt idx="0">
                  <c:v>Bottom</c:v>
                </c:pt>
              </c:strCache>
            </c:strRef>
          </c:tx>
          <c:spPr>
            <a:noFill/>
          </c:spPr>
          <c:invertIfNegative val="0"/>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Summary'!$C$134:$H$134</c:f>
              <c:numCache>
                <c:formatCode>General</c:formatCode>
                <c:ptCount val="6"/>
                <c:pt idx="2" formatCode="0.000">
                  <c:v>0.49437660817069373</c:v>
                </c:pt>
                <c:pt idx="3" formatCode="0.000">
                  <c:v>0.43324075379436988</c:v>
                </c:pt>
                <c:pt idx="4" formatCode="0.000">
                  <c:v>0.40657336398618765</c:v>
                </c:pt>
              </c:numCache>
            </c:numRef>
          </c:val>
          <c:extLst>
            <c:ext xmlns:c16="http://schemas.microsoft.com/office/drawing/2014/chart" uri="{C3380CC4-5D6E-409C-BE32-E72D297353CC}">
              <c16:uniqueId val="{00000024-812B-4506-8DA8-28A20CCE7E10}"/>
            </c:ext>
          </c:extLst>
        </c:ser>
        <c:ser>
          <c:idx val="34"/>
          <c:order val="30"/>
          <c:tx>
            <c:strRef>
              <c:f>'Results Summary'!$B$133</c:f>
              <c:strCache>
                <c:ptCount val="1"/>
                <c:pt idx="0">
                  <c:v>Delta</c:v>
                </c:pt>
              </c:strCache>
            </c:strRef>
          </c:tx>
          <c:spPr>
            <a:solidFill>
              <a:srgbClr val="92D050"/>
            </a:solidFill>
          </c:spPr>
          <c:invertIfNegative val="0"/>
          <c:dLbls>
            <c:dLbl>
              <c:idx val="2"/>
              <c:layout>
                <c:manualLayout>
                  <c:x val="5.0091693207400636E-6"/>
                  <c:y val="-3.4938123530999281E-2"/>
                </c:manualLayout>
              </c:layout>
              <c:tx>
                <c:strRef>
                  <c:f>'Results Summary'!$E$135</c:f>
                  <c:strCache>
                    <c:ptCount val="1"/>
                    <c:pt idx="0">
                      <c:v>-0.07</c:v>
                    </c:pt>
                  </c:strCache>
                </c:strRef>
              </c:tx>
              <c:numFmt formatCode="#,##0.00" sourceLinked="0"/>
              <c:spPr>
                <a:noFill/>
              </c:spPr>
              <c:txPr>
                <a:bodyPr/>
                <a:lstStyle/>
                <a:p>
                  <a:pPr>
                    <a:defRPr sz="2600"/>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{06DE805C-557D-4AF4-BF77-03F8EDF6FE17}</c15:txfldGUID>
                      <c15:f>'Results Summary'!$E$135</c15:f>
                      <c15:dlblFieldTableCache>
                        <c:ptCount val="1"/>
                        <c:pt idx="0">
                          <c:v>-0.07</c:v>
                        </c:pt>
                      </c15:dlblFieldTableCache>
                    </c15:dlblFTEntry>
                  </c15:dlblFieldTable>
                  <c15:showDataLabelsRange val="0"/>
                </c:ext>
                <c:ext xmlns:c16="http://schemas.microsoft.com/office/drawing/2014/chart" uri="{C3380CC4-5D6E-409C-BE32-E72D297353CC}">
                  <c16:uniqueId val="{00000025-812B-4506-8DA8-28A20CCE7E10}"/>
                </c:ext>
              </c:extLst>
            </c:dLbl>
            <c:dLbl>
              <c:idx val="3"/>
              <c:layout>
                <c:manualLayout>
                  <c:x val="-6.7146960135029666E-5"/>
                  <c:y val="-3.265578198171229E-2"/>
                </c:manualLayout>
              </c:layout>
              <c:tx>
                <c:strRef>
                  <c:f>'Results Summary'!$F$135</c:f>
                  <c:strCache>
                    <c:ptCount val="1"/>
                    <c:pt idx="0">
                      <c:v>-0.06</c:v>
                    </c:pt>
                  </c:strCache>
                </c:strRef>
              </c:tx>
              <c:numFmt formatCode="#,##0.00" sourceLinked="0"/>
              <c:spPr>
                <a:noFill/>
              </c:spPr>
              <c:txPr>
                <a:bodyPr/>
                <a:lstStyle/>
                <a:p>
                  <a:pPr>
                    <a:defRPr sz="2600"/>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{15E1C5D3-4F43-4093-8C89-59A7EF4A69D6}</c15:txfldGUID>
                      <c15:f>'Results Summary'!$F$135</c15:f>
                      <c15:dlblFieldTableCache>
                        <c:ptCount val="1"/>
                        <c:pt idx="0">
                          <c:v>-0.06</c:v>
                        </c:pt>
                      </c15:dlblFieldTableCache>
                    </c15:dlblFTEntry>
                  </c15:dlblFieldTable>
                  <c15:showDataLabelsRange val="0"/>
                </c:ext>
                <c:ext xmlns:c16="http://schemas.microsoft.com/office/drawing/2014/chart" uri="{C3380CC4-5D6E-409C-BE32-E72D297353CC}">
                  <c16:uniqueId val="{00000026-812B-4506-8DA8-28A20CCE7E10}"/>
                </c:ext>
              </c:extLst>
            </c:dLbl>
            <c:dLbl>
              <c:idx val="4"/>
              <c:layout>
                <c:manualLayout>
                  <c:x val="6.5495216730705928E-5"/>
                  <c:y val="-2.4133694777177982E-2"/>
                </c:manualLayout>
              </c:layout>
              <c:tx>
                <c:strRef>
                  <c:f>'Results Summary'!$G$135</c:f>
                  <c:strCache>
                    <c:ptCount val="1"/>
                    <c:pt idx="0">
                      <c:v>-0.03</c:v>
                    </c:pt>
                  </c:strCache>
                </c:strRef>
              </c:tx>
              <c:numFmt formatCode="#,##0.00" sourceLinked="0"/>
              <c:spPr>
                <a:noFill/>
              </c:spPr>
              <c:txPr>
                <a:bodyPr/>
                <a:lstStyle/>
                <a:p>
                  <a:pPr>
                    <a:defRPr sz="2600"/>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dlblFTEntry>
                      <c15:txfldGUID>{C5FE5439-E163-440E-861E-38135EA85A5A}</c15:txfldGUID>
                      <c15:f>'Results Summary'!$G$135</c15:f>
                      <c15:dlblFieldTableCache>
                        <c:ptCount val="1"/>
                        <c:pt idx="0">
                          <c:v>-0.03</c:v>
                        </c:pt>
                      </c15:dlblFieldTableCache>
                    </c15:dlblFTEntry>
                  </c15:dlblFieldTable>
                  <c15:showDataLabelsRange val="0"/>
                </c:ext>
                <c:ext xmlns:c16="http://schemas.microsoft.com/office/drawing/2014/chart" uri="{C3380CC4-5D6E-409C-BE32-E72D297353CC}">
                  <c16:uniqueId val="{00000027-812B-4506-8DA8-28A20CCE7E10}"/>
                </c:ext>
              </c:extLst>
            </c:dLbl>
            <c:dLbl>
              <c:idx val="5"/>
              <c:layout>
                <c:manualLayout>
                  <c:x val="-9.8419010957128523E-4"/>
                  <c:y val="-2.8306889566732028E-2"/>
                </c:manualLayout>
              </c:layout>
              <c:tx>
                <c:strRef>
                  <c:f>'Results Summary'!$G$135</c:f>
                  <c:strCache>
                    <c:ptCount val="1"/>
                    <c:pt idx="0">
                      <c:v>-0.03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{2367F2F1-A9B9-4BC6-A5B0-63B9AB28D143}</c15:txfldGUID>
                      <c15:f>'Results Summary'!$G$135</c15:f>
                      <c15:dlblFieldTableCache>
                        <c:ptCount val="1"/>
                        <c:pt idx="0">
                          <c:v>-0.03</c:v>
                        </c:pt>
                      </c15:dlblFieldTableCache>
                    </c15:dlblFTEntry>
                  </c15:dlblFieldTable>
                  <c15:showDataLabelsRange val="0"/>
                </c:ext>
                <c:ext xmlns:c16="http://schemas.microsoft.com/office/drawing/2014/chart" uri="{C3380CC4-5D6E-409C-BE32-E72D297353CC}">
                  <c16:uniqueId val="{00000028-812B-4506-8DA8-28A20CCE7E10}"/>
                </c:ext>
              </c:extLst>
            </c:dLbl>
            <c:numFmt formatCode="#,##0.00" sourceLinked="0"/>
            <c:spPr>
              <a:solidFill>
                <a:schemeClr val="bg1"/>
              </a:solidFill>
            </c:spPr>
            <c:txPr>
              <a:bodyPr/>
              <a:lstStyle/>
              <a:p>
                <a:pPr>
                  <a:defRPr sz="26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'Results Summary'!$C$105:$H$105</c:f>
              <c:strCache>
                <c:ptCount val="6"/>
                <c:pt idx="0">
                  <c:v>Standard mc-Si</c:v>
                </c:pt>
                <c:pt idx="1">
                  <c:v>Line-of-Sight</c:v>
                </c:pt>
                <c:pt idx="2">
                  <c:v>Efficiency</c:v>
                </c:pt>
                <c:pt idx="3">
                  <c:v>Silicon Savings</c:v>
                </c:pt>
                <c:pt idx="4">
                  <c:v>Manufacturing</c:v>
                </c:pt>
                <c:pt idx="5">
                  <c:v>Adv. Concept</c:v>
                </c:pt>
              </c:strCache>
            </c:strRef>
          </c:cat>
          <c:val>
            <c:numRef>
              <c:f>'Results Summary'!$C$133:$H$133</c:f>
              <c:numCache>
                <c:formatCode>General</c:formatCode>
                <c:ptCount val="6"/>
                <c:pt idx="2" formatCode="0.000">
                  <c:v>6.8663417801485271E-2</c:v>
                </c:pt>
                <c:pt idx="3" formatCode="0.000">
                  <c:v>6.113585437632385E-2</c:v>
                </c:pt>
                <c:pt idx="4" formatCode="0.000">
                  <c:v>2.6667389808182229E-2</c:v>
                </c:pt>
              </c:numCache>
            </c:numRef>
          </c:val>
          <c:extLst>
            <c:ext xmlns:c16="http://schemas.microsoft.com/office/drawing/2014/chart" uri="{C3380CC4-5D6E-409C-BE32-E72D297353CC}">
              <c16:uniqueId val="{00000029-812B-4506-8DA8-28A20CCE7E10}"/>
            </c:ext>
          </c:extLst>
        </c:ser>
        <c:dLbls>
          <c:showLegendKey val="0"/>
          <c:showVal val="0"/>
          <c:showCatName val="0"/>
          <c:showSerName val="0"/>
          <c:showPercent val="0"/>
          <c:showBubbleSize val="0"/>
        </c:dLbls>
        <c:gapWidth val="70"/>
        <c:overlap val="100"/>
        <c:axId val="175452544"/>
        <c:axId val="175454080"/>
      </c:barChart>
      <c:scatterChart>
        <c:scatterStyle val="lineMarker"/>
        <c:varyColors val="0"/>
        <c:ser>
          <c:idx val="24"/>
          <c:order val="31"/>
          <c:tx>
            <c:v>Price</c:v>
          </c:tx>
          <c:spPr>
            <a:ln w="28575">
              <a:noFill/>
            </a:ln>
          </c:spPr>
          <c:marker>
            <c:symbol val="square"/>
            <c:size val="18"/>
            <c:spPr>
              <a:solidFill>
                <a:sysClr val="windowText" lastClr="000000"/>
              </a:solidFill>
              <a:ln>
                <a:solidFill>
                  <a:schemeClr val="tx1"/>
                </a:solidFill>
              </a:ln>
            </c:spPr>
          </c:marker>
          <c:dLbls>
            <c:dLbl>
              <c:idx val="0"/>
              <c:layout>
                <c:manualLayout>
                  <c:x val="-4.5953776446673103E-3"/>
                  <c:y val="-2.4391571467108072E-2"/>
                </c:manualLayout>
              </c:layout>
              <c:spPr>
                <a:noFill/>
              </c:spPr>
              <c:txPr>
                <a:bodyPr/>
                <a:lstStyle/>
                <a:p>
                  <a:pPr>
                    <a:defRPr sz="2600"/>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12B-4506-8DA8-28A20CCE7E10}"/>
                </c:ext>
              </c:extLst>
            </c:dLbl>
            <c:dLbl>
              <c:idx val="1"/>
              <c:layout>
                <c:manualLayout>
                  <c:x val="-3.6682723542026045E-3"/>
                  <c:y val="-2.4388618511678561E-2"/>
                </c:manualLayout>
              </c:layout>
              <c:spPr>
                <a:noFill/>
              </c:spPr>
              <c:txPr>
                <a:bodyPr/>
                <a:lstStyle/>
                <a:p>
                  <a:pPr>
                    <a:defRPr sz="2600"/>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12B-4506-8DA8-28A20CCE7E10}"/>
                </c:ext>
              </c:extLst>
            </c:dLbl>
            <c:dLbl>
              <c:idx val="5"/>
              <c:layout>
                <c:manualLayout>
                  <c:x val="-3.6732548501167799E-3"/>
                  <c:y val="-2.3230660935272807E-2"/>
                </c:manualLayout>
              </c:layout>
              <c:spPr>
                <a:noFill/>
              </c:spPr>
              <c:txPr>
                <a:bodyPr/>
                <a:lstStyle/>
                <a:p>
                  <a:pPr>
                    <a:defRPr sz="2600"/>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12B-4506-8DA8-28A20CCE7E10}"/>
                </c:ext>
              </c:extLst>
            </c:dLbl>
            <c:spPr>
              <a:solidFill>
                <a:schemeClr val="bg1"/>
              </a:solidFill>
            </c:spPr>
            <c:txPr>
              <a:bodyPr/>
              <a:lstStyle/>
              <a:p>
                <a:pPr>
                  <a:defRPr sz="26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'Results Summary'!$Y$23:$Y$28</c:f>
                <c:numCache>
                  <c:formatCode>General</c:formatCode>
                  <c:ptCount val="6"/>
                  <c:pt idx="0">
                    <c:v>0.12168797110335339</c:v>
                  </c:pt>
                  <c:pt idx="1">
                    <c:v>7.4377558342619721E-2</c:v>
                  </c:pt>
                  <c:pt idx="5">
                    <c:v>5.7661174221759093E-2</c:v>
                  </c:pt>
                </c:numCache>
              </c:numRef>
            </c:plus>
            <c:minus>
              <c:numRef>
                <c:f>'Results Summary'!$Z$23:$Z$28</c:f>
                <c:numCache>
                  <c:formatCode>General</c:formatCode>
                  <c:ptCount val="6"/>
                  <c:pt idx="0">
                    <c:v>0.11949458041719874</c:v>
                  </c:pt>
                  <c:pt idx="1">
                    <c:v>7.3043937476563014E-2</c:v>
                  </c:pt>
                  <c:pt idx="5">
                    <c:v>5.6240623867367889E-2</c:v>
                  </c:pt>
                </c:numCache>
              </c:numRef>
            </c:minus>
            <c:spPr>
              <a:ln w="25400"/>
            </c:spPr>
          </c:errBars>
          <c:yVal>
            <c:numRef>
              <c:f>'Results Summary'!$C$138:$H$138</c:f>
              <c:numCache>
                <c:formatCode>0.00</c:formatCode>
                <c:ptCount val="6"/>
                <c:pt idx="0">
                  <c:v>1.1075021004859051</c:v>
                </c:pt>
                <c:pt idx="1">
                  <c:v>0.67727203500382904</c:v>
                </c:pt>
                <c:pt idx="5">
                  <c:v>0.50589456099653207</c:v>
                </c:pt>
              </c:numCache>
            </c:numRef>
          </c:yVal>
          <c:smooth val="0"/>
          <c:extLst>
            <c:ext xmlns:c16="http://schemas.microsoft.com/office/drawing/2014/chart" uri="{C3380CC4-5D6E-409C-BE32-E72D297353CC}">
              <c16:uniqueId val="{0000002D-812B-4506-8DA8-28A20CCE7E10}"/>
            </c:ext>
          </c:extLst>
        </c:ser>
        <c:dLbls>
          <c:showLegendKey val="0"/>
          <c:showVal val="0"/>
          <c:showCatName val="0"/>
          <c:showSerName val="0"/>
          <c:showPercent val="0"/>
          <c:showBubbleSize val="0"/>
        </c:dLbls>
        <c:axId val="175452544"/>
        <c:axId val="175454080"/>
      </c:scatterChart>
      <c:catAx>
        <c:axId val="175452544"/>
        <c:scaling>
          <c:orientation val="minMax"/>
        </c:scaling>
        <c:delete val="0"/>
        <c:axPos val="b"/>
        <c:numFmt formatCode="General" sourceLinked="1"/>
        <c:majorTickMark val="none"/>
        <c:minorTickMark val="none"/>
        <c:tickLblPos val="nextTo"/>
        <c:txPr>
          <a:bodyPr rot="-2100000"/>
          <a:lstStyle/>
          <a:p>
            <a:pPr>
              <a:defRPr sz="2600"/>
            </a:pPr>
            <a:endParaRPr lang="en-US"/>
          </a:p>
        </c:txPr>
        <c:crossAx val="175454080"/>
        <c:crosses val="autoZero"/>
        <c:auto val="1"/>
        <c:lblAlgn val="ctr"/>
        <c:lblOffset val="100"/>
        <c:noMultiLvlLbl val="0"/>
      </c:catAx>
      <c:valAx>
        <c:axId val="175454080"/>
        <c:scaling>
          <c:orientation val="minMax"/>
          <c:max val="1.25"/>
        </c:scaling>
        <c:delete val="0"/>
        <c:axPos val="l"/>
        <c:majorGridlines>
          <c:spPr>
            <a:ln w="9525">
              <a:solidFill>
                <a:schemeClr val="bg1">
                  <a:lumMod val="50000"/>
                </a:schemeClr>
              </a:solidFill>
              <a:prstDash val="dash"/>
            </a:ln>
          </c:spPr>
        </c:majorGridlines>
        <c:title>
          <c:tx>
            <c:rich>
              <a:bodyPr rot="-5400000" vert="horz"/>
              <a:lstStyle/>
              <a:p>
                <a:pPr>
                  <a:defRPr sz="3200"/>
                </a:pPr>
                <a:r>
                  <a:rPr lang="en-US" sz="3200" b="1" i="0" u="none" strike="noStrike" baseline="0"/>
                  <a:t>Cost &amp; Minimum Sustainable Price </a:t>
                </a:r>
                <a:r>
                  <a:rPr lang="en-US" sz="3200"/>
                  <a:t> [2012 US$/W</a:t>
                </a:r>
                <a:r>
                  <a:rPr lang="en-US" sz="3200" baseline="-25000"/>
                  <a:t>p</a:t>
                </a:r>
                <a:r>
                  <a:rPr lang="en-US" sz="3200"/>
                  <a:t>]</a:t>
                </a:r>
              </a:p>
            </c:rich>
          </c:tx>
          <c:layout>
            <c:manualLayout>
              <c:xMode val="edge"/>
              <c:yMode val="edge"/>
              <c:x val="4.687878764465215E-4"/>
              <c:y val="7.5892949779007221E-2"/>
            </c:manualLayout>
          </c:layout>
          <c:overlay val="0"/>
        </c:title>
        <c:numFmt formatCode="0.00" sourceLinked="0"/>
        <c:majorTickMark val="in"/>
        <c:minorTickMark val="none"/>
        <c:tickLblPos val="nextTo"/>
        <c:txPr>
          <a:bodyPr/>
          <a:lstStyle/>
          <a:p>
            <a:pPr>
              <a:defRPr sz="2600"/>
            </a:pPr>
            <a:endParaRPr lang="en-US"/>
          </a:p>
        </c:txPr>
        <c:crossAx val="175452544"/>
        <c:crosses val="autoZero"/>
        <c:crossBetween val="between"/>
        <c:majorUnit val="0.25"/>
      </c:valAx>
      <c:spPr>
        <a:ln>
          <a:solidFill>
            <a:sysClr val="window" lastClr="FFFFFF">
              <a:lumMod val="50000"/>
            </a:sysClr>
          </a:solidFill>
        </a:ln>
      </c:spPr>
    </c:plotArea>
    <c:legend>
      <c:legendPos val="r"/>
      <c:legendEntry>
        <c:idx val="0"/>
        <c:delete val="1"/>
      </c:legendEntry>
      <c:legendEntry>
        <c:idx val="1"/>
        <c:delete val="1"/>
      </c:legendEntry>
      <c:legendEntry>
        <c:idx val="2"/>
        <c:txPr>
          <a:bodyPr/>
          <a:lstStyle/>
          <a:p>
            <a:pPr>
              <a:defRPr sz="2300">
                <a:solidFill>
                  <a:schemeClr val="bg1"/>
                </a:solidFill>
              </a:defRPr>
            </a:pPr>
            <a:endParaRPr lang="en-US"/>
          </a:p>
        </c:txPr>
      </c:legendEntry>
      <c:legendEntry>
        <c:idx val="14"/>
        <c:txPr>
          <a:bodyPr/>
          <a:lstStyle/>
          <a:p>
            <a:pPr>
              <a:defRPr sz="2300">
                <a:solidFill>
                  <a:schemeClr val="bg1"/>
                </a:solidFill>
              </a:defRPr>
            </a:pPr>
            <a:endParaRPr lang="en-US"/>
          </a:p>
        </c:txPr>
      </c:legendEntry>
      <c:legendEntry>
        <c:idx val="22"/>
        <c:txPr>
          <a:bodyPr/>
          <a:lstStyle/>
          <a:p>
            <a:pPr>
              <a:defRPr sz="2300">
                <a:solidFill>
                  <a:schemeClr val="bg1"/>
                </a:solidFill>
              </a:defRPr>
            </a:pPr>
            <a:endParaRPr lang="en-US"/>
          </a:p>
        </c:txPr>
      </c:legendEntry>
      <c:legendEntry>
        <c:idx val="31"/>
        <c:delete val="1"/>
      </c:legendEntry>
      <c:layout>
        <c:manualLayout>
          <c:xMode val="edge"/>
          <c:yMode val="edge"/>
          <c:x val="0.77080564751900826"/>
          <c:y val="6.8309857810039731E-2"/>
          <c:w val="0.20333002587070742"/>
          <c:h val="0.79642251560556121"/>
        </c:manualLayout>
      </c:layout>
      <c:overlay val="0"/>
      <c:txPr>
        <a:bodyPr/>
        <a:lstStyle/>
        <a:p>
          <a:pPr>
            <a:defRPr sz="2300"/>
          </a:pPr>
          <a:endParaRPr lang="en-US"/>
        </a:p>
      </c:txPr>
    </c:legend>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Module Cost</a:t>
            </a:r>
            <a:r>
              <a:rPr lang="en-US" sz="3200" baseline="0"/>
              <a:t> Breakdown</a:t>
            </a:r>
            <a:endParaRPr lang="en-US" sz="3200"/>
          </a:p>
        </c:rich>
      </c:tx>
      <c:layout>
        <c:manualLayout>
          <c:xMode val="edge"/>
          <c:yMode val="edge"/>
          <c:x val="0.32333916593760426"/>
          <c:y val="0"/>
        </c:manualLayout>
      </c:layout>
      <c:overlay val="0"/>
    </c:title>
    <c:autoTitleDeleted val="0"/>
    <c:plotArea>
      <c:layout>
        <c:manualLayout>
          <c:layoutTarget val="inner"/>
          <c:xMode val="edge"/>
          <c:yMode val="edge"/>
          <c:x val="0.11121463983668722"/>
          <c:y val="9.4153214213498759E-2"/>
          <c:w val="0.87759965826421715"/>
          <c:h val="0.59160285502997145"/>
        </c:manualLayout>
      </c:layout>
      <c:barChart>
        <c:barDir val="col"/>
        <c:grouping val="clustered"/>
        <c:varyColors val="0"/>
        <c:ser>
          <c:idx val="2"/>
          <c:order val="0"/>
          <c:invertIfNegative val="0"/>
          <c:cat>
            <c:strRef>
              <c:f>'Standard mc-Si'!$B$30:$B$48</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'Standard mc-Si'!$G$30:$G$48</c:f>
              <c:numCache>
                <c:formatCode>0.000</c:formatCode>
                <c:ptCount val="19"/>
                <c:pt idx="0">
                  <c:v>0.17766960624103481</c:v>
                </c:pt>
                <c:pt idx="1">
                  <c:v>0.10413824919309614</c:v>
                </c:pt>
                <c:pt idx="2">
                  <c:v>4.0974188746510189E-2</c:v>
                </c:pt>
                <c:pt idx="3">
                  <c:v>0.11485173825240791</c:v>
                </c:pt>
                <c:pt idx="4">
                  <c:v>4.9944103700511312E-2</c:v>
                </c:pt>
                <c:pt idx="5">
                  <c:v>8.0865179308402757E-2</c:v>
                </c:pt>
                <c:pt idx="6">
                  <c:v>1.4024143405631155E-2</c:v>
                </c:pt>
                <c:pt idx="7">
                  <c:v>2.2532485940259014E-2</c:v>
                </c:pt>
                <c:pt idx="8">
                  <c:v>3.2208929081287488E-2</c:v>
                </c:pt>
                <c:pt idx="9">
                  <c:v>4.9822549822549821E-2</c:v>
                </c:pt>
                <c:pt idx="10">
                  <c:v>5.7633341109124582E-2</c:v>
                </c:pt>
                <c:pt idx="11">
                  <c:v>3.412503412503412E-2</c:v>
                </c:pt>
                <c:pt idx="12">
                  <c:v>2.4959960857396754E-2</c:v>
                </c:pt>
                <c:pt idx="13">
                  <c:v>2.4710361248822785E-2</c:v>
                </c:pt>
                <c:pt idx="14">
                  <c:v>4.777504777504777E-2</c:v>
                </c:pt>
                <c:pt idx="15">
                  <c:v>3.207753207753207E-2</c:v>
                </c:pt>
                <c:pt idx="16">
                  <c:v>3.0712530712530711E-3</c:v>
                </c:pt>
                <c:pt idx="17">
                  <c:v>8.9142717347845558E-3</c:v>
                </c:pt>
                <c:pt idx="18">
                  <c:v>0</c:v>
                </c:pt>
              </c:numCache>
            </c:numRef>
          </c:val>
          <c:extLst>
            <c:ext xmlns:c16="http://schemas.microsoft.com/office/drawing/2014/chart" uri="{C3380CC4-5D6E-409C-BE32-E72D297353CC}">
              <c16:uniqueId val="{00000000-D22A-43E4-8761-C9511A7534E1}"/>
            </c:ext>
          </c:extLst>
        </c:ser>
        <c:dLbls>
          <c:showLegendKey val="0"/>
          <c:showVal val="0"/>
          <c:showCatName val="0"/>
          <c:showSerName val="0"/>
          <c:showPercent val="0"/>
          <c:showBubbleSize val="0"/>
        </c:dLbls>
        <c:gapWidth val="50"/>
        <c:overlap val="8"/>
        <c:axId val="175119360"/>
        <c:axId val="175129344"/>
      </c:barChart>
      <c:catAx>
        <c:axId val="175119360"/>
        <c:scaling>
          <c:orientation val="minMax"/>
        </c:scaling>
        <c:delete val="0"/>
        <c:axPos val="b"/>
        <c:numFmt formatCode="General" sourceLinked="0"/>
        <c:majorTickMark val="in"/>
        <c:minorTickMark val="none"/>
        <c:tickLblPos val="nextTo"/>
        <c:txPr>
          <a:bodyPr/>
          <a:lstStyle/>
          <a:p>
            <a:pPr>
              <a:defRPr sz="1800" b="0"/>
            </a:pPr>
            <a:endParaRPr lang="en-US"/>
          </a:p>
        </c:txPr>
        <c:crossAx val="175129344"/>
        <c:crosses val="autoZero"/>
        <c:auto val="1"/>
        <c:lblAlgn val="ctr"/>
        <c:lblOffset val="20"/>
        <c:tickMarkSkip val="1"/>
        <c:noMultiLvlLbl val="0"/>
      </c:catAx>
      <c:valAx>
        <c:axId val="175129344"/>
        <c:scaling>
          <c:orientation val="minMax"/>
        </c:scaling>
        <c:delete val="0"/>
        <c:axPos val="l"/>
        <c:majorGridlines>
          <c:spPr>
            <a:ln>
              <a:prstDash val="dash"/>
            </a:ln>
          </c:spPr>
        </c:majorGridlines>
        <c:title>
          <c:tx>
            <c:rich>
              <a:bodyPr rot="-5400000" vert="horz"/>
              <a:lstStyle/>
              <a:p>
                <a:pPr>
                  <a:defRPr sz="2000"/>
                </a:pPr>
                <a:r>
                  <a:rPr lang="en-US" sz="2000"/>
                  <a:t>Cost</a:t>
                </a:r>
                <a:r>
                  <a:rPr lang="en-US" sz="2000" baseline="0"/>
                  <a:t> [$/W</a:t>
                </a:r>
                <a:r>
                  <a:rPr lang="en-US" sz="2000" baseline="-25000"/>
                  <a:t>p</a:t>
                </a:r>
                <a:r>
                  <a:rPr lang="en-US" sz="2000" baseline="0"/>
                  <a:t>]</a:t>
                </a:r>
                <a:endParaRPr lang="en-US" sz="2000"/>
              </a:p>
            </c:rich>
          </c:tx>
          <c:overlay val="0"/>
        </c:title>
        <c:numFmt formatCode="0.00" sourceLinked="0"/>
        <c:majorTickMark val="in"/>
        <c:minorTickMark val="none"/>
        <c:tickLblPos val="nextTo"/>
        <c:txPr>
          <a:bodyPr/>
          <a:lstStyle/>
          <a:p>
            <a:pPr>
              <a:defRPr sz="2000"/>
            </a:pPr>
            <a:endParaRPr lang="en-US"/>
          </a:p>
        </c:txPr>
        <c:crossAx val="175119360"/>
        <c:crosses val="autoZero"/>
        <c:crossBetween val="between"/>
      </c:valAx>
      <c:spPr>
        <a:ln w="3175">
          <a:solidFill>
            <a:schemeClr val="bg1">
              <a:lumMod val="50000"/>
            </a:schemeClr>
          </a:solidFill>
        </a:ln>
      </c:spPr>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23132233491822"/>
          <c:y val="0.15665535894438279"/>
          <c:w val="0.69116518513781156"/>
          <c:h val="0.72005297402021096"/>
        </c:manualLayout>
      </c:layout>
      <c:barChart>
        <c:barDir val="col"/>
        <c:grouping val="stacked"/>
        <c:varyColors val="0"/>
        <c:ser>
          <c:idx val="0"/>
          <c:order val="0"/>
          <c:tx>
            <c:strRef>
              <c:f>'Standard mc-Si'!$C$368</c:f>
              <c:strCache>
                <c:ptCount val="1"/>
                <c:pt idx="0">
                  <c:v>Direct Materials</c:v>
                </c:pt>
              </c:strCache>
            </c:strRef>
          </c:tx>
          <c:spPr>
            <a:solidFill>
              <a:schemeClr val="tx2">
                <a:lumMod val="50000"/>
              </a:schemeClr>
            </a:solidFill>
          </c:spPr>
          <c:invertIfNegative val="0"/>
          <c:cat>
            <c:strRef>
              <c:f>('Standard mc-Si'!$D$355,'Standard mc-Si'!$F$355)</c:f>
              <c:strCache>
                <c:ptCount val="2"/>
                <c:pt idx="0">
                  <c:v>All Expenses</c:v>
                </c:pt>
                <c:pt idx="1">
                  <c:v>Variable Costs</c:v>
                </c:pt>
              </c:strCache>
            </c:strRef>
          </c:cat>
          <c:val>
            <c:numRef>
              <c:f>('Standard mc-Si'!$D$368,'Standard mc-Si'!$F$368)</c:f>
              <c:numCache>
                <c:formatCode>0.00%</c:formatCode>
                <c:ptCount val="2"/>
                <c:pt idx="0" formatCode="0.0%">
                  <c:v>0.5511408922207538</c:v>
                </c:pt>
                <c:pt idx="1">
                  <c:v>0.5511408922207538</c:v>
                </c:pt>
              </c:numCache>
            </c:numRef>
          </c:val>
          <c:extLst>
            <c:ext xmlns:c16="http://schemas.microsoft.com/office/drawing/2014/chart" uri="{C3380CC4-5D6E-409C-BE32-E72D297353CC}">
              <c16:uniqueId val="{00000000-3119-4246-95E6-C846FE492947}"/>
            </c:ext>
          </c:extLst>
        </c:ser>
        <c:ser>
          <c:idx val="1"/>
          <c:order val="1"/>
          <c:tx>
            <c:strRef>
              <c:f>'Standard mc-Si'!$C$369</c:f>
              <c:strCache>
                <c:ptCount val="1"/>
                <c:pt idx="0">
                  <c:v>Direct Labor</c:v>
                </c:pt>
              </c:strCache>
            </c:strRef>
          </c:tx>
          <c:spPr>
            <a:solidFill>
              <a:srgbClr val="255997"/>
            </a:solidFill>
          </c:spPr>
          <c:invertIfNegative val="0"/>
          <c:cat>
            <c:strRef>
              <c:f>('Standard mc-Si'!$D$355,'Standard mc-Si'!$F$355)</c:f>
              <c:strCache>
                <c:ptCount val="2"/>
                <c:pt idx="0">
                  <c:v>All Expenses</c:v>
                </c:pt>
                <c:pt idx="1">
                  <c:v>Variable Costs</c:v>
                </c:pt>
              </c:strCache>
            </c:strRef>
          </c:cat>
          <c:val>
            <c:numRef>
              <c:f>('Standard mc-Si'!$D$369,'Standard mc-Si'!$F$369)</c:f>
              <c:numCache>
                <c:formatCode>0.00%</c:formatCode>
                <c:ptCount val="2"/>
                <c:pt idx="0" formatCode="0.0%">
                  <c:v>0.1037034044468339</c:v>
                </c:pt>
                <c:pt idx="1">
                  <c:v>0.1037034044468339</c:v>
                </c:pt>
              </c:numCache>
            </c:numRef>
          </c:val>
          <c:extLst>
            <c:ext xmlns:c16="http://schemas.microsoft.com/office/drawing/2014/chart" uri="{C3380CC4-5D6E-409C-BE32-E72D297353CC}">
              <c16:uniqueId val="{00000001-3119-4246-95E6-C846FE492947}"/>
            </c:ext>
          </c:extLst>
        </c:ser>
        <c:ser>
          <c:idx val="2"/>
          <c:order val="2"/>
          <c:tx>
            <c:strRef>
              <c:f>'Standard mc-Si'!$C$370</c:f>
              <c:strCache>
                <c:ptCount val="1"/>
                <c:pt idx="0">
                  <c:v>Input Electricity</c:v>
                </c:pt>
              </c:strCache>
            </c:strRef>
          </c:tx>
          <c:spPr>
            <a:solidFill>
              <a:schemeClr val="accent1">
                <a:lumMod val="60000"/>
                <a:lumOff val="40000"/>
              </a:schemeClr>
            </a:solidFill>
          </c:spPr>
          <c:invertIfNegative val="0"/>
          <c:cat>
            <c:strRef>
              <c:f>('Standard mc-Si'!$D$355,'Standard mc-Si'!$F$355)</c:f>
              <c:strCache>
                <c:ptCount val="2"/>
                <c:pt idx="0">
                  <c:v>All Expenses</c:v>
                </c:pt>
                <c:pt idx="1">
                  <c:v>Variable Costs</c:v>
                </c:pt>
              </c:strCache>
            </c:strRef>
          </c:cat>
          <c:val>
            <c:numRef>
              <c:f>('Standard mc-Si'!$D$370,'Standard mc-Si'!$F$370)</c:f>
              <c:numCache>
                <c:formatCode>0.00%</c:formatCode>
                <c:ptCount val="2"/>
                <c:pt idx="0" formatCode="0.0%">
                  <c:v>4.5096170633535458E-2</c:v>
                </c:pt>
                <c:pt idx="1">
                  <c:v>4.5096170633535458E-2</c:v>
                </c:pt>
              </c:numCache>
            </c:numRef>
          </c:val>
          <c:extLst>
            <c:ext xmlns:c16="http://schemas.microsoft.com/office/drawing/2014/chart" uri="{C3380CC4-5D6E-409C-BE32-E72D297353CC}">
              <c16:uniqueId val="{00000002-3119-4246-95E6-C846FE492947}"/>
            </c:ext>
          </c:extLst>
        </c:ser>
        <c:ser>
          <c:idx val="3"/>
          <c:order val="3"/>
          <c:tx>
            <c:strRef>
              <c:f>'Standard mc-Si'!$C$371</c:f>
              <c:strCache>
                <c:ptCount val="1"/>
                <c:pt idx="0">
                  <c:v>Maintenance</c:v>
                </c:pt>
              </c:strCache>
            </c:strRef>
          </c:tx>
          <c:spPr>
            <a:solidFill>
              <a:schemeClr val="accent1">
                <a:lumMod val="40000"/>
                <a:lumOff val="60000"/>
              </a:schemeClr>
            </a:solidFill>
          </c:spPr>
          <c:invertIfNegative val="0"/>
          <c:cat>
            <c:strRef>
              <c:f>('Standard mc-Si'!$D$355,'Standard mc-Si'!$F$355)</c:f>
              <c:strCache>
                <c:ptCount val="2"/>
                <c:pt idx="0">
                  <c:v>All Expenses</c:v>
                </c:pt>
                <c:pt idx="1">
                  <c:v>Variable Costs</c:v>
                </c:pt>
              </c:strCache>
            </c:strRef>
          </c:cat>
          <c:val>
            <c:numRef>
              <c:f>('Standard mc-Si'!$D$371,'Standard mc-Si'!$F$371)</c:f>
              <c:numCache>
                <c:formatCode>0.00%</c:formatCode>
                <c:ptCount val="2"/>
                <c:pt idx="0" formatCode="0.0%">
                  <c:v>3.6996939986419161E-2</c:v>
                </c:pt>
                <c:pt idx="1">
                  <c:v>3.6996939986419161E-2</c:v>
                </c:pt>
              </c:numCache>
            </c:numRef>
          </c:val>
          <c:extLst>
            <c:ext xmlns:c16="http://schemas.microsoft.com/office/drawing/2014/chart" uri="{C3380CC4-5D6E-409C-BE32-E72D297353CC}">
              <c16:uniqueId val="{00000003-3119-4246-95E6-C846FE492947}"/>
            </c:ext>
          </c:extLst>
        </c:ser>
        <c:ser>
          <c:idx val="4"/>
          <c:order val="4"/>
          <c:tx>
            <c:strRef>
              <c:f>'Standard mc-Si'!$C$372</c:f>
              <c:strCache>
                <c:ptCount val="1"/>
                <c:pt idx="0">
                  <c:v>Depreciation </c:v>
                </c:pt>
              </c:strCache>
            </c:strRef>
          </c:tx>
          <c:spPr>
            <a:solidFill>
              <a:schemeClr val="tx2">
                <a:lumMod val="40000"/>
                <a:lumOff val="60000"/>
              </a:schemeClr>
            </a:solidFill>
          </c:spPr>
          <c:invertIfNegative val="0"/>
          <c:cat>
            <c:strRef>
              <c:f>('Standard mc-Si'!$D$355,'Standard mc-Si'!$F$355)</c:f>
              <c:strCache>
                <c:ptCount val="2"/>
                <c:pt idx="0">
                  <c:v>All Expenses</c:v>
                </c:pt>
                <c:pt idx="1">
                  <c:v>Variable Costs</c:v>
                </c:pt>
              </c:strCache>
            </c:strRef>
          </c:cat>
          <c:val>
            <c:numRef>
              <c:f>('Standard mc-Si'!$D$372,'Standard mc-Si'!$F$372)</c:f>
              <c:numCache>
                <c:formatCode>0.00%</c:formatCode>
                <c:ptCount val="2"/>
                <c:pt idx="0" formatCode="0.0%">
                  <c:v>9.4881065256878533E-2</c:v>
                </c:pt>
              </c:numCache>
            </c:numRef>
          </c:val>
          <c:extLst>
            <c:ext xmlns:c16="http://schemas.microsoft.com/office/drawing/2014/chart" uri="{C3380CC4-5D6E-409C-BE32-E72D297353CC}">
              <c16:uniqueId val="{00000004-3119-4246-95E6-C846FE492947}"/>
            </c:ext>
          </c:extLst>
        </c:ser>
        <c:ser>
          <c:idx val="5"/>
          <c:order val="5"/>
          <c:tx>
            <c:strRef>
              <c:f>'Standard mc-Si'!$C$373</c:f>
              <c:strCache>
                <c:ptCount val="1"/>
                <c:pt idx="0">
                  <c:v>Operating Expense</c:v>
                </c:pt>
              </c:strCache>
            </c:strRef>
          </c:tx>
          <c:spPr>
            <a:solidFill>
              <a:schemeClr val="accent2">
                <a:lumMod val="75000"/>
              </a:schemeClr>
            </a:solidFill>
          </c:spPr>
          <c:invertIfNegative val="0"/>
          <c:cat>
            <c:strRef>
              <c:f>('Standard mc-Si'!$D$355,'Standard mc-Si'!$F$355)</c:f>
              <c:strCache>
                <c:ptCount val="2"/>
                <c:pt idx="0">
                  <c:v>All Expenses</c:v>
                </c:pt>
                <c:pt idx="1">
                  <c:v>Variable Costs</c:v>
                </c:pt>
              </c:strCache>
            </c:strRef>
          </c:cat>
          <c:val>
            <c:numRef>
              <c:f>('Standard mc-Si'!$D$373,'Standard mc-Si'!$F$373)</c:f>
              <c:numCache>
                <c:formatCode>0.00%</c:formatCode>
                <c:ptCount val="2"/>
                <c:pt idx="0" formatCode="0.0%">
                  <c:v>0.105</c:v>
                </c:pt>
              </c:numCache>
            </c:numRef>
          </c:val>
          <c:extLst>
            <c:ext xmlns:c16="http://schemas.microsoft.com/office/drawing/2014/chart" uri="{C3380CC4-5D6E-409C-BE32-E72D297353CC}">
              <c16:uniqueId val="{00000005-3119-4246-95E6-C846FE492947}"/>
            </c:ext>
          </c:extLst>
        </c:ser>
        <c:ser>
          <c:idx val="6"/>
          <c:order val="6"/>
          <c:tx>
            <c:strRef>
              <c:f>'Standard mc-Si'!$C$374</c:f>
              <c:strCache>
                <c:ptCount val="1"/>
                <c:pt idx="0">
                  <c:v>Interest Expense</c:v>
                </c:pt>
              </c:strCache>
            </c:strRef>
          </c:tx>
          <c:spPr>
            <a:solidFill>
              <a:schemeClr val="accent4">
                <a:lumMod val="75000"/>
              </a:schemeClr>
            </a:solidFill>
          </c:spPr>
          <c:invertIfNegative val="0"/>
          <c:cat>
            <c:strRef>
              <c:f>('Standard mc-Si'!$D$355,'Standard mc-Si'!$F$355)</c:f>
              <c:strCache>
                <c:ptCount val="2"/>
                <c:pt idx="0">
                  <c:v>All Expenses</c:v>
                </c:pt>
                <c:pt idx="1">
                  <c:v>Variable Costs</c:v>
                </c:pt>
              </c:strCache>
            </c:strRef>
          </c:cat>
          <c:val>
            <c:numRef>
              <c:f>('Standard mc-Si'!$D$374,'Standard mc-Si'!$F$374)</c:f>
              <c:numCache>
                <c:formatCode>General</c:formatCode>
                <c:ptCount val="2"/>
                <c:pt idx="0" formatCode="0.0%">
                  <c:v>1.420094144768211E-2</c:v>
                </c:pt>
              </c:numCache>
            </c:numRef>
          </c:val>
          <c:extLst>
            <c:ext xmlns:c16="http://schemas.microsoft.com/office/drawing/2014/chart" uri="{C3380CC4-5D6E-409C-BE32-E72D297353CC}">
              <c16:uniqueId val="{00000006-3119-4246-95E6-C846FE492947}"/>
            </c:ext>
          </c:extLst>
        </c:ser>
        <c:ser>
          <c:idx val="7"/>
          <c:order val="7"/>
          <c:tx>
            <c:strRef>
              <c:f>'Standard mc-Si'!$C$375</c:f>
              <c:strCache>
                <c:ptCount val="1"/>
                <c:pt idx="0">
                  <c:v>Income Tax</c:v>
                </c:pt>
              </c:strCache>
            </c:strRef>
          </c:tx>
          <c:spPr>
            <a:solidFill>
              <a:schemeClr val="accent6">
                <a:lumMod val="75000"/>
              </a:schemeClr>
            </a:solidFill>
          </c:spPr>
          <c:invertIfNegative val="0"/>
          <c:cat>
            <c:strRef>
              <c:f>('Standard mc-Si'!$D$355,'Standard mc-Si'!$F$355)</c:f>
              <c:strCache>
                <c:ptCount val="2"/>
                <c:pt idx="0">
                  <c:v>All Expenses</c:v>
                </c:pt>
                <c:pt idx="1">
                  <c:v>Variable Costs</c:v>
                </c:pt>
              </c:strCache>
            </c:strRef>
          </c:cat>
          <c:val>
            <c:numRef>
              <c:f>('Standard mc-Si'!$D$375,'Standard mc-Si'!$F$375)</c:f>
              <c:numCache>
                <c:formatCode>General</c:formatCode>
                <c:ptCount val="2"/>
                <c:pt idx="0" formatCode="0.0%">
                  <c:v>1.3665583496203296E-2</c:v>
                </c:pt>
              </c:numCache>
            </c:numRef>
          </c:val>
          <c:extLst>
            <c:ext xmlns:c16="http://schemas.microsoft.com/office/drawing/2014/chart" uri="{C3380CC4-5D6E-409C-BE32-E72D297353CC}">
              <c16:uniqueId val="{00000007-3119-4246-95E6-C846FE492947}"/>
            </c:ext>
          </c:extLst>
        </c:ser>
        <c:dLbls>
          <c:showLegendKey val="0"/>
          <c:showVal val="0"/>
          <c:showCatName val="0"/>
          <c:showSerName val="0"/>
          <c:showPercent val="0"/>
          <c:showBubbleSize val="0"/>
        </c:dLbls>
        <c:gapWidth val="145"/>
        <c:overlap val="100"/>
        <c:axId val="176830336"/>
        <c:axId val="176831872"/>
      </c:barChart>
      <c:catAx>
        <c:axId val="176830336"/>
        <c:scaling>
          <c:orientation val="minMax"/>
        </c:scaling>
        <c:delete val="0"/>
        <c:axPos val="b"/>
        <c:numFmt formatCode="General" sourceLinked="1"/>
        <c:majorTickMark val="none"/>
        <c:minorTickMark val="none"/>
        <c:tickLblPos val="nextTo"/>
        <c:txPr>
          <a:bodyPr/>
          <a:lstStyle/>
          <a:p>
            <a:pPr>
              <a:defRPr sz="2400"/>
            </a:pPr>
            <a:endParaRPr lang="en-US"/>
          </a:p>
        </c:txPr>
        <c:crossAx val="176831872"/>
        <c:crosses val="autoZero"/>
        <c:auto val="1"/>
        <c:lblAlgn val="ctr"/>
        <c:lblOffset val="100"/>
        <c:noMultiLvlLbl val="0"/>
      </c:catAx>
      <c:valAx>
        <c:axId val="176831872"/>
        <c:scaling>
          <c:orientation val="minMax"/>
          <c:max val="1.1000000000000001"/>
          <c:min val="0"/>
        </c:scaling>
        <c:delete val="0"/>
        <c:axPos val="l"/>
        <c:majorGridlines>
          <c:spPr>
            <a:ln w="9525">
              <a:solidFill>
                <a:schemeClr val="bg1">
                  <a:lumMod val="50000"/>
                </a:schemeClr>
              </a:solidFill>
              <a:prstDash val="dash"/>
            </a:ln>
          </c:spPr>
        </c:majorGridlines>
        <c:title>
          <c:tx>
            <c:rich>
              <a:bodyPr rot="-5400000" vert="horz"/>
              <a:lstStyle/>
              <a:p>
                <a:pPr>
                  <a:defRPr sz="1100"/>
                </a:pPr>
                <a:r>
                  <a:rPr lang="en-US" sz="2400" b="1" i="0" baseline="0"/>
                  <a:t>Expenses as Percentage of MSP</a:t>
                </a:r>
                <a:endParaRPr lang="en-US" sz="1100"/>
              </a:p>
            </c:rich>
          </c:tx>
          <c:layout>
            <c:manualLayout>
              <c:xMode val="edge"/>
              <c:yMode val="edge"/>
              <c:x val="5.8984147925763633E-2"/>
              <c:y val="0.21492107692268136"/>
            </c:manualLayout>
          </c:layout>
          <c:overlay val="0"/>
        </c:title>
        <c:numFmt formatCode="0%" sourceLinked="0"/>
        <c:majorTickMark val="in"/>
        <c:minorTickMark val="none"/>
        <c:tickLblPos val="nextTo"/>
        <c:txPr>
          <a:bodyPr/>
          <a:lstStyle/>
          <a:p>
            <a:pPr>
              <a:defRPr sz="2400"/>
            </a:pPr>
            <a:endParaRPr lang="en-US"/>
          </a:p>
        </c:txPr>
        <c:crossAx val="176830336"/>
        <c:crosses val="autoZero"/>
        <c:crossBetween val="between"/>
        <c:majorUnit val="0.25"/>
      </c:valAx>
      <c:spPr>
        <a:ln w="9525">
          <a:solidFill>
            <a:sysClr val="window" lastClr="FFFFFF">
              <a:lumMod val="50000"/>
            </a:sysClr>
          </a:solidFill>
        </a:ln>
      </c:spPr>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Module Cost</a:t>
            </a:r>
            <a:r>
              <a:rPr lang="en-US" sz="3200" baseline="0"/>
              <a:t> Breakdown</a:t>
            </a:r>
            <a:endParaRPr lang="en-US" sz="3200"/>
          </a:p>
        </c:rich>
      </c:tx>
      <c:layout>
        <c:manualLayout>
          <c:xMode val="edge"/>
          <c:yMode val="edge"/>
          <c:x val="0.32333916593760487"/>
          <c:y val="0"/>
        </c:manualLayout>
      </c:layout>
      <c:overlay val="0"/>
    </c:title>
    <c:autoTitleDeleted val="0"/>
    <c:plotArea>
      <c:layout>
        <c:manualLayout>
          <c:layoutTarget val="inner"/>
          <c:xMode val="edge"/>
          <c:yMode val="edge"/>
          <c:x val="0.11121463983668722"/>
          <c:y val="9.4153214213498759E-2"/>
          <c:w val="0.87759965826421782"/>
          <c:h val="0.59160285502997145"/>
        </c:manualLayout>
      </c:layout>
      <c:barChart>
        <c:barDir val="col"/>
        <c:grouping val="clustered"/>
        <c:varyColors val="0"/>
        <c:ser>
          <c:idx val="2"/>
          <c:order val="0"/>
          <c:invertIfNegative val="0"/>
          <c:cat>
            <c:strRef>
              <c:f>'Line-of-Sight'!$B$30:$B$48</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'Line-of-Sight'!$G$30:$G$48</c:f>
              <c:numCache>
                <c:formatCode>0.000</c:formatCode>
                <c:ptCount val="19"/>
                <c:pt idx="0">
                  <c:v>7.848088834840776E-2</c:v>
                </c:pt>
                <c:pt idx="1">
                  <c:v>6.3317922773772475E-2</c:v>
                </c:pt>
                <c:pt idx="2">
                  <c:v>2.4913041450878411E-2</c:v>
                </c:pt>
                <c:pt idx="3">
                  <c:v>6.4637005640183057E-2</c:v>
                </c:pt>
                <c:pt idx="4">
                  <c:v>3.6285523333954899E-2</c:v>
                </c:pt>
                <c:pt idx="5">
                  <c:v>2.7200225350878904E-2</c:v>
                </c:pt>
                <c:pt idx="6">
                  <c:v>4.542991891154256E-3</c:v>
                </c:pt>
                <c:pt idx="7">
                  <c:v>1.4715656061558545E-2</c:v>
                </c:pt>
                <c:pt idx="8">
                  <c:v>1.7325641171365522E-2</c:v>
                </c:pt>
                <c:pt idx="9">
                  <c:v>4.0759352317141256E-2</c:v>
                </c:pt>
                <c:pt idx="10">
                  <c:v>4.7149286093293878E-2</c:v>
                </c:pt>
                <c:pt idx="11">
                  <c:v>2.7917364600781685E-2</c:v>
                </c:pt>
                <c:pt idx="12">
                  <c:v>2.0419505666252218E-2</c:v>
                </c:pt>
                <c:pt idx="13">
                  <c:v>2.0317408137920958E-2</c:v>
                </c:pt>
                <c:pt idx="14">
                  <c:v>3.908431044109436E-2</c:v>
                </c:pt>
                <c:pt idx="15">
                  <c:v>2.6242322724734785E-2</c:v>
                </c:pt>
                <c:pt idx="16">
                  <c:v>2.5125628140703514E-3</c:v>
                </c:pt>
                <c:pt idx="17">
                  <c:v>7.2190171547356343E-3</c:v>
                </c:pt>
                <c:pt idx="18">
                  <c:v>0</c:v>
                </c:pt>
              </c:numCache>
            </c:numRef>
          </c:val>
          <c:extLst>
            <c:ext xmlns:c16="http://schemas.microsoft.com/office/drawing/2014/chart" uri="{C3380CC4-5D6E-409C-BE32-E72D297353CC}">
              <c16:uniqueId val="{00000000-7661-4C49-BAA8-29B89D667827}"/>
            </c:ext>
          </c:extLst>
        </c:ser>
        <c:dLbls>
          <c:showLegendKey val="0"/>
          <c:showVal val="0"/>
          <c:showCatName val="0"/>
          <c:showSerName val="0"/>
          <c:showPercent val="0"/>
          <c:showBubbleSize val="0"/>
        </c:dLbls>
        <c:gapWidth val="50"/>
        <c:overlap val="8"/>
        <c:axId val="177600000"/>
        <c:axId val="177601536"/>
      </c:barChart>
      <c:catAx>
        <c:axId val="177600000"/>
        <c:scaling>
          <c:orientation val="minMax"/>
        </c:scaling>
        <c:delete val="0"/>
        <c:axPos val="b"/>
        <c:numFmt formatCode="General" sourceLinked="0"/>
        <c:majorTickMark val="in"/>
        <c:minorTickMark val="none"/>
        <c:tickLblPos val="nextTo"/>
        <c:txPr>
          <a:bodyPr/>
          <a:lstStyle/>
          <a:p>
            <a:pPr>
              <a:defRPr sz="1800" b="0"/>
            </a:pPr>
            <a:endParaRPr lang="en-US"/>
          </a:p>
        </c:txPr>
        <c:crossAx val="177601536"/>
        <c:crosses val="autoZero"/>
        <c:auto val="1"/>
        <c:lblAlgn val="ctr"/>
        <c:lblOffset val="20"/>
        <c:tickMarkSkip val="1"/>
        <c:noMultiLvlLbl val="0"/>
      </c:catAx>
      <c:valAx>
        <c:axId val="177601536"/>
        <c:scaling>
          <c:orientation val="minMax"/>
        </c:scaling>
        <c:delete val="0"/>
        <c:axPos val="l"/>
        <c:majorGridlines>
          <c:spPr>
            <a:ln>
              <a:prstDash val="dash"/>
            </a:ln>
          </c:spPr>
        </c:majorGridlines>
        <c:title>
          <c:tx>
            <c:rich>
              <a:bodyPr rot="-5400000" vert="horz"/>
              <a:lstStyle/>
              <a:p>
                <a:pPr>
                  <a:defRPr sz="2000"/>
                </a:pPr>
                <a:r>
                  <a:rPr lang="en-US" sz="2000"/>
                  <a:t>Cost</a:t>
                </a:r>
                <a:r>
                  <a:rPr lang="en-US" sz="2000" baseline="0"/>
                  <a:t> [$/W</a:t>
                </a:r>
                <a:r>
                  <a:rPr lang="en-US" sz="2000" baseline="-25000"/>
                  <a:t>p</a:t>
                </a:r>
                <a:r>
                  <a:rPr lang="en-US" sz="2000" baseline="0"/>
                  <a:t>]</a:t>
                </a:r>
                <a:endParaRPr lang="en-US" sz="2000"/>
              </a:p>
            </c:rich>
          </c:tx>
          <c:overlay val="0"/>
        </c:title>
        <c:numFmt formatCode="0.00" sourceLinked="0"/>
        <c:majorTickMark val="in"/>
        <c:minorTickMark val="none"/>
        <c:tickLblPos val="nextTo"/>
        <c:txPr>
          <a:bodyPr/>
          <a:lstStyle/>
          <a:p>
            <a:pPr>
              <a:defRPr sz="2000"/>
            </a:pPr>
            <a:endParaRPr lang="en-US"/>
          </a:p>
        </c:txPr>
        <c:crossAx val="177600000"/>
        <c:crosses val="autoZero"/>
        <c:crossBetween val="between"/>
      </c:valAx>
      <c:spPr>
        <a:ln w="3175">
          <a:solidFill>
            <a:schemeClr val="bg1">
              <a:lumMod val="50000"/>
            </a:schemeClr>
          </a:solidFill>
        </a:ln>
      </c:spPr>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Module Cost</a:t>
            </a:r>
            <a:r>
              <a:rPr lang="en-US" sz="3200" baseline="0"/>
              <a:t> Breakdown</a:t>
            </a:r>
            <a:endParaRPr lang="en-US" sz="3200"/>
          </a:p>
        </c:rich>
      </c:tx>
      <c:layout>
        <c:manualLayout>
          <c:xMode val="edge"/>
          <c:yMode val="edge"/>
          <c:x val="0.32333916593760453"/>
          <c:y val="0"/>
        </c:manualLayout>
      </c:layout>
      <c:overlay val="0"/>
    </c:title>
    <c:autoTitleDeleted val="0"/>
    <c:plotArea>
      <c:layout>
        <c:manualLayout>
          <c:layoutTarget val="inner"/>
          <c:xMode val="edge"/>
          <c:yMode val="edge"/>
          <c:x val="0.11121463983668722"/>
          <c:y val="9.4153214213498759E-2"/>
          <c:w val="0.87759965826421749"/>
          <c:h val="0.59160285502997145"/>
        </c:manualLayout>
      </c:layout>
      <c:barChart>
        <c:barDir val="col"/>
        <c:grouping val="clustered"/>
        <c:varyColors val="0"/>
        <c:ser>
          <c:idx val="2"/>
          <c:order val="0"/>
          <c:invertIfNegative val="0"/>
          <c:cat>
            <c:strRef>
              <c:f>'Advanced Concept'!$B$30:$B$48</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'Advanced Concept'!$G$30:$G$48</c:f>
              <c:numCache>
                <c:formatCode>0.000</c:formatCode>
                <c:ptCount val="19"/>
                <c:pt idx="0">
                  <c:v>1.7815109568884251E-2</c:v>
                </c:pt>
                <c:pt idx="1">
                  <c:v>7.3069761394395388E-2</c:v>
                </c:pt>
                <c:pt idx="2">
                  <c:v>2.674696592446512E-2</c:v>
                </c:pt>
                <c:pt idx="3">
                  <c:v>3.7640240574941336E-2</c:v>
                </c:pt>
                <c:pt idx="4">
                  <c:v>2.9111570365581048E-2</c:v>
                </c:pt>
                <c:pt idx="5">
                  <c:v>2.4248682729429632E-2</c:v>
                </c:pt>
                <c:pt idx="6">
                  <c:v>0</c:v>
                </c:pt>
                <c:pt idx="7">
                  <c:v>0</c:v>
                </c:pt>
                <c:pt idx="8">
                  <c:v>0</c:v>
                </c:pt>
                <c:pt idx="9">
                  <c:v>3.596945060359695E-2</c:v>
                </c:pt>
                <c:pt idx="10">
                  <c:v>4.1608460898294827E-2</c:v>
                </c:pt>
                <c:pt idx="11">
                  <c:v>2.4636610002463661E-2</c:v>
                </c:pt>
                <c:pt idx="12">
                  <c:v>1.8019874179974246E-2</c:v>
                </c:pt>
                <c:pt idx="13">
                  <c:v>1.7839675438174503E-2</c:v>
                </c:pt>
                <c:pt idx="14">
                  <c:v>3.4491254003449129E-2</c:v>
                </c:pt>
                <c:pt idx="15">
                  <c:v>2.3158413402315843E-2</c:v>
                </c:pt>
                <c:pt idx="16">
                  <c:v>2.2172949002217299E-3</c:v>
                </c:pt>
                <c:pt idx="17">
                  <c:v>0</c:v>
                </c:pt>
                <c:pt idx="18">
                  <c:v>0</c:v>
                </c:pt>
              </c:numCache>
            </c:numRef>
          </c:val>
          <c:extLst>
            <c:ext xmlns:c16="http://schemas.microsoft.com/office/drawing/2014/chart" uri="{C3380CC4-5D6E-409C-BE32-E72D297353CC}">
              <c16:uniqueId val="{00000000-C2E3-44A9-86E3-0B24E78B34FC}"/>
            </c:ext>
          </c:extLst>
        </c:ser>
        <c:dLbls>
          <c:showLegendKey val="0"/>
          <c:showVal val="0"/>
          <c:showCatName val="0"/>
          <c:showSerName val="0"/>
          <c:showPercent val="0"/>
          <c:showBubbleSize val="0"/>
        </c:dLbls>
        <c:gapWidth val="50"/>
        <c:overlap val="8"/>
        <c:axId val="177627520"/>
        <c:axId val="177629056"/>
      </c:barChart>
      <c:catAx>
        <c:axId val="177627520"/>
        <c:scaling>
          <c:orientation val="minMax"/>
        </c:scaling>
        <c:delete val="0"/>
        <c:axPos val="b"/>
        <c:numFmt formatCode="General" sourceLinked="0"/>
        <c:majorTickMark val="out"/>
        <c:minorTickMark val="none"/>
        <c:tickLblPos val="nextTo"/>
        <c:txPr>
          <a:bodyPr/>
          <a:lstStyle/>
          <a:p>
            <a:pPr>
              <a:defRPr sz="1800" b="0"/>
            </a:pPr>
            <a:endParaRPr lang="en-US"/>
          </a:p>
        </c:txPr>
        <c:crossAx val="177629056"/>
        <c:crosses val="autoZero"/>
        <c:auto val="1"/>
        <c:lblAlgn val="ctr"/>
        <c:lblOffset val="20"/>
        <c:tickMarkSkip val="1"/>
        <c:noMultiLvlLbl val="0"/>
      </c:catAx>
      <c:valAx>
        <c:axId val="177629056"/>
        <c:scaling>
          <c:orientation val="minMax"/>
        </c:scaling>
        <c:delete val="0"/>
        <c:axPos val="l"/>
        <c:majorGridlines>
          <c:spPr>
            <a:ln>
              <a:prstDash val="dash"/>
            </a:ln>
          </c:spPr>
        </c:majorGridlines>
        <c:title>
          <c:tx>
            <c:rich>
              <a:bodyPr rot="-5400000" vert="horz"/>
              <a:lstStyle/>
              <a:p>
                <a:pPr>
                  <a:defRPr sz="2000"/>
                </a:pPr>
                <a:r>
                  <a:rPr lang="en-US" sz="2000"/>
                  <a:t>Cost</a:t>
                </a:r>
                <a:r>
                  <a:rPr lang="en-US" sz="2000" baseline="0"/>
                  <a:t> [$/W</a:t>
                </a:r>
                <a:r>
                  <a:rPr lang="en-US" sz="2000" baseline="-25000"/>
                  <a:t>p</a:t>
                </a:r>
                <a:r>
                  <a:rPr lang="en-US" sz="2000" baseline="0"/>
                  <a:t>]</a:t>
                </a:r>
                <a:endParaRPr lang="en-US" sz="2000"/>
              </a:p>
            </c:rich>
          </c:tx>
          <c:overlay val="0"/>
        </c:title>
        <c:numFmt formatCode="0.00" sourceLinked="0"/>
        <c:majorTickMark val="out"/>
        <c:minorTickMark val="none"/>
        <c:tickLblPos val="nextTo"/>
        <c:txPr>
          <a:bodyPr/>
          <a:lstStyle/>
          <a:p>
            <a:pPr>
              <a:defRPr sz="2000"/>
            </a:pPr>
            <a:endParaRPr lang="en-US"/>
          </a:p>
        </c:txPr>
        <c:crossAx val="177627520"/>
        <c:crosses val="autoZero"/>
        <c:crossBetween val="between"/>
      </c:valAx>
      <c:spPr>
        <a:ln w="3175">
          <a:solidFill>
            <a:schemeClr val="bg1">
              <a:lumMod val="50000"/>
            </a:schemeClr>
          </a:solidFill>
        </a:ln>
      </c:spPr>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Module Cost</a:t>
            </a:r>
            <a:r>
              <a:rPr lang="en-US" sz="3200" baseline="0"/>
              <a:t> Breakdown</a:t>
            </a:r>
            <a:endParaRPr lang="en-US" sz="3200"/>
          </a:p>
        </c:rich>
      </c:tx>
      <c:layout>
        <c:manualLayout>
          <c:xMode val="edge"/>
          <c:yMode val="edge"/>
          <c:x val="0.32333916593760509"/>
          <c:y val="0"/>
        </c:manualLayout>
      </c:layout>
      <c:overlay val="0"/>
    </c:title>
    <c:autoTitleDeleted val="0"/>
    <c:plotArea>
      <c:layout>
        <c:manualLayout>
          <c:layoutTarget val="inner"/>
          <c:xMode val="edge"/>
          <c:yMode val="edge"/>
          <c:x val="0.11121463983668722"/>
          <c:y val="9.4153214213498759E-2"/>
          <c:w val="0.87759965826421804"/>
          <c:h val="0.59160285502997145"/>
        </c:manualLayout>
      </c:layout>
      <c:barChart>
        <c:barDir val="col"/>
        <c:grouping val="clustered"/>
        <c:varyColors val="0"/>
        <c:ser>
          <c:idx val="2"/>
          <c:order val="0"/>
          <c:invertIfNegative val="0"/>
          <c:cat>
            <c:strRef>
              <c:f>'Adv Concept Waterfall 1'!$B$30:$B$48</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'Adv Concept Waterfall 1'!$G$30:$G$48</c:f>
              <c:numCache>
                <c:formatCode>0.000</c:formatCode>
                <c:ptCount val="19"/>
                <c:pt idx="0">
                  <c:v>6.8910048305919014E-2</c:v>
                </c:pt>
                <c:pt idx="1">
                  <c:v>5.559622487453194E-2</c:v>
                </c:pt>
                <c:pt idx="2">
                  <c:v>2.1874865664185922E-2</c:v>
                </c:pt>
                <c:pt idx="3">
                  <c:v>5.6754443976746095E-2</c:v>
                </c:pt>
                <c:pt idx="4">
                  <c:v>3.1860459512740885E-2</c:v>
                </c:pt>
                <c:pt idx="5">
                  <c:v>2.3883124698332699E-2</c:v>
                </c:pt>
                <c:pt idx="6">
                  <c:v>3.9889684897939813E-3</c:v>
                </c:pt>
                <c:pt idx="7">
                  <c:v>1.2921063858929457E-2</c:v>
                </c:pt>
                <c:pt idx="8">
                  <c:v>1.5212758101686801E-2</c:v>
                </c:pt>
                <c:pt idx="9">
                  <c:v>3.5788699595538674E-2</c:v>
                </c:pt>
                <c:pt idx="10">
                  <c:v>4.1399373155087314E-2</c:v>
                </c:pt>
                <c:pt idx="11">
                  <c:v>2.4512807942149776E-2</c:v>
                </c:pt>
                <c:pt idx="12">
                  <c:v>1.7929322048416584E-2</c:v>
                </c:pt>
                <c:pt idx="13">
                  <c:v>1.7839675438174503E-2</c:v>
                </c:pt>
                <c:pt idx="14">
                  <c:v>3.4317931119009687E-2</c:v>
                </c:pt>
                <c:pt idx="15">
                  <c:v>2.3042039465620789E-2</c:v>
                </c:pt>
                <c:pt idx="16">
                  <c:v>2.2061527147934799E-3</c:v>
                </c:pt>
                <c:pt idx="17">
                  <c:v>6.3386492090361677E-3</c:v>
                </c:pt>
                <c:pt idx="18">
                  <c:v>0</c:v>
                </c:pt>
              </c:numCache>
            </c:numRef>
          </c:val>
          <c:extLst>
            <c:ext xmlns:c16="http://schemas.microsoft.com/office/drawing/2014/chart" uri="{C3380CC4-5D6E-409C-BE32-E72D297353CC}">
              <c16:uniqueId val="{00000000-FFA3-48E6-8DAE-CC2CFFF3290A}"/>
            </c:ext>
          </c:extLst>
        </c:ser>
        <c:dLbls>
          <c:showLegendKey val="0"/>
          <c:showVal val="0"/>
          <c:showCatName val="0"/>
          <c:showSerName val="0"/>
          <c:showPercent val="0"/>
          <c:showBubbleSize val="0"/>
        </c:dLbls>
        <c:gapWidth val="50"/>
        <c:overlap val="8"/>
        <c:axId val="177904256"/>
        <c:axId val="177926528"/>
      </c:barChart>
      <c:catAx>
        <c:axId val="177904256"/>
        <c:scaling>
          <c:orientation val="minMax"/>
        </c:scaling>
        <c:delete val="0"/>
        <c:axPos val="b"/>
        <c:numFmt formatCode="General" sourceLinked="0"/>
        <c:majorTickMark val="in"/>
        <c:minorTickMark val="none"/>
        <c:tickLblPos val="nextTo"/>
        <c:txPr>
          <a:bodyPr/>
          <a:lstStyle/>
          <a:p>
            <a:pPr>
              <a:defRPr sz="1800" b="0"/>
            </a:pPr>
            <a:endParaRPr lang="en-US"/>
          </a:p>
        </c:txPr>
        <c:crossAx val="177926528"/>
        <c:crosses val="autoZero"/>
        <c:auto val="1"/>
        <c:lblAlgn val="ctr"/>
        <c:lblOffset val="20"/>
        <c:tickMarkSkip val="1"/>
        <c:noMultiLvlLbl val="0"/>
      </c:catAx>
      <c:valAx>
        <c:axId val="177926528"/>
        <c:scaling>
          <c:orientation val="minMax"/>
        </c:scaling>
        <c:delete val="0"/>
        <c:axPos val="l"/>
        <c:majorGridlines>
          <c:spPr>
            <a:ln>
              <a:prstDash val="dash"/>
            </a:ln>
          </c:spPr>
        </c:majorGridlines>
        <c:title>
          <c:tx>
            <c:rich>
              <a:bodyPr rot="-5400000" vert="horz"/>
              <a:lstStyle/>
              <a:p>
                <a:pPr>
                  <a:defRPr sz="2000"/>
                </a:pPr>
                <a:r>
                  <a:rPr lang="en-US" sz="2000"/>
                  <a:t>Cost</a:t>
                </a:r>
                <a:r>
                  <a:rPr lang="en-US" sz="2000" baseline="0"/>
                  <a:t> [$/W</a:t>
                </a:r>
                <a:r>
                  <a:rPr lang="en-US" sz="2000" baseline="-25000"/>
                  <a:t>p</a:t>
                </a:r>
                <a:r>
                  <a:rPr lang="en-US" sz="2000" baseline="0"/>
                  <a:t>]</a:t>
                </a:r>
                <a:endParaRPr lang="en-US" sz="2000"/>
              </a:p>
            </c:rich>
          </c:tx>
          <c:overlay val="0"/>
        </c:title>
        <c:numFmt formatCode="0.00" sourceLinked="0"/>
        <c:majorTickMark val="in"/>
        <c:minorTickMark val="none"/>
        <c:tickLblPos val="nextTo"/>
        <c:txPr>
          <a:bodyPr/>
          <a:lstStyle/>
          <a:p>
            <a:pPr>
              <a:defRPr sz="2000"/>
            </a:pPr>
            <a:endParaRPr lang="en-US"/>
          </a:p>
        </c:txPr>
        <c:crossAx val="177904256"/>
        <c:crosses val="autoZero"/>
        <c:crossBetween val="between"/>
      </c:valAx>
      <c:spPr>
        <a:ln w="3175">
          <a:solidFill>
            <a:schemeClr val="bg1">
              <a:lumMod val="50000"/>
            </a:schemeClr>
          </a:solidFill>
        </a:ln>
      </c:spPr>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t>Module Cost</a:t>
            </a:r>
            <a:r>
              <a:rPr lang="en-US" sz="3200" baseline="0"/>
              <a:t> Breakdown</a:t>
            </a:r>
            <a:endParaRPr lang="en-US" sz="3200"/>
          </a:p>
        </c:rich>
      </c:tx>
      <c:layout>
        <c:manualLayout>
          <c:xMode val="edge"/>
          <c:yMode val="edge"/>
          <c:x val="0.32333916593760542"/>
          <c:y val="0"/>
        </c:manualLayout>
      </c:layout>
      <c:overlay val="0"/>
    </c:title>
    <c:autoTitleDeleted val="0"/>
    <c:plotArea>
      <c:layout>
        <c:manualLayout>
          <c:layoutTarget val="inner"/>
          <c:xMode val="edge"/>
          <c:yMode val="edge"/>
          <c:x val="0.11121463983668722"/>
          <c:y val="9.4153214213498759E-2"/>
          <c:w val="0.87759965826421826"/>
          <c:h val="0.59160285502997145"/>
        </c:manualLayout>
      </c:layout>
      <c:barChart>
        <c:barDir val="col"/>
        <c:grouping val="clustered"/>
        <c:varyColors val="0"/>
        <c:ser>
          <c:idx val="2"/>
          <c:order val="0"/>
          <c:invertIfNegative val="0"/>
          <c:cat>
            <c:strRef>
              <c:f>'Adv Concept Waterfall 2'!$B$30:$B$48</c:f>
              <c:strCache>
                <c:ptCount val="19"/>
                <c:pt idx="0">
                  <c:v>Silicon Feedstock</c:v>
                </c:pt>
                <c:pt idx="1">
                  <c:v>Depreciation</c:v>
                </c:pt>
                <c:pt idx="2">
                  <c:v>Maintenance</c:v>
                </c:pt>
                <c:pt idx="3">
                  <c:v>Labor</c:v>
                </c:pt>
                <c:pt idx="4">
                  <c:v>Input Electricity</c:v>
                </c:pt>
                <c:pt idx="5">
                  <c:v>Metal Paste</c:v>
                </c:pt>
                <c:pt idx="6">
                  <c:v>Crucible</c:v>
                </c:pt>
                <c:pt idx="7">
                  <c:v>Wire</c:v>
                </c:pt>
                <c:pt idx="8">
                  <c:v>Slurry</c:v>
                </c:pt>
                <c:pt idx="9">
                  <c:v>Glass</c:v>
                </c:pt>
                <c:pt idx="10">
                  <c:v>Frame</c:v>
                </c:pt>
                <c:pt idx="11">
                  <c:v>Encapsulant</c:v>
                </c:pt>
                <c:pt idx="12">
                  <c:v>JB and Cable</c:v>
                </c:pt>
                <c:pt idx="13">
                  <c:v>Chemicals</c:v>
                </c:pt>
                <c:pt idx="14">
                  <c:v>Backsheet</c:v>
                </c:pt>
                <c:pt idx="15">
                  <c:v>Ribbon</c:v>
                </c:pt>
                <c:pt idx="16">
                  <c:v>Packaging</c:v>
                </c:pt>
                <c:pt idx="17">
                  <c:v>Screens</c:v>
                </c:pt>
                <c:pt idx="18">
                  <c:v>Shipping costs</c:v>
                </c:pt>
              </c:strCache>
            </c:strRef>
          </c:cat>
          <c:val>
            <c:numRef>
              <c:f>'Adv Concept Waterfall 2'!$G$30:$G$48</c:f>
              <c:numCache>
                <c:formatCode>0.000</c:formatCode>
                <c:ptCount val="19"/>
                <c:pt idx="0">
                  <c:v>1.754654007789605E-2</c:v>
                </c:pt>
                <c:pt idx="1">
                  <c:v>5.559622487453194E-2</c:v>
                </c:pt>
                <c:pt idx="2">
                  <c:v>2.1874865664185922E-2</c:v>
                </c:pt>
                <c:pt idx="3">
                  <c:v>5.6754443976746095E-2</c:v>
                </c:pt>
                <c:pt idx="4">
                  <c:v>2.8679270165573752E-2</c:v>
                </c:pt>
                <c:pt idx="5">
                  <c:v>2.3883124698332699E-2</c:v>
                </c:pt>
                <c:pt idx="6">
                  <c:v>1.0157095691605048E-3</c:v>
                </c:pt>
                <c:pt idx="7">
                  <c:v>9.3031659784292078E-3</c:v>
                </c:pt>
                <c:pt idx="8">
                  <c:v>1.5212758101686801E-2</c:v>
                </c:pt>
                <c:pt idx="9">
                  <c:v>3.5788699595538674E-2</c:v>
                </c:pt>
                <c:pt idx="10">
                  <c:v>4.1399373155087314E-2</c:v>
                </c:pt>
                <c:pt idx="11">
                  <c:v>2.4512807942149776E-2</c:v>
                </c:pt>
                <c:pt idx="12">
                  <c:v>1.7929322048416584E-2</c:v>
                </c:pt>
                <c:pt idx="13">
                  <c:v>1.7839675438174503E-2</c:v>
                </c:pt>
                <c:pt idx="14">
                  <c:v>3.4317931119009687E-2</c:v>
                </c:pt>
                <c:pt idx="15">
                  <c:v>2.3042039465620789E-2</c:v>
                </c:pt>
                <c:pt idx="16">
                  <c:v>2.2061527147934799E-3</c:v>
                </c:pt>
                <c:pt idx="17">
                  <c:v>6.3386492090361677E-3</c:v>
                </c:pt>
                <c:pt idx="18">
                  <c:v>0</c:v>
                </c:pt>
              </c:numCache>
            </c:numRef>
          </c:val>
          <c:extLst>
            <c:ext xmlns:c16="http://schemas.microsoft.com/office/drawing/2014/chart" uri="{C3380CC4-5D6E-409C-BE32-E72D297353CC}">
              <c16:uniqueId val="{00000000-0453-4F08-94BB-4F49C0DF0EC9}"/>
            </c:ext>
          </c:extLst>
        </c:ser>
        <c:dLbls>
          <c:showLegendKey val="0"/>
          <c:showVal val="0"/>
          <c:showCatName val="0"/>
          <c:showSerName val="0"/>
          <c:showPercent val="0"/>
          <c:showBubbleSize val="0"/>
        </c:dLbls>
        <c:gapWidth val="50"/>
        <c:overlap val="8"/>
        <c:axId val="177808512"/>
        <c:axId val="177810048"/>
      </c:barChart>
      <c:catAx>
        <c:axId val="177808512"/>
        <c:scaling>
          <c:orientation val="minMax"/>
        </c:scaling>
        <c:delete val="0"/>
        <c:axPos val="b"/>
        <c:numFmt formatCode="General" sourceLinked="0"/>
        <c:majorTickMark val="in"/>
        <c:minorTickMark val="none"/>
        <c:tickLblPos val="nextTo"/>
        <c:txPr>
          <a:bodyPr/>
          <a:lstStyle/>
          <a:p>
            <a:pPr>
              <a:defRPr sz="1800" b="0"/>
            </a:pPr>
            <a:endParaRPr lang="en-US"/>
          </a:p>
        </c:txPr>
        <c:crossAx val="177810048"/>
        <c:crosses val="autoZero"/>
        <c:auto val="1"/>
        <c:lblAlgn val="ctr"/>
        <c:lblOffset val="20"/>
        <c:tickMarkSkip val="1"/>
        <c:noMultiLvlLbl val="0"/>
      </c:catAx>
      <c:valAx>
        <c:axId val="177810048"/>
        <c:scaling>
          <c:orientation val="minMax"/>
        </c:scaling>
        <c:delete val="0"/>
        <c:axPos val="l"/>
        <c:majorGridlines>
          <c:spPr>
            <a:ln>
              <a:prstDash val="dash"/>
            </a:ln>
          </c:spPr>
        </c:majorGridlines>
        <c:title>
          <c:tx>
            <c:rich>
              <a:bodyPr rot="-5400000" vert="horz"/>
              <a:lstStyle/>
              <a:p>
                <a:pPr>
                  <a:defRPr sz="2000"/>
                </a:pPr>
                <a:r>
                  <a:rPr lang="en-US" sz="2000"/>
                  <a:t>Cost</a:t>
                </a:r>
                <a:r>
                  <a:rPr lang="en-US" sz="2000" baseline="0"/>
                  <a:t> [$/W</a:t>
                </a:r>
                <a:r>
                  <a:rPr lang="en-US" sz="2000" baseline="-25000"/>
                  <a:t>p</a:t>
                </a:r>
                <a:r>
                  <a:rPr lang="en-US" sz="2000" baseline="0"/>
                  <a:t>]</a:t>
                </a:r>
                <a:endParaRPr lang="en-US" sz="2000"/>
              </a:p>
            </c:rich>
          </c:tx>
          <c:overlay val="0"/>
        </c:title>
        <c:numFmt formatCode="0.00" sourceLinked="0"/>
        <c:majorTickMark val="in"/>
        <c:minorTickMark val="none"/>
        <c:tickLblPos val="nextTo"/>
        <c:txPr>
          <a:bodyPr/>
          <a:lstStyle/>
          <a:p>
            <a:pPr>
              <a:defRPr sz="2000"/>
            </a:pPr>
            <a:endParaRPr lang="en-US"/>
          </a:p>
        </c:txPr>
        <c:crossAx val="177808512"/>
        <c:crosses val="autoZero"/>
        <c:crossBetween val="between"/>
      </c:valAx>
      <c:spPr>
        <a:ln w="3175">
          <a:solidFill>
            <a:schemeClr val="bg1">
              <a:lumMod val="50000"/>
            </a:schemeClr>
          </a:solidFill>
        </a:ln>
      </c:spPr>
    </c:plotArea>
    <c:plotVisOnly val="1"/>
    <c:dispBlanksAs val="gap"/>
    <c:showDLblsOverMax val="0"/>
  </c:chart>
  <c:spPr>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1005841</xdr:colOff>
      <xdr:row>0</xdr:row>
      <xdr:rowOff>159140</xdr:rowOff>
    </xdr:from>
    <xdr:to>
      <xdr:col>21</xdr:col>
      <xdr:colOff>153475</xdr:colOff>
      <xdr:row>38</xdr:row>
      <xdr:rowOff>45720</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693420</xdr:colOff>
      <xdr:row>43</xdr:row>
      <xdr:rowOff>76200</xdr:rowOff>
    </xdr:from>
    <xdr:to>
      <xdr:col>28</xdr:col>
      <xdr:colOff>1303020</xdr:colOff>
      <xdr:row>87</xdr:row>
      <xdr:rowOff>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25687020" y="10515600"/>
          <a:ext cx="609600" cy="10744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twoCellAnchor>
    <xdr:from>
      <xdr:col>21</xdr:col>
      <xdr:colOff>419100</xdr:colOff>
      <xdr:row>70</xdr:row>
      <xdr:rowOff>0</xdr:rowOff>
    </xdr:from>
    <xdr:to>
      <xdr:col>25</xdr:col>
      <xdr:colOff>188686</xdr:colOff>
      <xdr:row>70</xdr:row>
      <xdr:rowOff>0</xdr:rowOff>
    </xdr:to>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28054300" y="13576300"/>
          <a:ext cx="2207986" cy="4027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0" rIns="0" rtlCol="0" anchor="t"/>
        <a:lstStyle/>
        <a:p>
          <a:pPr algn="ctr" rtl="0"/>
          <a:r>
            <a:rPr lang="en-US" sz="2000" b="1" i="0" baseline="0">
              <a:solidFill>
                <a:schemeClr val="dk1"/>
              </a:solidFill>
              <a:latin typeface="+mn-lt"/>
              <a:ea typeface="+mn-ea"/>
              <a:cs typeface="+mn-cs"/>
            </a:rPr>
            <a:t>Cost [US$/W</a:t>
          </a:r>
          <a:r>
            <a:rPr lang="en-US" sz="2000" b="1" i="0" baseline="-25000">
              <a:solidFill>
                <a:schemeClr val="dk1"/>
              </a:solidFill>
              <a:latin typeface="+mn-lt"/>
              <a:ea typeface="+mn-ea"/>
              <a:cs typeface="+mn-cs"/>
            </a:rPr>
            <a:t>p</a:t>
          </a:r>
          <a:r>
            <a:rPr lang="en-US" sz="2000" b="1" i="0" baseline="0">
              <a:solidFill>
                <a:schemeClr val="dk1"/>
              </a:solidFill>
              <a:latin typeface="+mn-lt"/>
              <a:ea typeface="+mn-ea"/>
              <a:cs typeface="+mn-cs"/>
            </a:rPr>
            <a:t>]</a:t>
          </a:r>
          <a:endParaRPr lang="en-US" sz="2000"/>
        </a:p>
      </xdr:txBody>
    </xdr:sp>
    <xdr:clientData/>
  </xdr:twoCellAnchor>
  <xdr:twoCellAnchor>
    <xdr:from>
      <xdr:col>10</xdr:col>
      <xdr:colOff>76200</xdr:colOff>
      <xdr:row>45</xdr:row>
      <xdr:rowOff>12700</xdr:rowOff>
    </xdr:from>
    <xdr:to>
      <xdr:col>23</xdr:col>
      <xdr:colOff>192443</xdr:colOff>
      <xdr:row>112</xdr:row>
      <xdr:rowOff>0</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18611850" y="8823326"/>
          <a:ext cx="14937143" cy="12369800"/>
          <a:chOff x="13931900" y="19783425"/>
          <a:chExt cx="13333380" cy="12868275"/>
        </a:xfrm>
      </xdr:grpSpPr>
      <xdr:graphicFrame macro="">
        <xdr:nvGraphicFramePr>
          <xdr:cNvPr id="25" name="Chart 24">
            <a:extLst>
              <a:ext uri="{FF2B5EF4-FFF2-40B4-BE49-F238E27FC236}">
                <a16:creationId xmlns:a16="http://schemas.microsoft.com/office/drawing/2014/main" id="{00000000-0008-0000-0100-000019000000}"/>
              </a:ext>
            </a:extLst>
          </xdr:cNvPr>
          <xdr:cNvGraphicFramePr/>
        </xdr:nvGraphicFramePr>
        <xdr:xfrm>
          <a:off x="13931900" y="19783425"/>
          <a:ext cx="12936063" cy="128682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24015326" y="20551511"/>
            <a:ext cx="3035184" cy="46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400" b="1" u="sng">
                <a:solidFill>
                  <a:schemeClr val="accent4">
                    <a:lumMod val="75000"/>
                  </a:schemeClr>
                </a:solidFill>
              </a:rPr>
              <a:t>Module                           .</a:t>
            </a:r>
          </a:p>
        </xdr:txBody>
      </xdr:sp>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24041366" y="24657103"/>
            <a:ext cx="3062602" cy="427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400" b="1" u="sng">
                <a:solidFill>
                  <a:schemeClr val="accent2">
                    <a:lumMod val="75000"/>
                  </a:schemeClr>
                </a:solidFill>
              </a:rPr>
              <a:t>Cell                                  .</a:t>
            </a:r>
          </a:p>
        </xdr:txBody>
      </xdr:sp>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24025313" y="27533136"/>
            <a:ext cx="3239967" cy="405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400" b="1" u="sng">
                <a:solidFill>
                  <a:schemeClr val="accent1">
                    <a:lumMod val="75000"/>
                  </a:schemeClr>
                </a:solidFill>
              </a:rPr>
              <a:t>Wafer                              .1</a:t>
            </a:r>
          </a:p>
        </xdr:txBody>
      </xdr:sp>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26143917" y="20184005"/>
            <a:ext cx="980126" cy="10245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grpSp>
    <xdr:clientData/>
  </xdr:twoCellAnchor>
  <xdr:twoCellAnchor>
    <xdr:from>
      <xdr:col>25</xdr:col>
      <xdr:colOff>441960</xdr:colOff>
      <xdr:row>43</xdr:row>
      <xdr:rowOff>289560</xdr:rowOff>
    </xdr:from>
    <xdr:to>
      <xdr:col>67</xdr:col>
      <xdr:colOff>574441</xdr:colOff>
      <xdr:row>110</xdr:row>
      <xdr:rowOff>124460</xdr:rowOff>
    </xdr:to>
    <xdr:graphicFrame macro="">
      <xdr:nvGraphicFramePr>
        <xdr:cNvPr id="105" name="Chart 104">
          <a:extLst>
            <a:ext uri="{FF2B5EF4-FFF2-40B4-BE49-F238E27FC236}">
              <a16:creationId xmlns:a16="http://schemas.microsoft.com/office/drawing/2014/main" id="{00000000-0008-0000-0100-00006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55</xdr:col>
      <xdr:colOff>48204</xdr:colOff>
      <xdr:row>48</xdr:row>
      <xdr:rowOff>61556</xdr:rowOff>
    </xdr:from>
    <xdr:to>
      <xdr:col>67</xdr:col>
      <xdr:colOff>369264</xdr:colOff>
      <xdr:row>50</xdr:row>
      <xdr:rowOff>129539</xdr:rowOff>
    </xdr:to>
    <xdr:sp macro="" textlink="">
      <xdr:nvSpPr>
        <xdr:cNvPr id="106" name="TextBox 105">
          <a:extLst>
            <a:ext uri="{FF2B5EF4-FFF2-40B4-BE49-F238E27FC236}">
              <a16:creationId xmlns:a16="http://schemas.microsoft.com/office/drawing/2014/main" id="{00000000-0008-0000-0100-00006A000000}"/>
            </a:ext>
          </a:extLst>
        </xdr:cNvPr>
        <xdr:cNvSpPr txBox="1"/>
      </xdr:nvSpPr>
      <xdr:spPr>
        <a:xfrm>
          <a:off x="44383904" y="9307156"/>
          <a:ext cx="2911860" cy="423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400" b="1" u="sng">
              <a:solidFill>
                <a:schemeClr val="accent4">
                  <a:lumMod val="75000"/>
                </a:schemeClr>
              </a:solidFill>
            </a:rPr>
            <a:t>Module                       .</a:t>
          </a:r>
        </a:p>
      </xdr:txBody>
    </xdr:sp>
    <xdr:clientData/>
  </xdr:twoCellAnchor>
  <xdr:twoCellAnchor>
    <xdr:from>
      <xdr:col>55</xdr:col>
      <xdr:colOff>53371</xdr:colOff>
      <xdr:row>70</xdr:row>
      <xdr:rowOff>64376</xdr:rowOff>
    </xdr:from>
    <xdr:to>
      <xdr:col>68</xdr:col>
      <xdr:colOff>23999</xdr:colOff>
      <xdr:row>72</xdr:row>
      <xdr:rowOff>135496</xdr:rowOff>
    </xdr:to>
    <xdr:sp macro="" textlink="">
      <xdr:nvSpPr>
        <xdr:cNvPr id="107" name="TextBox 106">
          <a:extLst>
            <a:ext uri="{FF2B5EF4-FFF2-40B4-BE49-F238E27FC236}">
              <a16:creationId xmlns:a16="http://schemas.microsoft.com/office/drawing/2014/main" id="{00000000-0008-0000-0100-00006B000000}"/>
            </a:ext>
          </a:extLst>
        </xdr:cNvPr>
        <xdr:cNvSpPr txBox="1"/>
      </xdr:nvSpPr>
      <xdr:spPr>
        <a:xfrm>
          <a:off x="44389071" y="13297776"/>
          <a:ext cx="3171028"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400" b="1" u="sng">
              <a:solidFill>
                <a:schemeClr val="accent2">
                  <a:lumMod val="75000"/>
                </a:schemeClr>
              </a:solidFill>
            </a:rPr>
            <a:t>Cell                               .</a:t>
          </a:r>
        </a:p>
      </xdr:txBody>
    </xdr:sp>
    <xdr:clientData/>
  </xdr:twoCellAnchor>
  <xdr:twoCellAnchor>
    <xdr:from>
      <xdr:col>55</xdr:col>
      <xdr:colOff>56607</xdr:colOff>
      <xdr:row>85</xdr:row>
      <xdr:rowOff>60856</xdr:rowOff>
    </xdr:from>
    <xdr:to>
      <xdr:col>68</xdr:col>
      <xdr:colOff>249884</xdr:colOff>
      <xdr:row>87</xdr:row>
      <xdr:rowOff>140576</xdr:rowOff>
    </xdr:to>
    <xdr:sp macro="" textlink="">
      <xdr:nvSpPr>
        <xdr:cNvPr id="108" name="TextBox 107">
          <a:extLst>
            <a:ext uri="{FF2B5EF4-FFF2-40B4-BE49-F238E27FC236}">
              <a16:creationId xmlns:a16="http://schemas.microsoft.com/office/drawing/2014/main" id="{00000000-0008-0000-0100-00006C000000}"/>
            </a:ext>
          </a:extLst>
        </xdr:cNvPr>
        <xdr:cNvSpPr txBox="1"/>
      </xdr:nvSpPr>
      <xdr:spPr>
        <a:xfrm>
          <a:off x="44392307" y="15973956"/>
          <a:ext cx="3393677" cy="43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2400" b="1" u="sng">
              <a:solidFill>
                <a:schemeClr val="accent1">
                  <a:lumMod val="75000"/>
                </a:schemeClr>
              </a:solidFill>
            </a:rPr>
            <a:t>Wafer                          .1</a:t>
          </a:r>
        </a:p>
      </xdr:txBody>
    </xdr:sp>
    <xdr:clientData/>
  </xdr:twoCellAnchor>
  <xdr:twoCellAnchor>
    <xdr:from>
      <xdr:col>66</xdr:col>
      <xdr:colOff>21949</xdr:colOff>
      <xdr:row>46</xdr:row>
      <xdr:rowOff>27415</xdr:rowOff>
    </xdr:from>
    <xdr:to>
      <xdr:col>67</xdr:col>
      <xdr:colOff>476846</xdr:colOff>
      <xdr:row>98</xdr:row>
      <xdr:rowOff>95832</xdr:rowOff>
    </xdr:to>
    <xdr:sp macro="" textlink="">
      <xdr:nvSpPr>
        <xdr:cNvPr id="109" name="TextBox 108">
          <a:extLst>
            <a:ext uri="{FF2B5EF4-FFF2-40B4-BE49-F238E27FC236}">
              <a16:creationId xmlns:a16="http://schemas.microsoft.com/office/drawing/2014/main" id="{00000000-0008-0000-0100-00006D000000}"/>
            </a:ext>
          </a:extLst>
        </xdr:cNvPr>
        <xdr:cNvSpPr txBox="1"/>
      </xdr:nvSpPr>
      <xdr:spPr>
        <a:xfrm>
          <a:off x="46732549" y="8561815"/>
          <a:ext cx="670797" cy="101141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twoCellAnchor>
    <xdr:from>
      <xdr:col>28</xdr:col>
      <xdr:colOff>139700</xdr:colOff>
      <xdr:row>46</xdr:row>
      <xdr:rowOff>101600</xdr:rowOff>
    </xdr:from>
    <xdr:to>
      <xdr:col>55</xdr:col>
      <xdr:colOff>0</xdr:colOff>
      <xdr:row>50</xdr:row>
      <xdr:rowOff>152400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35102800" y="8991600"/>
          <a:ext cx="92329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0"/>
          <a:r>
            <a:rPr lang="en-US" sz="3600" b="1" i="0" baseline="0">
              <a:solidFill>
                <a:schemeClr val="dk1"/>
              </a:solidFill>
              <a:latin typeface="+mn-lt"/>
              <a:ea typeface="+mn-ea"/>
              <a:cs typeface="+mn-cs"/>
            </a:rPr>
            <a:t>U.S. Module Estimates</a:t>
          </a:r>
          <a:endParaRPr lang="en-US" sz="3600"/>
        </a:p>
      </xdr:txBody>
    </xdr:sp>
    <xdr:clientData/>
  </xdr:twoCellAnchor>
  <xdr:twoCellAnchor>
    <xdr:from>
      <xdr:col>10</xdr:col>
      <xdr:colOff>1473200</xdr:colOff>
      <xdr:row>47</xdr:row>
      <xdr:rowOff>76200</xdr:rowOff>
    </xdr:from>
    <xdr:to>
      <xdr:col>19</xdr:col>
      <xdr:colOff>1397000</xdr:colOff>
      <xdr:row>51</xdr:row>
      <xdr:rowOff>127000</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9202400" y="9144000"/>
          <a:ext cx="92329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0"/>
          <a:r>
            <a:rPr lang="en-US" sz="3600" b="1" i="0" baseline="0">
              <a:solidFill>
                <a:schemeClr val="dk1"/>
              </a:solidFill>
              <a:latin typeface="+mn-lt"/>
              <a:ea typeface="+mn-ea"/>
              <a:cs typeface="+mn-cs"/>
            </a:rPr>
            <a:t>U.S. Module Estimates</a:t>
          </a:r>
          <a:endParaRPr lang="en-US" sz="3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157542</xdr:colOff>
      <xdr:row>0</xdr:row>
      <xdr:rowOff>127682</xdr:rowOff>
    </xdr:from>
    <xdr:to>
      <xdr:col>16</xdr:col>
      <xdr:colOff>604582</xdr:colOff>
      <xdr:row>26</xdr:row>
      <xdr:rowOff>76881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685799</xdr:colOff>
      <xdr:row>342</xdr:row>
      <xdr:rowOff>119742</xdr:rowOff>
    </xdr:from>
    <xdr:to>
      <xdr:col>19</xdr:col>
      <xdr:colOff>387894</xdr:colOff>
      <xdr:row>377</xdr:row>
      <xdr:rowOff>26487</xdr:rowOff>
    </xdr:to>
    <xdr:graphicFrame macro="">
      <xdr:nvGraphicFramePr>
        <xdr:cNvPr id="69" name="Chart 68">
          <a:extLst>
            <a:ext uri="{FF2B5EF4-FFF2-40B4-BE49-F238E27FC236}">
              <a16:creationId xmlns:a16="http://schemas.microsoft.com/office/drawing/2014/main" id="{00000000-0008-0000-02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226116</xdr:colOff>
      <xdr:row>358</xdr:row>
      <xdr:rowOff>30120</xdr:rowOff>
    </xdr:from>
    <xdr:to>
      <xdr:col>13</xdr:col>
      <xdr:colOff>705451</xdr:colOff>
      <xdr:row>360</xdr:row>
      <xdr:rowOff>158572</xdr:rowOff>
    </xdr:to>
    <xdr:sp macro="" textlink="">
      <xdr:nvSpPr>
        <xdr:cNvPr id="70" name="TextBox 1">
          <a:extLst>
            <a:ext uri="{FF2B5EF4-FFF2-40B4-BE49-F238E27FC236}">
              <a16:creationId xmlns:a16="http://schemas.microsoft.com/office/drawing/2014/main" id="{00000000-0008-0000-0200-000046000000}"/>
            </a:ext>
          </a:extLst>
        </xdr:cNvPr>
        <xdr:cNvSpPr txBox="1"/>
      </xdr:nvSpPr>
      <xdr:spPr>
        <a:xfrm>
          <a:off x="16351208" y="66406182"/>
          <a:ext cx="1780597" cy="491867"/>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800" cap="small">
              <a:solidFill>
                <a:sysClr val="window" lastClr="FFFFFF"/>
              </a:solidFill>
            </a:rPr>
            <a:t>Direct Labor</a:t>
          </a:r>
          <a:r>
            <a:rPr lang="en-US" sz="1800" cap="small" baseline="0">
              <a:solidFill>
                <a:sysClr val="window" lastClr="FFFFFF"/>
              </a:solidFill>
            </a:rPr>
            <a:t> </a:t>
          </a:r>
          <a:r>
            <a:rPr lang="en-US" sz="1800" cap="small">
              <a:solidFill>
                <a:sysClr val="window" lastClr="FFFFFF"/>
              </a:solidFill>
            </a:rPr>
            <a:t>10%</a:t>
          </a:r>
        </a:p>
      </xdr:txBody>
    </xdr:sp>
    <xdr:clientData/>
  </xdr:twoCellAnchor>
  <xdr:twoCellAnchor>
    <xdr:from>
      <xdr:col>12</xdr:col>
      <xdr:colOff>248138</xdr:colOff>
      <xdr:row>363</xdr:row>
      <xdr:rowOff>152961</xdr:rowOff>
    </xdr:from>
    <xdr:to>
      <xdr:col>13</xdr:col>
      <xdr:colOff>679450</xdr:colOff>
      <xdr:row>367</xdr:row>
      <xdr:rowOff>139095</xdr:rowOff>
    </xdr:to>
    <xdr:sp macro="" textlink="">
      <xdr:nvSpPr>
        <xdr:cNvPr id="71" name="TextBox 1">
          <a:extLst>
            <a:ext uri="{FF2B5EF4-FFF2-40B4-BE49-F238E27FC236}">
              <a16:creationId xmlns:a16="http://schemas.microsoft.com/office/drawing/2014/main" id="{00000000-0008-0000-0200-000047000000}"/>
            </a:ext>
          </a:extLst>
        </xdr:cNvPr>
        <xdr:cNvSpPr txBox="1"/>
      </xdr:nvSpPr>
      <xdr:spPr>
        <a:xfrm>
          <a:off x="16377138" y="68263061"/>
          <a:ext cx="1733062" cy="722734"/>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lnSpc>
              <a:spcPct val="70000"/>
            </a:lnSpc>
          </a:pPr>
          <a:r>
            <a:rPr lang="en-US" sz="1800" cap="small">
              <a:solidFill>
                <a:sysClr val="window" lastClr="FFFFFF"/>
              </a:solidFill>
            </a:rPr>
            <a:t>Direct Material</a:t>
          </a:r>
          <a:r>
            <a:rPr lang="en-US" sz="1800" cap="small" baseline="0">
              <a:solidFill>
                <a:sysClr val="window" lastClr="FFFFFF"/>
              </a:solidFill>
            </a:rPr>
            <a:t> </a:t>
          </a:r>
          <a:r>
            <a:rPr lang="en-US" sz="1800" cap="small">
              <a:solidFill>
                <a:sysClr val="window" lastClr="FFFFFF"/>
              </a:solidFill>
            </a:rPr>
            <a:t>55%</a:t>
          </a:r>
        </a:p>
      </xdr:txBody>
    </xdr:sp>
    <xdr:clientData/>
  </xdr:twoCellAnchor>
  <xdr:twoCellAnchor>
    <xdr:from>
      <xdr:col>12</xdr:col>
      <xdr:colOff>205676</xdr:colOff>
      <xdr:row>353</xdr:row>
      <xdr:rowOff>168273</xdr:rowOff>
    </xdr:from>
    <xdr:to>
      <xdr:col>13</xdr:col>
      <xdr:colOff>726830</xdr:colOff>
      <xdr:row>355</xdr:row>
      <xdr:rowOff>131087</xdr:rowOff>
    </xdr:to>
    <xdr:sp macro="" textlink="">
      <xdr:nvSpPr>
        <xdr:cNvPr id="72" name="TextBox 1">
          <a:extLst>
            <a:ext uri="{FF2B5EF4-FFF2-40B4-BE49-F238E27FC236}">
              <a16:creationId xmlns:a16="http://schemas.microsoft.com/office/drawing/2014/main" id="{00000000-0008-0000-0200-000048000000}"/>
            </a:ext>
          </a:extLst>
        </xdr:cNvPr>
        <xdr:cNvSpPr txBox="1"/>
      </xdr:nvSpPr>
      <xdr:spPr>
        <a:xfrm>
          <a:off x="16334676" y="66436873"/>
          <a:ext cx="1822904" cy="331114"/>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lnSpc>
              <a:spcPct val="70000"/>
            </a:lnSpc>
          </a:pPr>
          <a:r>
            <a:rPr lang="en-US" sz="1800" cap="small">
              <a:solidFill>
                <a:sysClr val="window" lastClr="FFFFFF"/>
              </a:solidFill>
            </a:rPr>
            <a:t>Depreciation</a:t>
          </a:r>
          <a:r>
            <a:rPr lang="en-US" sz="1800" cap="small" baseline="0">
              <a:solidFill>
                <a:sysClr val="window" lastClr="FFFFFF"/>
              </a:solidFill>
            </a:rPr>
            <a:t> </a:t>
          </a:r>
          <a:r>
            <a:rPr lang="en-US" sz="1800" cap="small">
              <a:solidFill>
                <a:sysClr val="window" lastClr="FFFFFF"/>
              </a:solidFill>
            </a:rPr>
            <a:t>9% (accelerated)</a:t>
          </a:r>
        </a:p>
        <a:p>
          <a:pPr algn="ctr"/>
          <a:endParaRPr lang="en-US" sz="1800" cap="small">
            <a:solidFill>
              <a:sysClr val="window" lastClr="FFFFFF"/>
            </a:solidFill>
          </a:endParaRPr>
        </a:p>
      </xdr:txBody>
    </xdr:sp>
    <xdr:clientData/>
  </xdr:twoCellAnchor>
  <xdr:twoCellAnchor>
    <xdr:from>
      <xdr:col>12</xdr:col>
      <xdr:colOff>249605</xdr:colOff>
      <xdr:row>351</xdr:row>
      <xdr:rowOff>115019</xdr:rowOff>
    </xdr:from>
    <xdr:to>
      <xdr:col>13</xdr:col>
      <xdr:colOff>679450</xdr:colOff>
      <xdr:row>354</xdr:row>
      <xdr:rowOff>178939</xdr:rowOff>
    </xdr:to>
    <xdr:sp macro="" textlink="">
      <xdr:nvSpPr>
        <xdr:cNvPr id="73" name="TextBox 1">
          <a:extLst>
            <a:ext uri="{FF2B5EF4-FFF2-40B4-BE49-F238E27FC236}">
              <a16:creationId xmlns:a16="http://schemas.microsoft.com/office/drawing/2014/main" id="{00000000-0008-0000-0200-000049000000}"/>
            </a:ext>
          </a:extLst>
        </xdr:cNvPr>
        <xdr:cNvSpPr txBox="1"/>
      </xdr:nvSpPr>
      <xdr:spPr>
        <a:xfrm>
          <a:off x="16378605" y="66015319"/>
          <a:ext cx="1731595" cy="616370"/>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lnSpc>
              <a:spcPct val="70000"/>
            </a:lnSpc>
          </a:pPr>
          <a:r>
            <a:rPr lang="en-US" sz="1800" cap="small">
              <a:solidFill>
                <a:sysClr val="window" lastClr="FFFFFF"/>
              </a:solidFill>
            </a:rPr>
            <a:t>SG&amp;A</a:t>
          </a:r>
          <a:r>
            <a:rPr lang="en-US" sz="1800" cap="small" baseline="0">
              <a:solidFill>
                <a:sysClr val="window" lastClr="FFFFFF"/>
              </a:solidFill>
            </a:rPr>
            <a:t> and</a:t>
          </a:r>
          <a:r>
            <a:rPr lang="en-US" sz="1800" cap="small">
              <a:solidFill>
                <a:sysClr val="window" lastClr="FFFFFF"/>
              </a:solidFill>
            </a:rPr>
            <a:t> R&amp;D 11%</a:t>
          </a:r>
        </a:p>
      </xdr:txBody>
    </xdr:sp>
    <xdr:clientData/>
  </xdr:twoCellAnchor>
  <xdr:twoCellAnchor>
    <xdr:from>
      <xdr:col>12</xdr:col>
      <xdr:colOff>215924</xdr:colOff>
      <xdr:row>356</xdr:row>
      <xdr:rowOff>119139</xdr:rowOff>
    </xdr:from>
    <xdr:to>
      <xdr:col>13</xdr:col>
      <xdr:colOff>717007</xdr:colOff>
      <xdr:row>358</xdr:row>
      <xdr:rowOff>63884</xdr:rowOff>
    </xdr:to>
    <xdr:sp macro="" textlink="">
      <xdr:nvSpPr>
        <xdr:cNvPr id="74" name="TextBox 1">
          <a:extLst>
            <a:ext uri="{FF2B5EF4-FFF2-40B4-BE49-F238E27FC236}">
              <a16:creationId xmlns:a16="http://schemas.microsoft.com/office/drawing/2014/main" id="{00000000-0008-0000-0200-00004A000000}"/>
            </a:ext>
          </a:extLst>
        </xdr:cNvPr>
        <xdr:cNvSpPr txBox="1"/>
      </xdr:nvSpPr>
      <xdr:spPr>
        <a:xfrm>
          <a:off x="16344924" y="66940189"/>
          <a:ext cx="1802833" cy="31304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800" cap="small" baseline="0">
              <a:solidFill>
                <a:sysClr val="window" lastClr="FFFFFF"/>
              </a:solidFill>
            </a:rPr>
            <a:t>Electricity 5%</a:t>
          </a:r>
        </a:p>
      </xdr:txBody>
    </xdr:sp>
    <xdr:clientData/>
  </xdr:twoCellAnchor>
  <xdr:twoCellAnchor>
    <xdr:from>
      <xdr:col>12</xdr:col>
      <xdr:colOff>199292</xdr:colOff>
      <xdr:row>355</xdr:row>
      <xdr:rowOff>127441</xdr:rowOff>
    </xdr:from>
    <xdr:to>
      <xdr:col>13</xdr:col>
      <xdr:colOff>732693</xdr:colOff>
      <xdr:row>357</xdr:row>
      <xdr:rowOff>78092</xdr:rowOff>
    </xdr:to>
    <xdr:sp macro="" textlink="">
      <xdr:nvSpPr>
        <xdr:cNvPr id="75" name="TextBox 1">
          <a:extLst>
            <a:ext uri="{FF2B5EF4-FFF2-40B4-BE49-F238E27FC236}">
              <a16:creationId xmlns:a16="http://schemas.microsoft.com/office/drawing/2014/main" id="{00000000-0008-0000-0200-00004B000000}"/>
            </a:ext>
          </a:extLst>
        </xdr:cNvPr>
        <xdr:cNvSpPr txBox="1"/>
      </xdr:nvSpPr>
      <xdr:spPr>
        <a:xfrm>
          <a:off x="16328292" y="66764341"/>
          <a:ext cx="1835151" cy="318951"/>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800" cap="small">
              <a:solidFill>
                <a:schemeClr val="bg1"/>
              </a:solidFill>
            </a:rPr>
            <a:t>Maintenance</a:t>
          </a:r>
          <a:r>
            <a:rPr lang="en-US" sz="1800" cap="small" baseline="0">
              <a:solidFill>
                <a:schemeClr val="bg1"/>
              </a:solidFill>
            </a:rPr>
            <a:t> </a:t>
          </a:r>
          <a:r>
            <a:rPr lang="en-US" sz="1800" cap="small">
              <a:solidFill>
                <a:schemeClr val="bg1"/>
              </a:solidFill>
            </a:rPr>
            <a:t>4%</a:t>
          </a:r>
        </a:p>
      </xdr:txBody>
    </xdr:sp>
    <xdr:clientData/>
  </xdr:twoCellAnchor>
  <xdr:twoCellAnchor>
    <xdr:from>
      <xdr:col>13</xdr:col>
      <xdr:colOff>301686</xdr:colOff>
      <xdr:row>348</xdr:row>
      <xdr:rowOff>46987</xdr:rowOff>
    </xdr:from>
    <xdr:to>
      <xdr:col>15</xdr:col>
      <xdr:colOff>205013</xdr:colOff>
      <xdr:row>350</xdr:row>
      <xdr:rowOff>7314</xdr:rowOff>
    </xdr:to>
    <xdr:sp macro="" textlink="">
      <xdr:nvSpPr>
        <xdr:cNvPr id="77" name="TextBox 1">
          <a:extLst>
            <a:ext uri="{FF2B5EF4-FFF2-40B4-BE49-F238E27FC236}">
              <a16:creationId xmlns:a16="http://schemas.microsoft.com/office/drawing/2014/main" id="{00000000-0008-0000-0200-00004D000000}"/>
            </a:ext>
          </a:extLst>
        </xdr:cNvPr>
        <xdr:cNvSpPr txBox="1"/>
      </xdr:nvSpPr>
      <xdr:spPr>
        <a:xfrm>
          <a:off x="17773257" y="67788787"/>
          <a:ext cx="2515899" cy="330441"/>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800">
              <a:solidFill>
                <a:sysClr val="windowText" lastClr="000000"/>
              </a:solidFill>
            </a:rPr>
            <a:t> Profit Margin Ratio 4%</a:t>
          </a:r>
        </a:p>
      </xdr:txBody>
    </xdr:sp>
    <xdr:clientData/>
  </xdr:twoCellAnchor>
  <xdr:twoCellAnchor>
    <xdr:from>
      <xdr:col>13</xdr:col>
      <xdr:colOff>1057785</xdr:colOff>
      <xdr:row>354</xdr:row>
      <xdr:rowOff>24618</xdr:rowOff>
    </xdr:from>
    <xdr:to>
      <xdr:col>13</xdr:col>
      <xdr:colOff>1061085</xdr:colOff>
      <xdr:row>372</xdr:row>
      <xdr:rowOff>154400</xdr:rowOff>
    </xdr:to>
    <xdr:cxnSp macro="">
      <xdr:nvCxnSpPr>
        <xdr:cNvPr id="78" name="Straight Arrow Connector 77">
          <a:extLst>
            <a:ext uri="{FF2B5EF4-FFF2-40B4-BE49-F238E27FC236}">
              <a16:creationId xmlns:a16="http://schemas.microsoft.com/office/drawing/2014/main" id="{00000000-0008-0000-0200-00004E000000}"/>
            </a:ext>
          </a:extLst>
        </xdr:cNvPr>
        <xdr:cNvCxnSpPr/>
      </xdr:nvCxnSpPr>
      <xdr:spPr>
        <a:xfrm flipH="1">
          <a:off x="18517110" y="65394693"/>
          <a:ext cx="3300" cy="3387332"/>
        </a:xfrm>
        <a:prstGeom prst="straightConnector1">
          <a:avLst/>
        </a:prstGeom>
        <a:ln w="31750">
          <a:solidFill>
            <a:schemeClr val="bg1">
              <a:lumMod val="50000"/>
            </a:schemeClr>
          </a:solidFill>
          <a:headEnd type="triangle" w="lg" len="med"/>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246926</xdr:colOff>
      <xdr:row>351</xdr:row>
      <xdr:rowOff>5046</xdr:rowOff>
    </xdr:from>
    <xdr:to>
      <xdr:col>11</xdr:col>
      <xdr:colOff>1191491</xdr:colOff>
      <xdr:row>353</xdr:row>
      <xdr:rowOff>125549</xdr:rowOff>
    </xdr:to>
    <xdr:sp macro="" textlink="">
      <xdr:nvSpPr>
        <xdr:cNvPr id="79" name="TextBox 1">
          <a:extLst>
            <a:ext uri="{FF2B5EF4-FFF2-40B4-BE49-F238E27FC236}">
              <a16:creationId xmlns:a16="http://schemas.microsoft.com/office/drawing/2014/main" id="{00000000-0008-0000-0200-00004F000000}"/>
            </a:ext>
          </a:extLst>
        </xdr:cNvPr>
        <xdr:cNvSpPr txBox="1"/>
      </xdr:nvSpPr>
      <xdr:spPr>
        <a:xfrm>
          <a:off x="15085144" y="64608791"/>
          <a:ext cx="944565" cy="480722"/>
        </a:xfrm>
        <a:prstGeom prst="rect">
          <a:avLst/>
        </a:prstGeom>
        <a:solidFill>
          <a:schemeClr val="bg1"/>
        </a:solidFill>
      </xdr:spPr>
      <xdr:txBody>
        <a:bodyPr wrap="square" lIns="27432" tIns="0" rIns="0" bIns="0"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800">
              <a:solidFill>
                <a:schemeClr val="tx1"/>
              </a:solidFill>
            </a:rPr>
            <a:t>Income Tax 1%</a:t>
          </a:r>
        </a:p>
      </xdr:txBody>
    </xdr:sp>
    <xdr:clientData/>
  </xdr:twoCellAnchor>
  <xdr:twoCellAnchor>
    <xdr:from>
      <xdr:col>11</xdr:col>
      <xdr:colOff>246290</xdr:colOff>
      <xdr:row>354</xdr:row>
      <xdr:rowOff>75438</xdr:rowOff>
    </xdr:from>
    <xdr:to>
      <xdr:col>12</xdr:col>
      <xdr:colOff>152400</xdr:colOff>
      <xdr:row>357</xdr:row>
      <xdr:rowOff>24638</xdr:rowOff>
    </xdr:to>
    <xdr:sp macro="" textlink="">
      <xdr:nvSpPr>
        <xdr:cNvPr id="80" name="TextBox 1">
          <a:extLst>
            <a:ext uri="{FF2B5EF4-FFF2-40B4-BE49-F238E27FC236}">
              <a16:creationId xmlns:a16="http://schemas.microsoft.com/office/drawing/2014/main" id="{00000000-0008-0000-0200-000050000000}"/>
            </a:ext>
          </a:extLst>
        </xdr:cNvPr>
        <xdr:cNvSpPr txBox="1"/>
      </xdr:nvSpPr>
      <xdr:spPr>
        <a:xfrm>
          <a:off x="15084508" y="65219511"/>
          <a:ext cx="1208437" cy="489527"/>
        </a:xfrm>
        <a:prstGeom prst="rect">
          <a:avLst/>
        </a:prstGeom>
        <a:solidFill>
          <a:schemeClr val="bg1"/>
        </a:solidFill>
      </xdr:spPr>
      <xdr:txBody>
        <a:bodyPr wrap="square" lIns="27432" tIns="0" rIns="0" bIns="0" rtlCol="0" anchor="ctr" anchorCtr="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prstClr val="black"/>
              </a:solidFill>
              <a:effectLst/>
              <a:uLnTx/>
              <a:uFillTx/>
              <a:latin typeface="+mn-lt"/>
              <a:ea typeface="+mn-ea"/>
              <a:cs typeface="+mn-cs"/>
            </a:rPr>
            <a:t>Interest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prstClr val="black"/>
              </a:solidFill>
              <a:effectLst/>
              <a:uLnTx/>
              <a:uFillTx/>
              <a:latin typeface="+mn-lt"/>
              <a:ea typeface="+mn-ea"/>
              <a:cs typeface="+mn-cs"/>
            </a:rPr>
            <a:t>Expense </a:t>
          </a:r>
          <a:r>
            <a:rPr lang="en-US" sz="1800">
              <a:solidFill>
                <a:schemeClr val="tx1"/>
              </a:solidFill>
            </a:rPr>
            <a:t>1% </a:t>
          </a:r>
        </a:p>
      </xdr:txBody>
    </xdr:sp>
    <xdr:clientData/>
  </xdr:twoCellAnchor>
  <xdr:twoCellAnchor>
    <xdr:from>
      <xdr:col>11</xdr:col>
      <xdr:colOff>1233055</xdr:colOff>
      <xdr:row>352</xdr:row>
      <xdr:rowOff>2725</xdr:rowOff>
    </xdr:from>
    <xdr:to>
      <xdr:col>12</xdr:col>
      <xdr:colOff>189139</xdr:colOff>
      <xdr:row>355</xdr:row>
      <xdr:rowOff>69273</xdr:rowOff>
    </xdr:to>
    <xdr:cxnSp macro="">
      <xdr:nvCxnSpPr>
        <xdr:cNvPr id="81" name="Straight Arrow Connector 80">
          <a:extLst>
            <a:ext uri="{FF2B5EF4-FFF2-40B4-BE49-F238E27FC236}">
              <a16:creationId xmlns:a16="http://schemas.microsoft.com/office/drawing/2014/main" id="{00000000-0008-0000-0200-000051000000}"/>
            </a:ext>
          </a:extLst>
        </xdr:cNvPr>
        <xdr:cNvCxnSpPr/>
      </xdr:nvCxnSpPr>
      <xdr:spPr>
        <a:xfrm flipV="1">
          <a:off x="16071273" y="64786580"/>
          <a:ext cx="258411" cy="606875"/>
        </a:xfrm>
        <a:prstGeom prst="straightConnector1">
          <a:avLst/>
        </a:prstGeom>
        <a:ln w="25400">
          <a:solidFill>
            <a:schemeClr val="tx1"/>
          </a:solidFill>
          <a:headEnd type="none" w="lg" len="med"/>
          <a:tailEnd type="non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1039091</xdr:colOff>
      <xdr:row>351</xdr:row>
      <xdr:rowOff>98520</xdr:rowOff>
    </xdr:from>
    <xdr:to>
      <xdr:col>12</xdr:col>
      <xdr:colOff>181519</xdr:colOff>
      <xdr:row>352</xdr:row>
      <xdr:rowOff>96981</xdr:rowOff>
    </xdr:to>
    <xdr:cxnSp macro="">
      <xdr:nvCxnSpPr>
        <xdr:cNvPr id="82" name="Straight Arrow Connector 81">
          <a:extLst>
            <a:ext uri="{FF2B5EF4-FFF2-40B4-BE49-F238E27FC236}">
              <a16:creationId xmlns:a16="http://schemas.microsoft.com/office/drawing/2014/main" id="{00000000-0008-0000-0200-000052000000}"/>
            </a:ext>
          </a:extLst>
        </xdr:cNvPr>
        <xdr:cNvCxnSpPr/>
      </xdr:nvCxnSpPr>
      <xdr:spPr>
        <a:xfrm flipV="1">
          <a:off x="15877309" y="64702265"/>
          <a:ext cx="444755" cy="178571"/>
        </a:xfrm>
        <a:prstGeom prst="straightConnector1">
          <a:avLst/>
        </a:prstGeom>
        <a:ln w="25400">
          <a:solidFill>
            <a:schemeClr val="tx1"/>
          </a:solidFill>
          <a:headEnd type="none" w="lg" len="med"/>
          <a:tailEnd type="non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1218300</xdr:colOff>
      <xdr:row>360</xdr:row>
      <xdr:rowOff>73664</xdr:rowOff>
    </xdr:from>
    <xdr:to>
      <xdr:col>14</xdr:col>
      <xdr:colOff>1077686</xdr:colOff>
      <xdr:row>363</xdr:row>
      <xdr:rowOff>180235</xdr:rowOff>
    </xdr:to>
    <xdr:sp macro="" textlink="">
      <xdr:nvSpPr>
        <xdr:cNvPr id="83" name="TextBox 1">
          <a:extLst>
            <a:ext uri="{FF2B5EF4-FFF2-40B4-BE49-F238E27FC236}">
              <a16:creationId xmlns:a16="http://schemas.microsoft.com/office/drawing/2014/main" id="{00000000-0008-0000-0200-000053000000}"/>
            </a:ext>
          </a:extLst>
        </xdr:cNvPr>
        <xdr:cNvSpPr txBox="1"/>
      </xdr:nvSpPr>
      <xdr:spPr>
        <a:xfrm>
          <a:off x="18689871" y="67978750"/>
          <a:ext cx="1165672" cy="661742"/>
        </a:xfrm>
        <a:prstGeom prst="rect">
          <a:avLst/>
        </a:prstGeom>
        <a:solidFill>
          <a:schemeClr val="bg1"/>
        </a:solidFill>
      </xdr:spPr>
      <xdr:txBody>
        <a:bodyPr wrap="square"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800">
              <a:solidFill>
                <a:sysClr val="windowText" lastClr="000000"/>
              </a:solidFill>
            </a:rPr>
            <a:t>Cost of Goods Sold</a:t>
          </a:r>
        </a:p>
      </xdr:txBody>
    </xdr:sp>
    <xdr:clientData/>
  </xdr:twoCellAnchor>
  <xdr:twoCellAnchor>
    <xdr:from>
      <xdr:col>13</xdr:col>
      <xdr:colOff>1054100</xdr:colOff>
      <xdr:row>350</xdr:row>
      <xdr:rowOff>76200</xdr:rowOff>
    </xdr:from>
    <xdr:to>
      <xdr:col>13</xdr:col>
      <xdr:colOff>1061110</xdr:colOff>
      <xdr:row>354</xdr:row>
      <xdr:rowOff>9667</xdr:rowOff>
    </xdr:to>
    <xdr:cxnSp macro="">
      <xdr:nvCxnSpPr>
        <xdr:cNvPr id="84" name="Straight Arrow Connector 83">
          <a:extLst>
            <a:ext uri="{FF2B5EF4-FFF2-40B4-BE49-F238E27FC236}">
              <a16:creationId xmlns:a16="http://schemas.microsoft.com/office/drawing/2014/main" id="{00000000-0008-0000-0200-000054000000}"/>
            </a:ext>
          </a:extLst>
        </xdr:cNvPr>
        <xdr:cNvCxnSpPr/>
      </xdr:nvCxnSpPr>
      <xdr:spPr>
        <a:xfrm>
          <a:off x="18503900" y="65079033"/>
          <a:ext cx="7010" cy="661601"/>
        </a:xfrm>
        <a:prstGeom prst="straightConnector1">
          <a:avLst/>
        </a:prstGeom>
        <a:ln w="31750">
          <a:solidFill>
            <a:schemeClr val="bg1">
              <a:lumMod val="50000"/>
            </a:schemeClr>
          </a:solidFill>
          <a:headEnd type="triangle" w="lg" len="med"/>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748769</xdr:colOff>
      <xdr:row>354</xdr:row>
      <xdr:rowOff>18782</xdr:rowOff>
    </xdr:from>
    <xdr:to>
      <xdr:col>14</xdr:col>
      <xdr:colOff>339825</xdr:colOff>
      <xdr:row>354</xdr:row>
      <xdr:rowOff>18783</xdr:rowOff>
    </xdr:to>
    <xdr:cxnSp macro="">
      <xdr:nvCxnSpPr>
        <xdr:cNvPr id="86" name="Straight Arrow Connector 85">
          <a:extLst>
            <a:ext uri="{FF2B5EF4-FFF2-40B4-BE49-F238E27FC236}">
              <a16:creationId xmlns:a16="http://schemas.microsoft.com/office/drawing/2014/main" id="{00000000-0008-0000-0200-000056000000}"/>
            </a:ext>
          </a:extLst>
        </xdr:cNvPr>
        <xdr:cNvCxnSpPr/>
      </xdr:nvCxnSpPr>
      <xdr:spPr>
        <a:xfrm flipH="1">
          <a:off x="18204431" y="65641636"/>
          <a:ext cx="895248" cy="1"/>
        </a:xfrm>
        <a:prstGeom prst="straightConnector1">
          <a:avLst/>
        </a:prstGeom>
        <a:ln w="25400">
          <a:solidFill>
            <a:schemeClr val="bg1">
              <a:lumMod val="50000"/>
            </a:schemeClr>
          </a:solidFill>
          <a:headEnd type="none" w="lg" len="med"/>
          <a:tailEnd type="non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1301366</xdr:colOff>
      <xdr:row>350</xdr:row>
      <xdr:rowOff>113146</xdr:rowOff>
    </xdr:from>
    <xdr:to>
      <xdr:col>14</xdr:col>
      <xdr:colOff>1294440</xdr:colOff>
      <xdr:row>353</xdr:row>
      <xdr:rowOff>102590</xdr:rowOff>
    </xdr:to>
    <xdr:sp macro="" textlink="">
      <xdr:nvSpPr>
        <xdr:cNvPr id="87" name="TextBox 1">
          <a:extLst>
            <a:ext uri="{FF2B5EF4-FFF2-40B4-BE49-F238E27FC236}">
              <a16:creationId xmlns:a16="http://schemas.microsoft.com/office/drawing/2014/main" id="{00000000-0008-0000-0200-000057000000}"/>
            </a:ext>
          </a:extLst>
        </xdr:cNvPr>
        <xdr:cNvSpPr txBox="1"/>
      </xdr:nvSpPr>
      <xdr:spPr>
        <a:xfrm>
          <a:off x="18772937" y="66167660"/>
          <a:ext cx="1299360" cy="544616"/>
        </a:xfrm>
        <a:prstGeom prst="rect">
          <a:avLst/>
        </a:prstGeom>
        <a:solidFill>
          <a:schemeClr val="bg1"/>
        </a:solidFill>
      </xdr:spPr>
      <xdr:txBody>
        <a:bodyPr wrap="square" lIns="0" tIns="0" rIns="0" b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a:r>
            <a:rPr lang="en-US" sz="1800">
              <a:solidFill>
                <a:sysClr val="windowText" lastClr="000000"/>
              </a:solidFill>
            </a:rPr>
            <a:t>Gross</a:t>
          </a:r>
          <a:r>
            <a:rPr lang="en-US" sz="1800" baseline="0">
              <a:solidFill>
                <a:sysClr val="windowText" lastClr="000000"/>
              </a:solidFill>
            </a:rPr>
            <a:t> Profit Rate </a:t>
          </a:r>
          <a:r>
            <a:rPr lang="en-US" sz="1800">
              <a:solidFill>
                <a:sysClr val="windowText" lastClr="000000"/>
              </a:solidFill>
            </a:rPr>
            <a:t>17%</a:t>
          </a:r>
        </a:p>
      </xdr:txBody>
    </xdr:sp>
    <xdr:clientData/>
  </xdr:twoCellAnchor>
  <xdr:twoCellAnchor>
    <xdr:from>
      <xdr:col>11</xdr:col>
      <xdr:colOff>254171</xdr:colOff>
      <xdr:row>350</xdr:row>
      <xdr:rowOff>44799</xdr:rowOff>
    </xdr:from>
    <xdr:to>
      <xdr:col>17</xdr:col>
      <xdr:colOff>1195730</xdr:colOff>
      <xdr:row>350</xdr:row>
      <xdr:rowOff>49155</xdr:rowOff>
    </xdr:to>
    <xdr:cxnSp macro="">
      <xdr:nvCxnSpPr>
        <xdr:cNvPr id="121" name="Straight Connector 120">
          <a:extLst>
            <a:ext uri="{FF2B5EF4-FFF2-40B4-BE49-F238E27FC236}">
              <a16:creationId xmlns:a16="http://schemas.microsoft.com/office/drawing/2014/main" id="{00000000-0008-0000-0200-000079000000}"/>
            </a:ext>
          </a:extLst>
        </xdr:cNvPr>
        <xdr:cNvCxnSpPr/>
      </xdr:nvCxnSpPr>
      <xdr:spPr>
        <a:xfrm flipV="1">
          <a:off x="15085462" y="65930090"/>
          <a:ext cx="8755523" cy="4356"/>
        </a:xfrm>
        <a:prstGeom prst="line">
          <a:avLst/>
        </a:prstGeom>
        <a:noFill/>
        <a:ln w="57150" cap="flat" cmpd="sng" algn="ctr">
          <a:solidFill>
            <a:sysClr val="window" lastClr="FFFFFF"/>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1203959</xdr:colOff>
      <xdr:row>349</xdr:row>
      <xdr:rowOff>26607</xdr:rowOff>
    </xdr:from>
    <xdr:to>
      <xdr:col>13</xdr:col>
      <xdr:colOff>301686</xdr:colOff>
      <xdr:row>350</xdr:row>
      <xdr:rowOff>101237</xdr:rowOff>
    </xdr:to>
    <xdr:cxnSp macro="">
      <xdr:nvCxnSpPr>
        <xdr:cNvPr id="85" name="Straight Arrow Connector 84">
          <a:extLst>
            <a:ext uri="{FF2B5EF4-FFF2-40B4-BE49-F238E27FC236}">
              <a16:creationId xmlns:a16="http://schemas.microsoft.com/office/drawing/2014/main" id="{00000000-0008-0000-0200-000055000000}"/>
            </a:ext>
          </a:extLst>
        </xdr:cNvPr>
        <xdr:cNvCxnSpPr>
          <a:endCxn id="77" idx="1"/>
        </xdr:cNvCxnSpPr>
      </xdr:nvCxnSpPr>
      <xdr:spPr>
        <a:xfrm flipV="1">
          <a:off x="17369245" y="67953464"/>
          <a:ext cx="404012" cy="259687"/>
        </a:xfrm>
        <a:prstGeom prst="straightConnector1">
          <a:avLst/>
        </a:prstGeom>
        <a:ln w="25400">
          <a:solidFill>
            <a:schemeClr val="tx1"/>
          </a:solidFill>
          <a:headEnd type="none" w="lg" len="med"/>
          <a:tailEnd type="non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248194</xdr:colOff>
      <xdr:row>350</xdr:row>
      <xdr:rowOff>52919</xdr:rowOff>
    </xdr:from>
    <xdr:to>
      <xdr:col>17</xdr:col>
      <xdr:colOff>1196340</xdr:colOff>
      <xdr:row>350</xdr:row>
      <xdr:rowOff>52919</xdr:rowOff>
    </xdr:to>
    <xdr:cxnSp macro="">
      <xdr:nvCxnSpPr>
        <xdr:cNvPr id="76" name="Straight Connector 75">
          <a:extLst>
            <a:ext uri="{FF2B5EF4-FFF2-40B4-BE49-F238E27FC236}">
              <a16:creationId xmlns:a16="http://schemas.microsoft.com/office/drawing/2014/main" id="{00000000-0008-0000-0200-00004C000000}"/>
            </a:ext>
          </a:extLst>
        </xdr:cNvPr>
        <xdr:cNvCxnSpPr/>
      </xdr:nvCxnSpPr>
      <xdr:spPr>
        <a:xfrm>
          <a:off x="15152914" y="66941279"/>
          <a:ext cx="8811986" cy="0"/>
        </a:xfrm>
        <a:prstGeom prst="line">
          <a:avLst/>
        </a:prstGeom>
        <a:ln w="19050">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206828</xdr:colOff>
      <xdr:row>344</xdr:row>
      <xdr:rowOff>152401</xdr:rowOff>
    </xdr:from>
    <xdr:to>
      <xdr:col>17</xdr:col>
      <xdr:colOff>1186542</xdr:colOff>
      <xdr:row>347</xdr:row>
      <xdr:rowOff>119744</xdr:rowOff>
    </xdr:to>
    <xdr:sp macro="" textlink="">
      <xdr:nvSpPr>
        <xdr:cNvPr id="23" name="TextBox 1">
          <a:extLst>
            <a:ext uri="{FF2B5EF4-FFF2-40B4-BE49-F238E27FC236}">
              <a16:creationId xmlns:a16="http://schemas.microsoft.com/office/drawing/2014/main" id="{00000000-0008-0000-0200-000017000000}"/>
            </a:ext>
          </a:extLst>
        </xdr:cNvPr>
        <xdr:cNvSpPr txBox="1"/>
      </xdr:nvSpPr>
      <xdr:spPr>
        <a:xfrm>
          <a:off x="15065828" y="65096572"/>
          <a:ext cx="8817428" cy="522515"/>
        </a:xfrm>
        <a:prstGeom prst="rect">
          <a:avLst/>
        </a:prstGeom>
      </xdr:spPr>
      <xdr:txBody>
        <a:bodyPr wrap="square" lIns="0" rIns="0"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n-US" sz="2800" b="1">
              <a:solidFill>
                <a:sysClr val="windowText" lastClr="000000"/>
              </a:solidFill>
            </a:rPr>
            <a:t> </a:t>
          </a:r>
          <a:r>
            <a:rPr lang="en-US" sz="2800" b="1" i="0" baseline="0">
              <a:latin typeface="+mn-lt"/>
              <a:ea typeface="+mn-ea"/>
              <a:cs typeface="+mn-cs"/>
            </a:rPr>
            <a:t>Year 1 Income Statement Breakdown</a:t>
          </a:r>
          <a:endParaRPr lang="en-US" sz="2800" b="1"/>
        </a:p>
        <a:p>
          <a:pPr algn="ctr"/>
          <a:endParaRPr lang="en-US" sz="2800" b="1">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0.00192</cdr:x>
      <cdr:y>0.00228</cdr:y>
    </cdr:to>
    <cdr:pic>
      <cdr:nvPicPr>
        <cdr:cNvPr id="3" name="chart">
          <a:extLst xmlns:a="http://schemas.openxmlformats.org/drawingml/2006/main">
            <a:ext uri="{FF2B5EF4-FFF2-40B4-BE49-F238E27FC236}">
              <a16:creationId xmlns:a16="http://schemas.microsoft.com/office/drawing/2014/main" id="{B7849C30-AFBD-4C67-A04A-51F99301A5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8</xdr:col>
      <xdr:colOff>360742</xdr:colOff>
      <xdr:row>0</xdr:row>
      <xdr:rowOff>203882</xdr:rowOff>
    </xdr:from>
    <xdr:to>
      <xdr:col>15</xdr:col>
      <xdr:colOff>807782</xdr:colOff>
      <xdr:row>26</xdr:row>
      <xdr:rowOff>153081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360742</xdr:colOff>
      <xdr:row>0</xdr:row>
      <xdr:rowOff>203882</xdr:rowOff>
    </xdr:from>
    <xdr:to>
      <xdr:col>15</xdr:col>
      <xdr:colOff>807782</xdr:colOff>
      <xdr:row>26</xdr:row>
      <xdr:rowOff>153081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360742</xdr:colOff>
      <xdr:row>0</xdr:row>
      <xdr:rowOff>203882</xdr:rowOff>
    </xdr:from>
    <xdr:to>
      <xdr:col>15</xdr:col>
      <xdr:colOff>807782</xdr:colOff>
      <xdr:row>26</xdr:row>
      <xdr:rowOff>153081</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360742</xdr:colOff>
      <xdr:row>0</xdr:row>
      <xdr:rowOff>203882</xdr:rowOff>
    </xdr:from>
    <xdr:to>
      <xdr:col>15</xdr:col>
      <xdr:colOff>807782</xdr:colOff>
      <xdr:row>26</xdr:row>
      <xdr:rowOff>153081</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936742</xdr:colOff>
      <xdr:row>4</xdr:row>
      <xdr:rowOff>141515</xdr:rowOff>
    </xdr:from>
    <xdr:to>
      <xdr:col>15</xdr:col>
      <xdr:colOff>352181</xdr:colOff>
      <xdr:row>39</xdr:row>
      <xdr:rowOff>13457</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613684</xdr:colOff>
      <xdr:row>12</xdr:row>
      <xdr:rowOff>326</xdr:rowOff>
    </xdr:from>
    <xdr:to>
      <xdr:col>9</xdr:col>
      <xdr:colOff>927652</xdr:colOff>
      <xdr:row>13</xdr:row>
      <xdr:rowOff>91108</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679249" y="2617630"/>
          <a:ext cx="1614338" cy="27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45720" bIns="0" rtlCol="0" anchor="t"/>
        <a:lstStyle/>
        <a:p>
          <a:r>
            <a:rPr lang="en-US" sz="1600"/>
            <a:t>Module efficiency</a:t>
          </a:r>
        </a:p>
      </xdr:txBody>
    </xdr:sp>
    <xdr:clientData/>
  </xdr:twoCellAnchor>
  <xdr:twoCellAnchor>
    <xdr:from>
      <xdr:col>8</xdr:col>
      <xdr:colOff>623207</xdr:colOff>
      <xdr:row>13</xdr:row>
      <xdr:rowOff>79023</xdr:rowOff>
    </xdr:from>
    <xdr:to>
      <xdr:col>8</xdr:col>
      <xdr:colOff>1141580</xdr:colOff>
      <xdr:row>14</xdr:row>
      <xdr:rowOff>174816</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717927" y="2893343"/>
          <a:ext cx="518373" cy="288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45720" bIns="0" rtlCol="0" anchor="t"/>
        <a:lstStyle/>
        <a:p>
          <a:r>
            <a:rPr lang="en-US" sz="1600"/>
            <a:t>22 %</a:t>
          </a:r>
        </a:p>
      </xdr:txBody>
    </xdr:sp>
    <xdr:clientData/>
  </xdr:twoCellAnchor>
  <xdr:twoCellAnchor>
    <xdr:from>
      <xdr:col>8</xdr:col>
      <xdr:colOff>632732</xdr:colOff>
      <xdr:row>18</xdr:row>
      <xdr:rowOff>29945</xdr:rowOff>
    </xdr:from>
    <xdr:to>
      <xdr:col>8</xdr:col>
      <xdr:colOff>1151105</xdr:colOff>
      <xdr:row>19</xdr:row>
      <xdr:rowOff>129275</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727452" y="3768825"/>
          <a:ext cx="518373" cy="2923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45720" bIns="0" rtlCol="0" anchor="t"/>
        <a:lstStyle/>
        <a:p>
          <a:r>
            <a:rPr lang="en-US" sz="1600"/>
            <a:t>18 %</a:t>
          </a:r>
        </a:p>
      </xdr:txBody>
    </xdr:sp>
    <xdr:clientData/>
  </xdr:twoCellAnchor>
  <xdr:twoCellAnchor>
    <xdr:from>
      <xdr:col>8</xdr:col>
      <xdr:colOff>631371</xdr:colOff>
      <xdr:row>22</xdr:row>
      <xdr:rowOff>155289</xdr:rowOff>
    </xdr:from>
    <xdr:to>
      <xdr:col>8</xdr:col>
      <xdr:colOff>1149744</xdr:colOff>
      <xdr:row>24</xdr:row>
      <xdr:rowOff>121151</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726091" y="4635849"/>
          <a:ext cx="518373" cy="3316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45720" bIns="0" rtlCol="0" anchor="t"/>
        <a:lstStyle/>
        <a:p>
          <a:r>
            <a:rPr lang="en-US" sz="1600"/>
            <a:t>14 %</a:t>
          </a:r>
        </a:p>
      </xdr:txBody>
    </xdr:sp>
    <xdr:clientData/>
  </xdr:twoCellAnchor>
  <xdr:twoCellAnchor>
    <xdr:from>
      <xdr:col>8</xdr:col>
      <xdr:colOff>632731</xdr:colOff>
      <xdr:row>20</xdr:row>
      <xdr:rowOff>97177</xdr:rowOff>
    </xdr:from>
    <xdr:to>
      <xdr:col>8</xdr:col>
      <xdr:colOff>1176130</xdr:colOff>
      <xdr:row>21</xdr:row>
      <xdr:rowOff>158206</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727451" y="4211977"/>
          <a:ext cx="543399" cy="243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45720" bIns="0" rtlCol="0" anchor="t"/>
        <a:lstStyle/>
        <a:p>
          <a:r>
            <a:rPr lang="en-US" sz="1600"/>
            <a:t>16 %</a:t>
          </a:r>
        </a:p>
      </xdr:txBody>
    </xdr:sp>
    <xdr:clientData/>
  </xdr:twoCellAnchor>
  <xdr:twoCellAnchor>
    <xdr:from>
      <xdr:col>8</xdr:col>
      <xdr:colOff>632732</xdr:colOff>
      <xdr:row>15</xdr:row>
      <xdr:rowOff>146849</xdr:rowOff>
    </xdr:from>
    <xdr:to>
      <xdr:col>8</xdr:col>
      <xdr:colOff>1151105</xdr:colOff>
      <xdr:row>17</xdr:row>
      <xdr:rowOff>30480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727452" y="3337089"/>
          <a:ext cx="518373" cy="2493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45720" bIns="0" rtlCol="0" anchor="t"/>
        <a:lstStyle/>
        <a:p>
          <a:r>
            <a:rPr lang="en-US" sz="1600"/>
            <a:t>20 %</a:t>
          </a:r>
        </a:p>
      </xdr:txBody>
    </xdr:sp>
    <xdr:clientData/>
  </xdr:twoCellAnchor>
  <xdr:twoCellAnchor>
    <xdr:from>
      <xdr:col>11</xdr:col>
      <xdr:colOff>167969</xdr:colOff>
      <xdr:row>21</xdr:row>
      <xdr:rowOff>158910</xdr:rowOff>
    </xdr:from>
    <xdr:to>
      <xdr:col>12</xdr:col>
      <xdr:colOff>45720</xdr:colOff>
      <xdr:row>23</xdr:row>
      <xdr:rowOff>60960</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5179369" y="4456590"/>
          <a:ext cx="1183311" cy="2678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45720" tIns="0" rIns="0" bIns="0" rtlCol="0" anchor="t"/>
        <a:lstStyle/>
        <a:p>
          <a:r>
            <a:rPr lang="en-US" sz="1600"/>
            <a:t>Adv. Concept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mpowell@mit.edu"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mailto:dmpowell@mit.edu"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dmpowell@mit.edu"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dmpowell@mit.edu"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dmpowell@mit.edu"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dmpowell@mit.edu"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dmpowell@mit.edu"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7" zoomScale="70" zoomScaleNormal="70" workbookViewId="0"/>
  </sheetViews>
  <sheetFormatPr defaultColWidth="8.86328125" defaultRowHeight="14.25" x14ac:dyDescent="0.45"/>
  <cols>
    <col min="1" max="1" width="8.86328125" style="32"/>
    <col min="2" max="2" width="20.19921875" style="32" customWidth="1"/>
    <col min="3" max="3" width="59.46484375" style="32" customWidth="1"/>
    <col min="4" max="5" width="71.1328125" style="32" customWidth="1"/>
    <col min="6" max="16384" width="8.86328125" style="32"/>
  </cols>
  <sheetData>
    <row r="1" spans="1:5" ht="30.75" x14ac:dyDescent="0.9">
      <c r="A1" s="93" t="s">
        <v>283</v>
      </c>
    </row>
    <row r="2" spans="1:5" x14ac:dyDescent="0.45">
      <c r="A2" s="826" t="s">
        <v>389</v>
      </c>
    </row>
    <row r="3" spans="1:5" x14ac:dyDescent="0.45">
      <c r="A3" s="32" t="s">
        <v>36</v>
      </c>
    </row>
    <row r="4" spans="1:5" x14ac:dyDescent="0.45">
      <c r="A4" s="116" t="s">
        <v>137</v>
      </c>
    </row>
    <row r="6" spans="1:5" ht="21.4" thickBot="1" x14ac:dyDescent="0.7">
      <c r="B6" s="94" t="s">
        <v>266</v>
      </c>
      <c r="E6" s="37"/>
    </row>
    <row r="7" spans="1:5" ht="14.65" thickBot="1" x14ac:dyDescent="0.5">
      <c r="B7" s="31" t="s">
        <v>69</v>
      </c>
      <c r="C7" s="31" t="s">
        <v>68</v>
      </c>
      <c r="D7" s="31" t="s">
        <v>28</v>
      </c>
      <c r="E7" s="75"/>
    </row>
    <row r="8" spans="1:5" ht="30.6" customHeight="1" x14ac:dyDescent="0.45">
      <c r="B8" s="90" t="s">
        <v>24</v>
      </c>
      <c r="C8" s="870" t="s">
        <v>311</v>
      </c>
      <c r="D8" s="89" t="s">
        <v>73</v>
      </c>
      <c r="E8" s="78"/>
    </row>
    <row r="9" spans="1:5" ht="30.6" customHeight="1" x14ac:dyDescent="0.45">
      <c r="B9" s="77" t="s">
        <v>89</v>
      </c>
      <c r="C9" s="33" t="s">
        <v>310</v>
      </c>
      <c r="D9" s="34" t="s">
        <v>75</v>
      </c>
      <c r="E9" s="78"/>
    </row>
    <row r="10" spans="1:5" ht="30.6" customHeight="1" x14ac:dyDescent="0.45">
      <c r="B10" s="91" t="s">
        <v>61</v>
      </c>
      <c r="C10" s="33" t="s">
        <v>309</v>
      </c>
      <c r="D10" s="34" t="s">
        <v>70</v>
      </c>
      <c r="E10" s="78"/>
    </row>
    <row r="11" spans="1:5" ht="30.6" customHeight="1" x14ac:dyDescent="0.45">
      <c r="B11" s="35" t="s">
        <v>25</v>
      </c>
      <c r="C11" s="33" t="s">
        <v>312</v>
      </c>
      <c r="D11" s="34" t="s">
        <v>74</v>
      </c>
      <c r="E11" s="78"/>
    </row>
    <row r="12" spans="1:5" ht="30.6" customHeight="1" x14ac:dyDescent="0.45">
      <c r="B12" s="35" t="s">
        <v>51</v>
      </c>
      <c r="C12" s="33" t="s">
        <v>313</v>
      </c>
      <c r="D12" s="34" t="s">
        <v>76</v>
      </c>
      <c r="E12" s="78"/>
    </row>
    <row r="13" spans="1:5" ht="30.6" customHeight="1" x14ac:dyDescent="0.45">
      <c r="B13" s="35" t="s">
        <v>29</v>
      </c>
      <c r="C13" s="33" t="s">
        <v>308</v>
      </c>
      <c r="D13" s="33" t="s">
        <v>116</v>
      </c>
      <c r="E13" s="79"/>
    </row>
    <row r="14" spans="1:5" ht="30.6" customHeight="1" x14ac:dyDescent="0.45">
      <c r="B14" s="77" t="s">
        <v>207</v>
      </c>
      <c r="C14" s="33" t="s">
        <v>307</v>
      </c>
      <c r="D14" s="33" t="s">
        <v>263</v>
      </c>
      <c r="E14" s="78"/>
    </row>
    <row r="15" spans="1:5" ht="30.6" customHeight="1" x14ac:dyDescent="0.45">
      <c r="B15" s="77" t="s">
        <v>208</v>
      </c>
      <c r="C15" s="33" t="s">
        <v>306</v>
      </c>
      <c r="D15" s="33" t="s">
        <v>264</v>
      </c>
      <c r="E15" s="78"/>
    </row>
    <row r="16" spans="1:5" ht="30.6" customHeight="1" x14ac:dyDescent="0.45">
      <c r="B16" s="77" t="s">
        <v>209</v>
      </c>
      <c r="C16" s="33" t="s">
        <v>305</v>
      </c>
      <c r="D16" s="33" t="s">
        <v>265</v>
      </c>
      <c r="E16" s="78"/>
    </row>
    <row r="17" spans="2:5" ht="30.6" customHeight="1" x14ac:dyDescent="0.45">
      <c r="B17" s="35" t="s">
        <v>10</v>
      </c>
      <c r="C17" s="871" t="s">
        <v>304</v>
      </c>
      <c r="D17" s="33" t="s">
        <v>287</v>
      </c>
      <c r="E17" s="78"/>
    </row>
    <row r="18" spans="2:5" ht="30.6" customHeight="1" x14ac:dyDescent="0.45">
      <c r="B18" s="35" t="s">
        <v>7</v>
      </c>
      <c r="C18" s="871" t="s">
        <v>303</v>
      </c>
      <c r="D18" s="33" t="s">
        <v>288</v>
      </c>
      <c r="E18" s="78"/>
    </row>
    <row r="19" spans="2:5" ht="30.6" customHeight="1" x14ac:dyDescent="0.45">
      <c r="B19" s="35" t="s">
        <v>6</v>
      </c>
      <c r="C19" s="871" t="s">
        <v>302</v>
      </c>
      <c r="D19" s="33" t="s">
        <v>289</v>
      </c>
      <c r="E19" s="78"/>
    </row>
    <row r="20" spans="2:5" ht="30.6" customHeight="1" x14ac:dyDescent="0.45">
      <c r="B20" s="35" t="s">
        <v>8</v>
      </c>
      <c r="C20" s="871" t="s">
        <v>301</v>
      </c>
      <c r="D20" s="33" t="s">
        <v>290</v>
      </c>
      <c r="E20" s="78"/>
    </row>
    <row r="21" spans="2:5" ht="30.6" customHeight="1" x14ac:dyDescent="0.45">
      <c r="B21" s="77" t="s">
        <v>80</v>
      </c>
      <c r="C21" s="871" t="s">
        <v>300</v>
      </c>
      <c r="D21" s="33" t="s">
        <v>291</v>
      </c>
      <c r="E21" s="78"/>
    </row>
    <row r="22" spans="2:5" ht="30.6" customHeight="1" x14ac:dyDescent="0.45">
      <c r="B22" s="77" t="s">
        <v>87</v>
      </c>
      <c r="C22" s="871" t="s">
        <v>299</v>
      </c>
      <c r="D22" s="33" t="s">
        <v>293</v>
      </c>
      <c r="E22" s="78"/>
    </row>
    <row r="23" spans="2:5" ht="30.6" customHeight="1" x14ac:dyDescent="0.45">
      <c r="B23" s="35" t="s">
        <v>9</v>
      </c>
      <c r="C23" s="33" t="s">
        <v>298</v>
      </c>
      <c r="D23" s="33" t="s">
        <v>292</v>
      </c>
      <c r="E23" s="78"/>
    </row>
    <row r="24" spans="2:5" ht="30.6" customHeight="1" x14ac:dyDescent="0.45">
      <c r="B24" s="35" t="s">
        <v>21</v>
      </c>
      <c r="C24" s="33" t="s">
        <v>297</v>
      </c>
      <c r="D24" s="33" t="s">
        <v>330</v>
      </c>
      <c r="E24" s="78"/>
    </row>
    <row r="25" spans="2:5" ht="30.6" customHeight="1" x14ac:dyDescent="0.45">
      <c r="B25" s="92" t="s">
        <v>47</v>
      </c>
      <c r="C25" s="88" t="s">
        <v>295</v>
      </c>
      <c r="D25" s="88" t="s">
        <v>294</v>
      </c>
      <c r="E25" s="78"/>
    </row>
    <row r="26" spans="2:5" ht="30.6" customHeight="1" thickBot="1" x14ac:dyDescent="0.5">
      <c r="B26" s="36" t="s">
        <v>45</v>
      </c>
      <c r="C26" s="827" t="s">
        <v>296</v>
      </c>
      <c r="D26" s="827" t="s">
        <v>267</v>
      </c>
      <c r="E26" s="78"/>
    </row>
    <row r="27" spans="2:5" x14ac:dyDescent="0.45">
      <c r="E27" s="37"/>
    </row>
    <row r="28" spans="2:5" x14ac:dyDescent="0.45">
      <c r="E28" s="37"/>
    </row>
    <row r="40" ht="30.6" customHeight="1" x14ac:dyDescent="0.45"/>
    <row r="62" ht="32.450000000000003" customHeight="1" x14ac:dyDescent="0.45"/>
  </sheetData>
  <hyperlinks>
    <hyperlink ref="A4" r:id="rId1" display="dmpowell@mit.edu"/>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V205"/>
  <sheetViews>
    <sheetView zoomScale="50" zoomScaleNormal="50" workbookViewId="0">
      <selection activeCell="C63" sqref="C63"/>
    </sheetView>
  </sheetViews>
  <sheetFormatPr defaultRowHeight="14.25" x14ac:dyDescent="0.45"/>
  <cols>
    <col min="1" max="1" width="27.6640625" customWidth="1"/>
    <col min="2" max="2" width="38.53125" style="19" customWidth="1"/>
    <col min="3" max="6" width="23.796875" customWidth="1"/>
    <col min="7" max="7" width="30.46484375" customWidth="1"/>
    <col min="8" max="8" width="22.33203125" customWidth="1"/>
    <col min="9" max="9" width="22.33203125" style="268" customWidth="1"/>
    <col min="10" max="11" width="22.33203125" customWidth="1"/>
    <col min="17" max="17" width="20.6640625" customWidth="1"/>
    <col min="18" max="18" width="27.33203125" customWidth="1"/>
    <col min="19" max="22" width="20.6640625" customWidth="1"/>
    <col min="38" max="67" width="3.1328125" customWidth="1"/>
  </cols>
  <sheetData>
    <row r="1" spans="1:29" ht="30.75" x14ac:dyDescent="0.9">
      <c r="A1" s="22" t="s">
        <v>67</v>
      </c>
      <c r="B1" s="22"/>
      <c r="I1" s="112"/>
    </row>
    <row r="2" spans="1:29" x14ac:dyDescent="0.45">
      <c r="A2" s="362" t="str">
        <f>Cover!A2</f>
        <v>Jan 2013</v>
      </c>
      <c r="B2" s="14"/>
    </row>
    <row r="3" spans="1:29" s="6" customFormat="1" x14ac:dyDescent="0.45">
      <c r="A3" s="123" t="s">
        <v>36</v>
      </c>
      <c r="B3" s="19"/>
      <c r="D3" s="19"/>
      <c r="I3" s="268"/>
    </row>
    <row r="4" spans="1:29" s="6" customFormat="1" ht="13.8" customHeight="1" x14ac:dyDescent="0.45">
      <c r="A4" s="116" t="s">
        <v>137</v>
      </c>
      <c r="B4" s="1"/>
      <c r="C4" s="991"/>
      <c r="I4" s="268"/>
      <c r="J4" s="19"/>
      <c r="Z4" s="19"/>
    </row>
    <row r="5" spans="1:29" s="6" customFormat="1" x14ac:dyDescent="0.45">
      <c r="G5" s="268"/>
      <c r="H5" s="268"/>
      <c r="I5" s="268"/>
      <c r="J5"/>
      <c r="K5"/>
    </row>
    <row r="6" spans="1:29" s="6" customFormat="1" x14ac:dyDescent="0.45">
      <c r="A6" s="19"/>
      <c r="D6" s="991"/>
      <c r="E6" s="991"/>
      <c r="F6" s="1046"/>
      <c r="G6" s="268"/>
      <c r="H6" s="268"/>
      <c r="I6" s="1047"/>
      <c r="J6"/>
      <c r="K6"/>
    </row>
    <row r="7" spans="1:29" ht="25.9" thickBot="1" x14ac:dyDescent="0.8">
      <c r="B7" s="13" t="s">
        <v>170</v>
      </c>
      <c r="C7" s="6"/>
      <c r="D7" s="19"/>
      <c r="E7" s="6"/>
      <c r="G7" s="648"/>
      <c r="H7" s="648"/>
      <c r="I7" s="648"/>
      <c r="J7" s="19"/>
      <c r="AC7" s="19"/>
    </row>
    <row r="8" spans="1:29" ht="14.45" customHeight="1" thickBot="1" x14ac:dyDescent="0.5">
      <c r="B8" s="247" t="s">
        <v>39</v>
      </c>
      <c r="C8" s="406" t="s">
        <v>179</v>
      </c>
      <c r="D8" s="15" t="s">
        <v>177</v>
      </c>
      <c r="E8" s="407" t="s">
        <v>178</v>
      </c>
      <c r="F8" s="410"/>
      <c r="J8" s="19"/>
      <c r="W8" s="547" t="s">
        <v>253</v>
      </c>
      <c r="X8" s="19"/>
      <c r="Y8" s="9"/>
      <c r="Z8" s="19"/>
    </row>
    <row r="9" spans="1:29" s="540" customFormat="1" ht="14.45" customHeight="1" x14ac:dyDescent="0.45">
      <c r="B9" s="413" t="s">
        <v>279</v>
      </c>
      <c r="C9" s="418">
        <f>'Standard mc-Si'!C21</f>
        <v>0.92029797569068639</v>
      </c>
      <c r="D9" s="419">
        <f>'Line-of-Sight'!C21</f>
        <v>0.56304002597217895</v>
      </c>
      <c r="E9" s="420">
        <f>'Advanced Concept'!C21</f>
        <v>0.4065733639861876</v>
      </c>
      <c r="F9" s="410"/>
      <c r="W9" s="547"/>
      <c r="Y9" s="553"/>
    </row>
    <row r="10" spans="1:29" ht="14.45" customHeight="1" x14ac:dyDescent="0.45">
      <c r="B10" s="896" t="s">
        <v>331</v>
      </c>
      <c r="C10" s="901">
        <f>'Standard mc-Si'!C22</f>
        <v>136.20410040222157</v>
      </c>
      <c r="D10" s="902">
        <f>'Line-of-Sight'!C22</f>
        <v>101.34720467499221</v>
      </c>
      <c r="E10" s="903">
        <f>'Advanced Concept'!C22</f>
        <v>83.347539617168465</v>
      </c>
      <c r="J10" s="19"/>
      <c r="W10" s="82" t="s">
        <v>120</v>
      </c>
      <c r="X10" s="56" t="s">
        <v>91</v>
      </c>
      <c r="Y10" s="80" t="s">
        <v>83</v>
      </c>
      <c r="Z10" s="81" t="s">
        <v>84</v>
      </c>
      <c r="AC10" s="19"/>
    </row>
    <row r="11" spans="1:29" s="540" customFormat="1" ht="14.45" customHeight="1" x14ac:dyDescent="0.45">
      <c r="B11" s="414" t="s">
        <v>182</v>
      </c>
      <c r="C11" s="421">
        <f>'Standard mc-Si'!C23</f>
        <v>1.1075021004859051</v>
      </c>
      <c r="D11" s="422">
        <f>'Line-of-Sight'!C23</f>
        <v>0.67727203500382904</v>
      </c>
      <c r="E11" s="423">
        <f>'Advanced Concept'!C23</f>
        <v>0.50589456099653207</v>
      </c>
      <c r="W11" s="544"/>
      <c r="X11" s="631"/>
      <c r="Y11" s="1002"/>
      <c r="Z11" s="1048"/>
    </row>
    <row r="12" spans="1:29" s="411" customFormat="1" ht="14.45" customHeight="1" x14ac:dyDescent="0.45">
      <c r="B12" s="413" t="s">
        <v>332</v>
      </c>
      <c r="C12" s="901">
        <f>'Standard mc-Si'!C24</f>
        <v>163.91031087191396</v>
      </c>
      <c r="D12" s="902">
        <f>'Line-of-Sight'!C24</f>
        <v>121.90896630068923</v>
      </c>
      <c r="E12" s="903">
        <f>'Advanced Concept'!C24</f>
        <v>103.70838500428907</v>
      </c>
      <c r="J12" s="412"/>
      <c r="W12" s="46" t="str">
        <f>C105</f>
        <v>Standard mc-Si</v>
      </c>
      <c r="X12" s="57">
        <v>0.1</v>
      </c>
      <c r="Y12" s="1002">
        <v>9.2029797569068483E-2</v>
      </c>
      <c r="Z12" s="1048">
        <v>9.2029797569068705E-2</v>
      </c>
    </row>
    <row r="13" spans="1:29" ht="14.45" customHeight="1" thickBot="1" x14ac:dyDescent="0.5">
      <c r="B13" s="415" t="s">
        <v>66</v>
      </c>
      <c r="C13" s="424">
        <f>'Standard mc-Si'!C25</f>
        <v>5.9223202080344937</v>
      </c>
      <c r="D13" s="425">
        <f>'Line-of-Sight'!C25</f>
        <v>2.6160296116135919</v>
      </c>
      <c r="E13" s="426">
        <f>'Advanced Concept'!C25</f>
        <v>0.59383698562947507</v>
      </c>
      <c r="W13" s="46" t="str">
        <f>D105</f>
        <v>Line-of-Sight</v>
      </c>
      <c r="X13" s="57">
        <v>0.1</v>
      </c>
      <c r="Y13" s="1002">
        <v>5.6304002597217906E-2</v>
      </c>
      <c r="Z13" s="1048">
        <v>5.6304002597217795E-2</v>
      </c>
      <c r="AC13" s="19"/>
    </row>
    <row r="14" spans="1:29" ht="14.45" customHeight="1" x14ac:dyDescent="0.45">
      <c r="F14" s="991"/>
      <c r="J14" s="59"/>
      <c r="W14" s="46"/>
      <c r="X14" s="57"/>
      <c r="Y14" s="994"/>
      <c r="Z14" s="1049"/>
      <c r="AC14" s="19"/>
    </row>
    <row r="15" spans="1:29" x14ac:dyDescent="0.45">
      <c r="J15" s="59"/>
      <c r="W15" s="46"/>
      <c r="X15" s="57"/>
      <c r="Y15" s="1002"/>
      <c r="Z15" s="1048"/>
      <c r="AC15" s="19"/>
    </row>
    <row r="16" spans="1:29" x14ac:dyDescent="0.45">
      <c r="J16" s="59"/>
      <c r="W16" s="46"/>
      <c r="X16" s="57"/>
      <c r="Y16" s="1002"/>
      <c r="Z16" s="1048"/>
      <c r="AC16" s="19"/>
    </row>
    <row r="17" spans="2:35" ht="25.9" thickBot="1" x14ac:dyDescent="0.8">
      <c r="B17" s="13" t="s">
        <v>48</v>
      </c>
      <c r="C17" s="410"/>
      <c r="D17" s="410"/>
      <c r="E17" s="410"/>
      <c r="J17" s="59"/>
      <c r="W17" s="43" t="str">
        <f>H105</f>
        <v>Adv. Concept</v>
      </c>
      <c r="X17" s="54">
        <v>0.1</v>
      </c>
      <c r="Y17" s="1004">
        <v>4.0657336398618793E-2</v>
      </c>
      <c r="Z17" s="1050">
        <v>4.0657336398618626E-2</v>
      </c>
      <c r="AC17" s="19"/>
    </row>
    <row r="18" spans="2:35" ht="14.65" thickBot="1" x14ac:dyDescent="0.5">
      <c r="B18" s="58" t="s">
        <v>39</v>
      </c>
      <c r="C18" s="275" t="str">
        <f>C8</f>
        <v>Standard mc-Si</v>
      </c>
      <c r="D18" s="275" t="str">
        <f>D8</f>
        <v>Line-of-Sight</v>
      </c>
      <c r="E18" s="275" t="str">
        <f>E8</f>
        <v>Adv. Concept</v>
      </c>
      <c r="F18" s="991"/>
      <c r="J18" s="59"/>
      <c r="Y18" s="543"/>
      <c r="Z18" s="543"/>
      <c r="AC18" s="19"/>
    </row>
    <row r="19" spans="2:35" x14ac:dyDescent="0.45">
      <c r="B19" s="236" t="s">
        <v>40</v>
      </c>
      <c r="C19" s="70">
        <f>'Standard mc-Si'!C8</f>
        <v>14.8</v>
      </c>
      <c r="D19" s="69">
        <f>'Line-of-Sight'!C8</f>
        <v>18</v>
      </c>
      <c r="E19" s="61">
        <f>'Advanced Concept'!C8</f>
        <v>20.5</v>
      </c>
      <c r="J19" s="50"/>
      <c r="Y19" s="543"/>
      <c r="Z19" s="543"/>
      <c r="AC19" s="19"/>
    </row>
    <row r="20" spans="2:35" x14ac:dyDescent="0.45">
      <c r="B20" s="238" t="s">
        <v>71</v>
      </c>
      <c r="C20" s="71">
        <f>'Standard mc-Si'!C9</f>
        <v>180</v>
      </c>
      <c r="D20" s="74">
        <f>'Line-of-Sight'!C9</f>
        <v>120</v>
      </c>
      <c r="E20" s="204">
        <f>'Advanced Concept'!C9</f>
        <v>50</v>
      </c>
      <c r="J20" s="59"/>
      <c r="Y20" s="543"/>
      <c r="Z20" s="543"/>
    </row>
    <row r="21" spans="2:35" x14ac:dyDescent="0.45">
      <c r="B21" s="238" t="s">
        <v>181</v>
      </c>
      <c r="C21" s="71">
        <f>'Standard mc-Si'!C10</f>
        <v>0.45</v>
      </c>
      <c r="D21" s="74">
        <f>'Line-of-Sight'!C10</f>
        <v>0.55000000000000004</v>
      </c>
      <c r="E21" s="204">
        <f>'Advanced Concept'!C10</f>
        <v>0.9</v>
      </c>
      <c r="J21" s="59"/>
      <c r="K21" s="6"/>
      <c r="W21" s="551" t="s">
        <v>135</v>
      </c>
      <c r="Y21" s="543"/>
      <c r="Z21" s="543"/>
    </row>
    <row r="22" spans="2:35" x14ac:dyDescent="0.45">
      <c r="B22" s="238" t="s">
        <v>41</v>
      </c>
      <c r="C22" s="71">
        <f>'Standard mc-Si'!C11</f>
        <v>30</v>
      </c>
      <c r="D22" s="74">
        <f>'Line-of-Sight'!C11</f>
        <v>30</v>
      </c>
      <c r="E22" s="204">
        <f>'Advanced Concept'!C11</f>
        <v>30</v>
      </c>
      <c r="J22" s="59"/>
      <c r="K22" s="6"/>
      <c r="W22" s="82" t="s">
        <v>120</v>
      </c>
      <c r="X22" s="203" t="s">
        <v>91</v>
      </c>
      <c r="Y22" s="1051" t="s">
        <v>83</v>
      </c>
      <c r="Z22" s="1052" t="s">
        <v>84</v>
      </c>
    </row>
    <row r="23" spans="2:35" x14ac:dyDescent="0.45">
      <c r="B23" s="557" t="s">
        <v>319</v>
      </c>
      <c r="C23" s="71">
        <f>'Standard mc-Si'!C12</f>
        <v>14.5</v>
      </c>
      <c r="D23" s="74">
        <f>'Line-of-Sight'!C12</f>
        <v>14.5</v>
      </c>
      <c r="E23" s="204">
        <f>'Advanced Concept'!C12</f>
        <v>14.5</v>
      </c>
      <c r="J23" s="59"/>
      <c r="W23" s="998">
        <v>2012</v>
      </c>
      <c r="X23" s="996"/>
      <c r="Y23" s="994">
        <v>0.12168797110335339</v>
      </c>
      <c r="Z23" s="1049">
        <v>0.11949458041719874</v>
      </c>
      <c r="AC23" s="19"/>
    </row>
    <row r="24" spans="2:35" s="458" customFormat="1" x14ac:dyDescent="0.45">
      <c r="B24" s="557" t="s">
        <v>320</v>
      </c>
      <c r="C24" s="485">
        <f>'Standard mc-Si'!C13</f>
        <v>20.61</v>
      </c>
      <c r="D24" s="486">
        <f>'Line-of-Sight'!C13</f>
        <v>20.61</v>
      </c>
      <c r="E24" s="487">
        <f>'Advanced Concept'!C13</f>
        <v>20.61</v>
      </c>
      <c r="J24" s="474"/>
      <c r="W24" s="998" t="s">
        <v>81</v>
      </c>
      <c r="X24" s="996"/>
      <c r="Y24" s="994">
        <v>7.4377558342619721E-2</v>
      </c>
      <c r="Z24" s="1049">
        <v>7.3043937476563014E-2</v>
      </c>
      <c r="AB24"/>
      <c r="AC24" s="19"/>
      <c r="AI24" s="540"/>
    </row>
    <row r="25" spans="2:35" s="458" customFormat="1" x14ac:dyDescent="0.45">
      <c r="B25" s="557" t="s">
        <v>321</v>
      </c>
      <c r="C25" s="485">
        <f>'Standard mc-Si'!C14</f>
        <v>27.27</v>
      </c>
      <c r="D25" s="486">
        <f>'Line-of-Sight'!C14</f>
        <v>27.27</v>
      </c>
      <c r="E25" s="487">
        <f>'Advanced Concept'!C14</f>
        <v>27.27</v>
      </c>
      <c r="J25" s="474"/>
      <c r="W25" s="998"/>
      <c r="X25" s="996"/>
      <c r="Y25" s="994"/>
      <c r="Z25" s="1049"/>
      <c r="AB25"/>
      <c r="AC25" s="19"/>
      <c r="AI25" s="540"/>
    </row>
    <row r="26" spans="2:35" s="458" customFormat="1" x14ac:dyDescent="0.45">
      <c r="B26" s="557" t="s">
        <v>322</v>
      </c>
      <c r="C26" s="485">
        <f>'Standard mc-Si'!C15</f>
        <v>1.325</v>
      </c>
      <c r="D26" s="486">
        <f>'Line-of-Sight'!C15</f>
        <v>1.325</v>
      </c>
      <c r="E26" s="487">
        <f>'Advanced Concept'!C15</f>
        <v>1.325</v>
      </c>
      <c r="J26" s="474"/>
      <c r="W26" s="998"/>
      <c r="X26" s="996"/>
      <c r="Y26" s="1002"/>
      <c r="Z26" s="1048"/>
      <c r="AB26"/>
      <c r="AC26" s="19"/>
    </row>
    <row r="27" spans="2:35" s="222" customFormat="1" x14ac:dyDescent="0.45">
      <c r="B27" s="464" t="s">
        <v>203</v>
      </c>
      <c r="C27" s="71">
        <f>'Standard mc-Si'!I104</f>
        <v>2.3906273906273912</v>
      </c>
      <c r="D27" s="74">
        <f>'Line-of-Sight'!I104</f>
        <v>1.3483717842111802</v>
      </c>
      <c r="E27" s="204">
        <f>'Advanced Concept'!I104</f>
        <v>0.76353069701185006</v>
      </c>
      <c r="J27" s="271"/>
      <c r="W27" s="998"/>
      <c r="X27" s="996"/>
      <c r="Y27" s="1002"/>
      <c r="Z27" s="1048"/>
      <c r="AB27" s="458"/>
      <c r="AC27" s="458"/>
      <c r="AI27" s="546"/>
    </row>
    <row r="28" spans="2:35" s="60" customFormat="1" ht="13.8" customHeight="1" x14ac:dyDescent="0.45">
      <c r="B28" s="238" t="s">
        <v>72</v>
      </c>
      <c r="C28" s="62">
        <f>'Standard mc-Si'!C16</f>
        <v>6.8900000000000003E-2</v>
      </c>
      <c r="D28" s="72">
        <f>'Line-of-Sight'!C16</f>
        <v>6.8900000000000003E-2</v>
      </c>
      <c r="E28" s="126">
        <f>'Advanced Concept'!C16</f>
        <v>6.8900000000000003E-2</v>
      </c>
      <c r="J28" s="63"/>
      <c r="W28" s="997" t="s">
        <v>79</v>
      </c>
      <c r="X28" s="1000"/>
      <c r="Y28" s="642">
        <v>5.7661174221759093E-2</v>
      </c>
      <c r="Z28" s="1053">
        <v>5.6240623867367889E-2</v>
      </c>
      <c r="AB28" s="458"/>
      <c r="AC28" s="458"/>
    </row>
    <row r="29" spans="2:35" s="272" customFormat="1" ht="13.8" customHeight="1" x14ac:dyDescent="0.45">
      <c r="B29" s="464" t="s">
        <v>231</v>
      </c>
      <c r="C29" s="71">
        <f>'Standard mc-Si'!C86</f>
        <v>0.87356408026050902</v>
      </c>
      <c r="D29" s="74">
        <f>'Line-of-Sight'!C86</f>
        <v>0.53114262435231552</v>
      </c>
      <c r="E29" s="204">
        <f>'Advanced Concept'!C86</f>
        <v>0.4735074366426068</v>
      </c>
      <c r="J29" s="276"/>
    </row>
    <row r="30" spans="2:35" ht="14.65" thickBot="1" x14ac:dyDescent="0.5">
      <c r="B30" s="128" t="s">
        <v>180</v>
      </c>
      <c r="C30" s="427">
        <f>'Standard mc-Si'!C17</f>
        <v>0</v>
      </c>
      <c r="D30" s="428">
        <f>'Line-of-Sight'!C17</f>
        <v>0</v>
      </c>
      <c r="E30" s="205">
        <f>'Advanced Concept'!C17</f>
        <v>0</v>
      </c>
      <c r="J30" s="114"/>
      <c r="AC30" s="19"/>
    </row>
    <row r="31" spans="2:35" x14ac:dyDescent="0.45">
      <c r="F31" s="6"/>
      <c r="J31" s="50"/>
      <c r="AC31" s="19"/>
    </row>
    <row r="32" spans="2:35" x14ac:dyDescent="0.45">
      <c r="B32" s="553"/>
      <c r="C32" s="6"/>
      <c r="D32" s="6"/>
      <c r="E32" s="6"/>
      <c r="F32" s="6"/>
      <c r="J32" s="50"/>
      <c r="AC32" s="19"/>
    </row>
    <row r="33" spans="2:69" x14ac:dyDescent="0.45">
      <c r="C33" s="543"/>
      <c r="D33" s="543"/>
      <c r="E33" s="543"/>
      <c r="J33" s="50"/>
      <c r="AC33" s="19"/>
    </row>
    <row r="34" spans="2:69" s="6" customFormat="1" ht="25.9" thickBot="1" x14ac:dyDescent="0.8">
      <c r="B34" s="13" t="s">
        <v>169</v>
      </c>
      <c r="J34" s="50"/>
      <c r="K34"/>
      <c r="AC34" s="19"/>
      <c r="AG34" s="540"/>
    </row>
    <row r="35" spans="2:69" x14ac:dyDescent="0.45">
      <c r="B35" s="20"/>
      <c r="C35" s="86" t="str">
        <f>C8</f>
        <v>Standard mc-Si</v>
      </c>
      <c r="D35" s="86" t="str">
        <f>D8</f>
        <v>Line-of-Sight</v>
      </c>
      <c r="E35" s="416" t="str">
        <f>E8</f>
        <v>Adv. Concept</v>
      </c>
      <c r="J35" s="50"/>
      <c r="AC35" s="19"/>
      <c r="AG35" s="540"/>
    </row>
    <row r="36" spans="2:69" ht="14.65" thickBot="1" x14ac:dyDescent="0.5">
      <c r="B36" s="20"/>
      <c r="C36" s="87" t="s">
        <v>171</v>
      </c>
      <c r="D36" s="87" t="s">
        <v>171</v>
      </c>
      <c r="E36" s="417" t="s">
        <v>171</v>
      </c>
      <c r="J36" s="50"/>
      <c r="AC36" s="19"/>
      <c r="AE36" s="96"/>
    </row>
    <row r="37" spans="2:69" x14ac:dyDescent="0.45">
      <c r="B37" s="299" t="str">
        <f>'Standard mc-Si'!B30</f>
        <v>Silicon Feedstock</v>
      </c>
      <c r="C37" s="18">
        <f>'Standard mc-Si'!G30</f>
        <v>0.17766960624103481</v>
      </c>
      <c r="D37" s="429">
        <f>'Line-of-Sight'!G30</f>
        <v>7.848088834840776E-2</v>
      </c>
      <c r="E37" s="10">
        <f>'Advanced Concept'!G30</f>
        <v>1.7815109568884251E-2</v>
      </c>
      <c r="J37" s="50"/>
      <c r="AC37" s="19"/>
      <c r="AE37" s="96"/>
      <c r="AH37" s="96"/>
    </row>
    <row r="38" spans="2:69" x14ac:dyDescent="0.45">
      <c r="B38" s="237" t="str">
        <f>'Standard mc-Si'!B31</f>
        <v>Depreciation</v>
      </c>
      <c r="C38" s="55">
        <f>'Standard mc-Si'!G31</f>
        <v>0.10413824919309614</v>
      </c>
      <c r="D38" s="72">
        <f>'Line-of-Sight'!G31</f>
        <v>6.3317922773772475E-2</v>
      </c>
      <c r="E38" s="126">
        <f>'Advanced Concept'!G31</f>
        <v>7.3069761394395388E-2</v>
      </c>
      <c r="J38" s="50"/>
      <c r="AC38" s="19"/>
      <c r="AE38" s="45"/>
      <c r="AF38" s="45"/>
      <c r="AH38" s="45"/>
      <c r="AI38" s="45"/>
    </row>
    <row r="39" spans="2:69" x14ac:dyDescent="0.45">
      <c r="B39" s="237" t="str">
        <f>'Standard mc-Si'!B32</f>
        <v>Maintenance</v>
      </c>
      <c r="C39" s="55">
        <f>'Standard mc-Si'!G32</f>
        <v>4.0974188746510189E-2</v>
      </c>
      <c r="D39" s="72">
        <f>'Line-of-Sight'!G32</f>
        <v>2.4913041450878411E-2</v>
      </c>
      <c r="E39" s="126">
        <f>'Advanced Concept'!G32</f>
        <v>2.674696592446512E-2</v>
      </c>
      <c r="G39" s="268"/>
      <c r="H39" s="409"/>
      <c r="J39" s="50"/>
      <c r="M39" s="20"/>
      <c r="N39" s="20"/>
      <c r="O39" s="5"/>
      <c r="P39" s="20"/>
      <c r="Q39" s="20"/>
      <c r="R39" s="20"/>
      <c r="S39" s="20"/>
      <c r="T39" s="20"/>
      <c r="AE39" s="45"/>
      <c r="AF39" s="45"/>
      <c r="AH39" s="45"/>
      <c r="AI39" s="45"/>
    </row>
    <row r="40" spans="2:69" x14ac:dyDescent="0.45">
      <c r="B40" s="237" t="str">
        <f>'Standard mc-Si'!B33</f>
        <v>Labor</v>
      </c>
      <c r="C40" s="55">
        <f>'Standard mc-Si'!G33</f>
        <v>0.11485173825240791</v>
      </c>
      <c r="D40" s="72">
        <f>'Line-of-Sight'!G33</f>
        <v>6.4637005640183057E-2</v>
      </c>
      <c r="E40" s="126">
        <f>'Advanced Concept'!G33</f>
        <v>3.7640240574941336E-2</v>
      </c>
      <c r="G40" s="268"/>
      <c r="H40" s="76"/>
      <c r="J40" s="50"/>
      <c r="M40" s="20"/>
      <c r="N40" s="20"/>
      <c r="O40" s="5"/>
      <c r="P40" s="38"/>
      <c r="Q40" s="38"/>
      <c r="R40" s="38"/>
      <c r="S40" s="38"/>
      <c r="T40" s="20"/>
      <c r="AE40" s="45"/>
      <c r="AF40" s="45"/>
      <c r="AH40" s="45"/>
      <c r="AI40" s="45"/>
    </row>
    <row r="41" spans="2:69" x14ac:dyDescent="0.45">
      <c r="B41" s="237" t="str">
        <f>'Standard mc-Si'!B34</f>
        <v>Input Electricity</v>
      </c>
      <c r="C41" s="55">
        <f>'Standard mc-Si'!G34</f>
        <v>4.9944103700511312E-2</v>
      </c>
      <c r="D41" s="72">
        <f>'Line-of-Sight'!G34</f>
        <v>3.6285523333954899E-2</v>
      </c>
      <c r="E41" s="126">
        <f>'Advanced Concept'!G34</f>
        <v>2.9111570365581048E-2</v>
      </c>
      <c r="G41" s="268"/>
      <c r="H41" s="234"/>
      <c r="J41" s="50"/>
      <c r="M41" s="20"/>
      <c r="N41" s="20"/>
      <c r="O41" s="20"/>
      <c r="P41" s="8"/>
      <c r="Q41" s="8"/>
      <c r="R41" s="8"/>
      <c r="S41" s="8"/>
      <c r="T41" s="20"/>
    </row>
    <row r="42" spans="2:69" x14ac:dyDescent="0.45">
      <c r="B42" s="237" t="str">
        <f>'Standard mc-Si'!B35</f>
        <v>Metal Paste</v>
      </c>
      <c r="C42" s="55">
        <f>'Standard mc-Si'!G35</f>
        <v>8.0865179308402757E-2</v>
      </c>
      <c r="D42" s="72">
        <f>'Line-of-Sight'!G35</f>
        <v>2.7200225350878904E-2</v>
      </c>
      <c r="E42" s="126">
        <f>'Advanced Concept'!G35</f>
        <v>2.4248682729429632E-2</v>
      </c>
      <c r="G42" s="268"/>
      <c r="H42" s="234"/>
      <c r="J42" s="50"/>
      <c r="K42" s="20"/>
      <c r="L42" s="20"/>
      <c r="M42" s="20"/>
      <c r="N42" s="8"/>
      <c r="O42" s="8"/>
      <c r="P42" s="8"/>
      <c r="Q42" s="8"/>
      <c r="R42" s="20"/>
    </row>
    <row r="43" spans="2:69" x14ac:dyDescent="0.45">
      <c r="B43" s="237" t="str">
        <f>'Standard mc-Si'!B36</f>
        <v>Crucible</v>
      </c>
      <c r="C43" s="55">
        <f>'Standard mc-Si'!G36</f>
        <v>1.4024143405631155E-2</v>
      </c>
      <c r="D43" s="72">
        <f>'Line-of-Sight'!G36</f>
        <v>4.542991891154256E-3</v>
      </c>
      <c r="E43" s="126">
        <f>'Advanced Concept'!G36</f>
        <v>0</v>
      </c>
      <c r="G43" s="268"/>
      <c r="H43" s="234"/>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row>
    <row r="44" spans="2:69" x14ac:dyDescent="0.45">
      <c r="B44" s="237" t="str">
        <f>'Standard mc-Si'!B37</f>
        <v>Wire</v>
      </c>
      <c r="C44" s="55">
        <f>'Standard mc-Si'!G37</f>
        <v>2.2532485940259014E-2</v>
      </c>
      <c r="D44" s="72">
        <f>'Line-of-Sight'!G37</f>
        <v>1.4715656061558545E-2</v>
      </c>
      <c r="E44" s="126">
        <f>'Advanced Concept'!G37</f>
        <v>0</v>
      </c>
      <c r="G44" s="268"/>
      <c r="H44" s="234"/>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row>
    <row r="45" spans="2:69" s="458" customFormat="1" x14ac:dyDescent="0.45">
      <c r="B45" s="463" t="str">
        <f>'Standard mc-Si'!B38</f>
        <v>Slurry</v>
      </c>
      <c r="C45" s="55">
        <f>'Standard mc-Si'!G38</f>
        <v>3.2208929081287488E-2</v>
      </c>
      <c r="D45" s="72">
        <f>'Line-of-Sight'!G38</f>
        <v>1.7325641171365522E-2</v>
      </c>
      <c r="E45" s="126">
        <f>'Advanced Concept'!G38</f>
        <v>0</v>
      </c>
      <c r="G45" s="473"/>
      <c r="H45" s="234"/>
      <c r="I45" s="473"/>
      <c r="J45"/>
      <c r="K45" s="6"/>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row>
    <row r="46" spans="2:69" x14ac:dyDescent="0.45">
      <c r="B46" s="237" t="str">
        <f>'Standard mc-Si'!B39</f>
        <v>Glass</v>
      </c>
      <c r="C46" s="55">
        <f>'Standard mc-Si'!G39</f>
        <v>4.9822549822549821E-2</v>
      </c>
      <c r="D46" s="72">
        <f>'Line-of-Sight'!G39</f>
        <v>4.0759352317141256E-2</v>
      </c>
      <c r="E46" s="126">
        <f>'Advanced Concept'!G39</f>
        <v>3.596945060359695E-2</v>
      </c>
      <c r="G46" s="268"/>
      <c r="H46" s="234"/>
    </row>
    <row r="47" spans="2:69" x14ac:dyDescent="0.45">
      <c r="B47" s="237" t="str">
        <f>'Standard mc-Si'!B40</f>
        <v>Frame</v>
      </c>
      <c r="C47" s="55">
        <f>'Standard mc-Si'!G40</f>
        <v>5.7633341109124582E-2</v>
      </c>
      <c r="D47" s="72">
        <f>'Line-of-Sight'!G40</f>
        <v>4.7149286093293878E-2</v>
      </c>
      <c r="E47" s="126">
        <f>'Advanced Concept'!G40</f>
        <v>4.1608460898294827E-2</v>
      </c>
      <c r="G47" s="268"/>
      <c r="H47" s="234"/>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row>
    <row r="48" spans="2:69" x14ac:dyDescent="0.45">
      <c r="B48" s="237" t="str">
        <f>'Standard mc-Si'!B41</f>
        <v>Encapsulant</v>
      </c>
      <c r="C48" s="55">
        <f>'Standard mc-Si'!G41</f>
        <v>3.412503412503412E-2</v>
      </c>
      <c r="D48" s="72">
        <f>'Line-of-Sight'!G41</f>
        <v>2.7917364600781685E-2</v>
      </c>
      <c r="E48" s="126">
        <f>'Advanced Concept'!G41</f>
        <v>2.4636610002463661E-2</v>
      </c>
      <c r="G48" s="268"/>
      <c r="H48" s="234"/>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row>
    <row r="49" spans="1:69" x14ac:dyDescent="0.45">
      <c r="B49" s="237" t="str">
        <f>'Standard mc-Si'!B42</f>
        <v>JB and Cable</v>
      </c>
      <c r="C49" s="55">
        <f>'Standard mc-Si'!G42</f>
        <v>2.4959960857396754E-2</v>
      </c>
      <c r="D49" s="72">
        <f>'Line-of-Sight'!G42</f>
        <v>2.0419505666252218E-2</v>
      </c>
      <c r="E49" s="126">
        <f>'Advanced Concept'!G42</f>
        <v>1.8019874179974246E-2</v>
      </c>
      <c r="G49" s="268"/>
      <c r="H49" s="234"/>
    </row>
    <row r="50" spans="1:69" x14ac:dyDescent="0.45">
      <c r="B50" s="237" t="str">
        <f>'Standard mc-Si'!B43</f>
        <v>Chemicals</v>
      </c>
      <c r="C50" s="55">
        <f>'Standard mc-Si'!G43</f>
        <v>2.4710361248822785E-2</v>
      </c>
      <c r="D50" s="72">
        <f>'Line-of-Sight'!G43</f>
        <v>2.0317408137920958E-2</v>
      </c>
      <c r="E50" s="126">
        <f>'Advanced Concept'!G43</f>
        <v>1.7839675438174503E-2</v>
      </c>
      <c r="G50" s="268"/>
      <c r="H50" s="234"/>
      <c r="K50" s="6"/>
      <c r="O50" s="3"/>
    </row>
    <row r="51" spans="1:69" x14ac:dyDescent="0.45">
      <c r="B51" s="237" t="str">
        <f>'Standard mc-Si'!B44</f>
        <v>Backsheet</v>
      </c>
      <c r="C51" s="55">
        <f>'Standard mc-Si'!G44</f>
        <v>4.777504777504777E-2</v>
      </c>
      <c r="D51" s="72">
        <f>'Line-of-Sight'!G44</f>
        <v>3.908431044109436E-2</v>
      </c>
      <c r="E51" s="126">
        <f>'Advanced Concept'!G44</f>
        <v>3.4491254003449129E-2</v>
      </c>
      <c r="G51" s="268"/>
      <c r="H51" s="234"/>
      <c r="K51" s="6"/>
      <c r="L51" s="6"/>
      <c r="M51" s="6"/>
      <c r="N51" s="6"/>
      <c r="O51" s="3"/>
      <c r="P51" s="6"/>
      <c r="Q51" s="6"/>
      <c r="R51" s="6"/>
      <c r="S51" s="6"/>
      <c r="T51" s="6"/>
      <c r="U51" s="6"/>
      <c r="V51" s="6"/>
      <c r="W51" s="6"/>
      <c r="X51" s="6"/>
      <c r="Z51" s="6"/>
      <c r="AA51" s="6"/>
      <c r="AB51" s="6"/>
      <c r="AC51" s="6"/>
      <c r="AD51" s="6"/>
      <c r="AE51" s="6"/>
      <c r="AF51" s="6"/>
      <c r="AG51" s="6"/>
      <c r="AH51" s="6"/>
      <c r="AI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row>
    <row r="52" spans="1:69" x14ac:dyDescent="0.45">
      <c r="B52" s="237" t="str">
        <f>'Standard mc-Si'!B45</f>
        <v>Ribbon</v>
      </c>
      <c r="C52" s="55">
        <f>'Standard mc-Si'!G45</f>
        <v>3.207753207753207E-2</v>
      </c>
      <c r="D52" s="72">
        <f>'Line-of-Sight'!G45</f>
        <v>2.6242322724734785E-2</v>
      </c>
      <c r="E52" s="126">
        <f>'Advanced Concept'!G45</f>
        <v>2.3158413402315843E-2</v>
      </c>
      <c r="G52" s="268"/>
      <c r="H52" s="234"/>
      <c r="O52" s="3"/>
    </row>
    <row r="53" spans="1:69" x14ac:dyDescent="0.45">
      <c r="B53" s="237" t="str">
        <f>'Standard mc-Si'!B46</f>
        <v>Packaging</v>
      </c>
      <c r="C53" s="55">
        <f>'Standard mc-Si'!G46</f>
        <v>3.0712530712530711E-3</v>
      </c>
      <c r="D53" s="72">
        <f>'Line-of-Sight'!G46</f>
        <v>2.5125628140703514E-3</v>
      </c>
      <c r="E53" s="126">
        <f>'Advanced Concept'!G46</f>
        <v>2.2172949002217299E-3</v>
      </c>
      <c r="G53" s="268"/>
      <c r="H53" s="234"/>
      <c r="O53" s="3"/>
    </row>
    <row r="54" spans="1:69" x14ac:dyDescent="0.45">
      <c r="B54" s="237" t="str">
        <f>'Standard mc-Si'!B47</f>
        <v>Screens</v>
      </c>
      <c r="C54" s="55">
        <f>'Standard mc-Si'!G47</f>
        <v>8.9142717347845558E-3</v>
      </c>
      <c r="D54" s="72">
        <f>'Line-of-Sight'!G47</f>
        <v>7.2190171547356343E-3</v>
      </c>
      <c r="E54" s="126">
        <f>'Advanced Concept'!G47</f>
        <v>0</v>
      </c>
      <c r="G54" s="268"/>
      <c r="H54" s="234"/>
      <c r="J54" s="540"/>
      <c r="K54" s="540"/>
      <c r="L54" s="540"/>
      <c r="M54" s="540"/>
      <c r="N54" s="540"/>
      <c r="O54" s="550"/>
      <c r="P54" s="540"/>
      <c r="Q54" s="540"/>
      <c r="R54" s="540"/>
      <c r="S54" s="540"/>
      <c r="T54" s="540"/>
      <c r="U54" s="540"/>
      <c r="V54" s="540"/>
      <c r="W54" s="540"/>
      <c r="X54" s="540"/>
      <c r="Y54" s="540"/>
      <c r="Z54" s="540"/>
      <c r="AA54" s="540"/>
      <c r="AB54" s="540"/>
      <c r="AC54" s="540"/>
      <c r="AD54" s="540"/>
      <c r="AE54" s="540"/>
      <c r="AF54" s="540"/>
      <c r="AG54" s="540"/>
      <c r="AH54" s="540"/>
      <c r="AI54" s="540"/>
      <c r="AJ54" s="540"/>
      <c r="AK54" s="540"/>
      <c r="AL54" s="540"/>
      <c r="AM54" s="540"/>
      <c r="AN54" s="540"/>
      <c r="AO54" s="540"/>
      <c r="AP54" s="540"/>
      <c r="AQ54" s="540"/>
      <c r="AR54" s="540"/>
      <c r="AS54" s="540"/>
      <c r="AT54" s="540"/>
      <c r="AU54" s="540"/>
      <c r="AV54" s="540"/>
      <c r="AW54" s="540"/>
      <c r="AX54" s="540"/>
      <c r="AY54" s="540"/>
      <c r="AZ54" s="540"/>
      <c r="BA54" s="540"/>
      <c r="BB54" s="540"/>
      <c r="BC54" s="540"/>
      <c r="BD54" s="540"/>
      <c r="BE54" s="540"/>
      <c r="BF54" s="540"/>
      <c r="BG54" s="540"/>
      <c r="BH54" s="540"/>
      <c r="BI54" s="540"/>
      <c r="BJ54" s="540"/>
      <c r="BK54" s="540"/>
      <c r="BL54" s="540"/>
      <c r="BM54" s="540"/>
      <c r="BN54" s="540"/>
      <c r="BO54" s="540"/>
      <c r="BP54" s="540"/>
      <c r="BQ54" s="540"/>
    </row>
    <row r="55" spans="1:69" ht="14.65" thickBot="1" x14ac:dyDescent="0.5">
      <c r="B55" s="239" t="str">
        <f>'Standard mc-Si'!B48</f>
        <v>Shipping costs</v>
      </c>
      <c r="C55" s="98">
        <f>'Standard mc-Si'!G48</f>
        <v>0</v>
      </c>
      <c r="D55" s="430">
        <f>'Line-of-Sight'!G48</f>
        <v>0</v>
      </c>
      <c r="E55" s="40">
        <f>'Advanced Concept'!G48</f>
        <v>0</v>
      </c>
      <c r="G55" s="268"/>
      <c r="H55" s="234"/>
      <c r="L55" s="6"/>
      <c r="M55" s="6"/>
      <c r="N55" s="6"/>
      <c r="O55" s="3"/>
      <c r="P55" s="6"/>
      <c r="Q55" s="6"/>
      <c r="R55" s="6"/>
      <c r="S55" s="6"/>
      <c r="T55" s="6"/>
      <c r="U55" s="6"/>
      <c r="V55" s="6"/>
      <c r="W55" s="6"/>
      <c r="X55" s="6"/>
      <c r="Z55" s="6"/>
      <c r="AA55" s="6"/>
      <c r="AB55" s="6"/>
      <c r="AC55" s="6"/>
      <c r="AD55" s="6"/>
      <c r="AE55" s="6"/>
      <c r="AF55" s="6"/>
      <c r="AG55" s="6"/>
      <c r="AH55" s="6"/>
      <c r="AI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row>
    <row r="56" spans="1:69" ht="14.65" thickBot="1" x14ac:dyDescent="0.5">
      <c r="B56" s="12" t="s">
        <v>3</v>
      </c>
      <c r="C56" s="17">
        <f>SUM(C37:C55)</f>
        <v>0.92029797569068639</v>
      </c>
      <c r="D56" s="17">
        <f>SUM(D37:D55)</f>
        <v>0.56304002597217895</v>
      </c>
      <c r="E56" s="30">
        <f>SUM(E37:E55)</f>
        <v>0.4065733639861876</v>
      </c>
      <c r="G56" s="268"/>
      <c r="H56" s="234"/>
      <c r="L56" s="6"/>
      <c r="M56" s="19"/>
      <c r="N56" s="19"/>
      <c r="O56" s="3"/>
      <c r="P56" s="6"/>
      <c r="Q56" s="6"/>
      <c r="R56" s="6"/>
      <c r="S56" s="6"/>
      <c r="T56" s="6"/>
      <c r="U56" s="6"/>
      <c r="V56" s="6"/>
      <c r="W56" s="6"/>
      <c r="X56" s="6"/>
      <c r="Z56" s="6"/>
      <c r="AA56" s="6"/>
      <c r="AB56" s="6"/>
      <c r="AC56" s="6"/>
      <c r="AD56" s="6"/>
      <c r="AE56" s="6"/>
      <c r="AF56" s="6"/>
      <c r="AG56" s="6"/>
      <c r="AH56" s="6"/>
      <c r="AI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row>
    <row r="57" spans="1:69" x14ac:dyDescent="0.45">
      <c r="G57" s="268"/>
      <c r="H57" s="234"/>
      <c r="L57" s="19"/>
      <c r="M57" s="2"/>
      <c r="N57" s="2"/>
      <c r="O57" s="6"/>
      <c r="P57" s="6"/>
      <c r="Q57" s="32"/>
      <c r="R57" s="32"/>
      <c r="S57" s="32"/>
      <c r="T57" s="32"/>
      <c r="U57" s="32"/>
      <c r="V57" s="32"/>
      <c r="W57" s="32"/>
      <c r="X57" s="6"/>
      <c r="Z57" s="6"/>
      <c r="AA57" s="6"/>
      <c r="AB57" s="6"/>
      <c r="AC57" s="6"/>
      <c r="AD57" s="6"/>
      <c r="AE57" s="6"/>
      <c r="AF57" s="6"/>
      <c r="AG57" s="6"/>
      <c r="AH57" s="6"/>
      <c r="AI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row>
    <row r="58" spans="1:69" s="44" customFormat="1" x14ac:dyDescent="0.45">
      <c r="B58" s="19"/>
      <c r="C58"/>
      <c r="D58"/>
      <c r="E58"/>
      <c r="G58" s="268"/>
      <c r="H58" s="631"/>
      <c r="I58" s="631"/>
      <c r="J58"/>
      <c r="K58"/>
      <c r="L58" s="19"/>
      <c r="M58" s="2"/>
      <c r="N58" s="2"/>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row>
    <row r="59" spans="1:69" ht="14.65" thickBot="1" x14ac:dyDescent="0.5">
      <c r="B59" s="44"/>
      <c r="C59" s="44"/>
      <c r="D59" s="44"/>
      <c r="E59" s="44"/>
      <c r="G59" s="268"/>
      <c r="H59" s="234"/>
      <c r="J59" s="19"/>
      <c r="K59" s="19"/>
      <c r="L59" s="19"/>
      <c r="M59" s="19"/>
      <c r="N59" s="19"/>
      <c r="O59" s="19"/>
      <c r="P59" s="19"/>
      <c r="Q59" s="19"/>
      <c r="R59" s="19"/>
      <c r="S59" s="19"/>
      <c r="T59" s="19"/>
      <c r="U59" s="19"/>
      <c r="V59" s="19"/>
      <c r="W59" s="19"/>
      <c r="X59" s="19"/>
      <c r="Z59" s="19"/>
      <c r="AA59" s="19"/>
      <c r="AB59" s="19"/>
      <c r="AC59" s="19"/>
      <c r="AD59" s="19"/>
      <c r="AE59" s="19"/>
      <c r="AF59" s="19"/>
      <c r="AG59" s="19"/>
      <c r="AH59" s="19"/>
      <c r="AI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row>
    <row r="60" spans="1:69" x14ac:dyDescent="0.45">
      <c r="B60" s="51"/>
      <c r="C60" s="99" t="str">
        <f>C8</f>
        <v>Standard mc-Si</v>
      </c>
      <c r="D60" s="99" t="str">
        <f>D8</f>
        <v>Line-of-Sight</v>
      </c>
      <c r="E60" s="100" t="str">
        <f>E8</f>
        <v>Adv. Concept</v>
      </c>
      <c r="G60" s="268"/>
      <c r="H60" s="230"/>
      <c r="J60" s="19"/>
      <c r="K60" s="19"/>
      <c r="L60" s="19"/>
      <c r="M60" s="19"/>
      <c r="N60" s="19"/>
      <c r="O60" s="19"/>
      <c r="P60" s="19"/>
      <c r="Q60" s="19"/>
      <c r="R60" s="19"/>
      <c r="S60" s="19"/>
      <c r="T60" s="19"/>
      <c r="U60" s="19"/>
      <c r="V60" s="19"/>
      <c r="W60" s="19"/>
      <c r="X60" s="19"/>
      <c r="Z60" s="19"/>
      <c r="AA60" s="19"/>
      <c r="AB60" s="19"/>
      <c r="AC60" s="19"/>
      <c r="AD60" s="19"/>
      <c r="AE60" s="19"/>
      <c r="AF60" s="19"/>
      <c r="AG60" s="19"/>
      <c r="AH60" s="19"/>
      <c r="AI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row>
    <row r="61" spans="1:69" ht="14.65" thickBot="1" x14ac:dyDescent="0.5">
      <c r="A61" s="49"/>
      <c r="B61" s="48"/>
      <c r="C61" s="101" t="s">
        <v>171</v>
      </c>
      <c r="D61" s="101" t="s">
        <v>171</v>
      </c>
      <c r="E61" s="102" t="s">
        <v>171</v>
      </c>
      <c r="I61"/>
      <c r="J61" s="19"/>
      <c r="K61" s="19"/>
      <c r="L61" s="19"/>
      <c r="M61" s="19"/>
      <c r="N61" s="19"/>
      <c r="O61" s="2"/>
      <c r="P61" s="19"/>
      <c r="Q61" s="19"/>
      <c r="R61" s="19"/>
      <c r="S61" s="19"/>
      <c r="T61" s="19"/>
      <c r="U61" s="19"/>
      <c r="V61" s="19"/>
      <c r="W61" s="19"/>
      <c r="X61" s="19"/>
      <c r="Z61" s="19"/>
      <c r="AA61" s="19"/>
      <c r="AB61" s="19"/>
      <c r="AC61" s="19"/>
      <c r="AD61" s="19"/>
      <c r="AE61" s="19"/>
      <c r="AF61" s="19"/>
      <c r="AG61" s="19"/>
      <c r="AH61" s="19"/>
      <c r="AI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row>
    <row r="62" spans="1:69" x14ac:dyDescent="0.45">
      <c r="A62" s="49"/>
      <c r="B62" s="103" t="s">
        <v>30</v>
      </c>
      <c r="C62" s="104"/>
      <c r="D62" s="104"/>
      <c r="E62" s="105"/>
      <c r="J62" s="19"/>
      <c r="K62" s="19"/>
      <c r="L62" s="19"/>
      <c r="M62" s="19"/>
      <c r="N62" s="19"/>
      <c r="O62" s="19"/>
      <c r="P62" s="19"/>
      <c r="Q62" s="19"/>
      <c r="R62" s="19"/>
      <c r="S62" s="19"/>
      <c r="T62" s="19"/>
      <c r="U62" s="19"/>
      <c r="V62" s="19"/>
      <c r="W62" s="19"/>
      <c r="X62" s="19"/>
      <c r="Z62" s="19"/>
      <c r="AA62" s="19"/>
      <c r="AB62" s="19"/>
      <c r="AC62" s="19"/>
      <c r="AD62" s="19"/>
      <c r="AE62" s="19"/>
      <c r="AF62" s="19"/>
      <c r="AG62" s="19"/>
      <c r="AH62" s="19"/>
      <c r="AI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row>
    <row r="63" spans="1:69" x14ac:dyDescent="0.45">
      <c r="A63" s="49"/>
      <c r="B63" s="16" t="str">
        <f>'Standard mc-Si'!B30</f>
        <v>Silicon Feedstock</v>
      </c>
      <c r="C63" s="106">
        <f>'Standard mc-Si'!I30</f>
        <v>0.17766960624103481</v>
      </c>
      <c r="D63" s="106">
        <f>'Line-of-Sight'!I30</f>
        <v>7.848088834840776E-2</v>
      </c>
      <c r="E63" s="107">
        <f>'Advanced Concept'!I30</f>
        <v>1.7815109568884251E-2</v>
      </c>
      <c r="J63" s="19"/>
      <c r="K63" s="19"/>
      <c r="L63" s="19"/>
      <c r="M63" s="19"/>
      <c r="N63" s="19"/>
      <c r="O63" s="19"/>
      <c r="P63" s="19"/>
      <c r="Q63" s="19"/>
      <c r="R63" s="19"/>
      <c r="S63" s="19"/>
      <c r="T63" s="19"/>
      <c r="U63" s="19"/>
      <c r="V63" s="19"/>
      <c r="W63" s="19"/>
      <c r="X63" s="19"/>
      <c r="Z63" s="19"/>
      <c r="AA63" s="19"/>
      <c r="AB63" s="19"/>
      <c r="AC63" s="19"/>
      <c r="AD63" s="19"/>
      <c r="AE63" s="19"/>
      <c r="AF63" s="19"/>
      <c r="AG63" s="19"/>
      <c r="AH63" s="19"/>
      <c r="AI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row>
    <row r="64" spans="1:69" x14ac:dyDescent="0.45">
      <c r="A64" s="47"/>
      <c r="B64" s="16" t="str">
        <f>'Standard mc-Si'!B33</f>
        <v>Labor</v>
      </c>
      <c r="C64" s="106">
        <f>'Standard mc-Si'!I33</f>
        <v>6.6257129110477334E-2</v>
      </c>
      <c r="D64" s="106">
        <f>'Line-of-Sight'!I33</f>
        <v>3.9650792307979119E-2</v>
      </c>
      <c r="E64" s="107">
        <f>'Advanced Concept'!I33</f>
        <v>1.5365323662060679E-2</v>
      </c>
      <c r="J64" s="19"/>
      <c r="K64" s="19"/>
      <c r="L64" s="19"/>
      <c r="M64" s="19"/>
      <c r="N64" s="19"/>
      <c r="O64" s="19"/>
      <c r="P64" s="19"/>
      <c r="Q64" s="19"/>
      <c r="R64" s="19"/>
      <c r="S64" s="19"/>
      <c r="T64" s="19"/>
      <c r="U64" s="19"/>
      <c r="V64" s="19"/>
      <c r="W64" s="19"/>
      <c r="X64" s="19"/>
      <c r="Z64" s="19"/>
      <c r="AA64" s="19"/>
      <c r="AB64" s="19"/>
      <c r="AC64" s="19"/>
      <c r="AD64" s="19"/>
      <c r="AE64" s="19"/>
      <c r="AF64" s="19"/>
      <c r="AG64" s="19"/>
      <c r="AH64" s="19"/>
      <c r="AI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row>
    <row r="65" spans="1:69" x14ac:dyDescent="0.45">
      <c r="A65" s="49"/>
      <c r="B65" s="16" t="str">
        <f>'Standard mc-Si'!B31</f>
        <v>Depreciation</v>
      </c>
      <c r="C65" s="106">
        <f>'Standard mc-Si'!I31</f>
        <v>4.5910919297398892E-2</v>
      </c>
      <c r="D65" s="106">
        <f>'Line-of-Sight'!I31</f>
        <v>2.7914662144505522E-2</v>
      </c>
      <c r="E65" s="107">
        <f>'Advanced Concept'!I31</f>
        <v>4.1508168668154918E-2</v>
      </c>
    </row>
    <row r="66" spans="1:69" ht="15" customHeight="1" x14ac:dyDescent="0.45">
      <c r="A66" s="49"/>
      <c r="B66" s="16" t="str">
        <f>'Standard mc-Si'!B38</f>
        <v>Slurry</v>
      </c>
      <c r="C66" s="106">
        <f>'Standard mc-Si'!I38</f>
        <v>3.2208929081287488E-2</v>
      </c>
      <c r="D66" s="106">
        <f>'Line-of-Sight'!I38</f>
        <v>1.7325641171365522E-2</v>
      </c>
      <c r="E66" s="107">
        <f>'Advanced Concept'!I38</f>
        <v>0</v>
      </c>
      <c r="K66" s="6"/>
    </row>
    <row r="67" spans="1:69" x14ac:dyDescent="0.45">
      <c r="A67" s="49"/>
      <c r="B67" s="16" t="str">
        <f>'Standard mc-Si'!B37</f>
        <v>Wire</v>
      </c>
      <c r="C67" s="106">
        <f>'Standard mc-Si'!I37</f>
        <v>2.2532485940259014E-2</v>
      </c>
      <c r="D67" s="106">
        <f>'Line-of-Sight'!I37</f>
        <v>1.4715656061558545E-2</v>
      </c>
      <c r="E67" s="107">
        <f>'Advanced Concept'!I37</f>
        <v>0</v>
      </c>
      <c r="K67" s="6"/>
    </row>
    <row r="68" spans="1:69" x14ac:dyDescent="0.45">
      <c r="A68" s="49"/>
      <c r="B68" s="16" t="str">
        <f>'Standard mc-Si'!B32</f>
        <v>Maintenance</v>
      </c>
      <c r="C68" s="106">
        <f>'Standard mc-Si'!I32</f>
        <v>1.9455549165370602E-2</v>
      </c>
      <c r="D68" s="106">
        <f>'Line-of-Sight'!I32</f>
        <v>1.182932274279043E-2</v>
      </c>
      <c r="E68" s="107">
        <f>'Advanced Concept'!I32</f>
        <v>1.5082983741197042E-2</v>
      </c>
      <c r="K68" s="6"/>
    </row>
    <row r="69" spans="1:69" x14ac:dyDescent="0.45">
      <c r="A69" s="49"/>
      <c r="B69" s="16" t="str">
        <f>'Standard mc-Si'!B34</f>
        <v>Input Electricity</v>
      </c>
      <c r="C69" s="106">
        <f>'Standard mc-Si'!I34</f>
        <v>2.4558660743639785E-2</v>
      </c>
      <c r="D69" s="106">
        <f>'Line-of-Sight'!I34</f>
        <v>1.5701284519230314E-2</v>
      </c>
      <c r="E69" s="107">
        <f>'Advanced Concept'!I34</f>
        <v>1.0784518865010377E-2</v>
      </c>
      <c r="K69" s="6"/>
    </row>
    <row r="70" spans="1:69" s="458" customFormat="1" ht="14.65" thickBot="1" x14ac:dyDescent="0.5">
      <c r="A70" s="460"/>
      <c r="B70" s="16" t="str">
        <f>'Standard mc-Si'!B36</f>
        <v>Crucible</v>
      </c>
      <c r="C70" s="812">
        <f>'Standard mc-Si'!I36</f>
        <v>1.4024143405631155E-2</v>
      </c>
      <c r="D70" s="812">
        <f>'Line-of-Sight'!I36</f>
        <v>4.542991891154256E-3</v>
      </c>
      <c r="E70" s="816">
        <f>'Advanced Concept'!I36</f>
        <v>0</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row>
    <row r="71" spans="1:69" x14ac:dyDescent="0.45">
      <c r="A71" s="49"/>
      <c r="B71" s="109" t="s">
        <v>31</v>
      </c>
      <c r="C71" s="104"/>
      <c r="D71" s="104"/>
      <c r="E71" s="105"/>
      <c r="G71" s="540"/>
      <c r="K71" s="6"/>
      <c r="L71" s="6"/>
      <c r="M71" s="6"/>
      <c r="N71" s="6"/>
      <c r="O71" s="6"/>
      <c r="P71" s="6"/>
      <c r="Q71" s="6"/>
      <c r="R71" s="6"/>
      <c r="S71" s="6"/>
      <c r="T71" s="6"/>
      <c r="U71" s="6"/>
      <c r="V71" s="6"/>
      <c r="W71" s="6"/>
      <c r="X71" s="6"/>
      <c r="Z71" s="6"/>
      <c r="AA71" s="6"/>
      <c r="AB71" s="6"/>
      <c r="AC71" s="6"/>
      <c r="AD71" s="6"/>
      <c r="AE71" s="6"/>
      <c r="AF71" s="6"/>
      <c r="AG71" s="6"/>
      <c r="AH71" s="6"/>
      <c r="AI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row>
    <row r="72" spans="1:69" x14ac:dyDescent="0.45">
      <c r="A72" s="49"/>
      <c r="B72" s="52" t="str">
        <f>'Standard mc-Si'!B35</f>
        <v>Metal Paste</v>
      </c>
      <c r="C72" s="106">
        <f>'Standard mc-Si'!J35</f>
        <v>8.0865179308402757E-2</v>
      </c>
      <c r="D72" s="812">
        <f>'Line-of-Sight'!J35</f>
        <v>2.7200225350878904E-2</v>
      </c>
      <c r="E72" s="107">
        <f>'Advanced Concept'!J35</f>
        <v>2.4248682729429632E-2</v>
      </c>
      <c r="L72" s="6"/>
      <c r="M72" s="6"/>
      <c r="N72" s="6"/>
      <c r="O72" s="6"/>
      <c r="P72" s="6"/>
      <c r="Q72" s="6"/>
      <c r="R72" s="6"/>
      <c r="S72" s="6"/>
      <c r="T72" s="6"/>
      <c r="U72" s="6"/>
      <c r="V72" s="6"/>
      <c r="W72" s="6"/>
      <c r="X72" s="6"/>
      <c r="Z72" s="6"/>
      <c r="AA72" s="6"/>
      <c r="AB72" s="6"/>
      <c r="AC72" s="6"/>
      <c r="AD72" s="6"/>
      <c r="AE72" s="6"/>
      <c r="AF72" s="6"/>
      <c r="AG72" s="6"/>
      <c r="AH72" s="6"/>
      <c r="AI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row>
    <row r="73" spans="1:69" x14ac:dyDescent="0.45">
      <c r="A73" s="49"/>
      <c r="B73" s="237" t="str">
        <f>'Standard mc-Si'!B31</f>
        <v>Depreciation</v>
      </c>
      <c r="C73" s="106">
        <f>'Standard mc-Si'!J31</f>
        <v>4.1171405607630107E-2</v>
      </c>
      <c r="D73" s="812">
        <f>'Line-of-Sight'!J31</f>
        <v>2.50329528386618E-2</v>
      </c>
      <c r="E73" s="107">
        <f>'Advanced Concept'!J31</f>
        <v>2.2316584636158925E-2</v>
      </c>
      <c r="L73" s="6"/>
      <c r="M73" s="6"/>
      <c r="N73" s="6"/>
      <c r="O73" s="6"/>
      <c r="P73" s="6"/>
      <c r="Q73" s="6"/>
      <c r="R73" s="6"/>
      <c r="S73" s="6"/>
      <c r="T73" s="6"/>
      <c r="U73" s="6"/>
      <c r="V73" s="6"/>
      <c r="W73" s="6"/>
      <c r="X73" s="6"/>
      <c r="Z73" s="6"/>
      <c r="AA73" s="6"/>
      <c r="AB73" s="6"/>
      <c r="AC73" s="6"/>
      <c r="AD73" s="6"/>
      <c r="AE73" s="6"/>
      <c r="AF73" s="6"/>
      <c r="AG73" s="6"/>
      <c r="AH73" s="6"/>
      <c r="AI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row>
    <row r="74" spans="1:69" x14ac:dyDescent="0.45">
      <c r="A74" s="49"/>
      <c r="B74" s="237" t="str">
        <f>'Standard mc-Si'!B43</f>
        <v>Chemicals</v>
      </c>
      <c r="C74" s="106">
        <f>'Standard mc-Si'!J43</f>
        <v>2.4710361248822785E-2</v>
      </c>
      <c r="D74" s="812">
        <f>'Line-of-Sight'!J43</f>
        <v>2.0317408137920958E-2</v>
      </c>
      <c r="E74" s="107">
        <f>'Advanced Concept'!J43</f>
        <v>1.7839675438174503E-2</v>
      </c>
      <c r="L74" s="6"/>
      <c r="M74" s="6"/>
      <c r="N74" s="6"/>
      <c r="O74" s="6"/>
      <c r="P74" s="6"/>
      <c r="Q74" s="6"/>
      <c r="R74" s="6"/>
      <c r="S74" s="6"/>
      <c r="T74" s="6"/>
      <c r="U74" s="6"/>
      <c r="V74" s="6"/>
      <c r="W74" s="6"/>
      <c r="X74" s="6"/>
      <c r="Z74" s="6"/>
      <c r="AA74" s="6"/>
      <c r="AB74" s="6"/>
      <c r="AC74" s="6"/>
      <c r="AD74" s="6"/>
      <c r="AE74" s="6"/>
      <c r="AF74" s="6"/>
      <c r="AG74" s="6"/>
      <c r="AH74" s="6"/>
      <c r="AI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row>
    <row r="75" spans="1:69" x14ac:dyDescent="0.45">
      <c r="A75" s="49"/>
      <c r="B75" s="237" t="str">
        <f>'Standard mc-Si'!B33</f>
        <v>Labor</v>
      </c>
      <c r="C75" s="106">
        <f>'Standard mc-Si'!J33</f>
        <v>2.4763104137434495E-2</v>
      </c>
      <c r="D75" s="812">
        <f>'Line-of-Sight'!J33</f>
        <v>1.3410194369613462E-2</v>
      </c>
      <c r="E75" s="107">
        <f>'Advanced Concept'!J33</f>
        <v>1.1955031416614088E-2</v>
      </c>
    </row>
    <row r="76" spans="1:69" x14ac:dyDescent="0.45">
      <c r="A76" s="49"/>
      <c r="B76" s="237" t="str">
        <f>'Standard mc-Si'!B34</f>
        <v>Input Electricity</v>
      </c>
      <c r="C76" s="106">
        <f>'Standard mc-Si'!J34</f>
        <v>2.2187790759219332E-2</v>
      </c>
      <c r="D76" s="812">
        <f>'Line-of-Sight'!J34</f>
        <v>1.7968270082172933E-2</v>
      </c>
      <c r="E76" s="107">
        <f>'Advanced Concept'!J34</f>
        <v>1.6018502596899815E-2</v>
      </c>
    </row>
    <row r="77" spans="1:69" x14ac:dyDescent="0.45">
      <c r="A77" s="49"/>
      <c r="B77" s="52" t="str">
        <f>'Standard mc-Si'!B32</f>
        <v>Maintenance</v>
      </c>
      <c r="C77" s="106">
        <f>'Standard mc-Si'!J32</f>
        <v>1.5066066454459315E-2</v>
      </c>
      <c r="D77" s="812">
        <f>'Line-of-Sight'!J32</f>
        <v>9.1604385483678892E-3</v>
      </c>
      <c r="E77" s="107">
        <f>'Advanced Concept'!J32</f>
        <v>8.1664238129053688E-3</v>
      </c>
      <c r="L77" s="6"/>
      <c r="M77" s="6"/>
      <c r="N77" s="6"/>
      <c r="O77" s="6"/>
      <c r="P77" s="6"/>
      <c r="Q77" s="6"/>
      <c r="R77" s="6"/>
      <c r="S77" s="6"/>
      <c r="T77" s="6"/>
      <c r="U77" s="6"/>
      <c r="V77" s="6"/>
      <c r="W77" s="6"/>
      <c r="X77" s="6"/>
      <c r="Z77" s="6"/>
      <c r="AA77" s="6"/>
      <c r="AB77" s="6"/>
      <c r="AC77" s="6"/>
      <c r="AD77" s="6"/>
      <c r="AE77" s="6"/>
      <c r="AF77" s="6"/>
      <c r="AG77" s="6"/>
      <c r="AH77" s="6"/>
      <c r="AI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row>
    <row r="78" spans="1:69" ht="14.65" thickBot="1" x14ac:dyDescent="0.5">
      <c r="A78" s="49"/>
      <c r="B78" s="555" t="str">
        <f>'Standard mc-Si'!B47</f>
        <v>Screens</v>
      </c>
      <c r="C78" s="106">
        <f>'Standard mc-Si'!J47</f>
        <v>8.9142717347845558E-3</v>
      </c>
      <c r="D78" s="813">
        <f>'Line-of-Sight'!J47</f>
        <v>7.2190171547356343E-3</v>
      </c>
      <c r="E78" s="108">
        <f>'Advanced Concept'!J47</f>
        <v>0</v>
      </c>
    </row>
    <row r="79" spans="1:69" x14ac:dyDescent="0.45">
      <c r="A79" s="49"/>
      <c r="B79" s="103" t="s">
        <v>32</v>
      </c>
      <c r="C79" s="104"/>
      <c r="D79" s="553"/>
      <c r="E79" s="104"/>
      <c r="H79" s="49"/>
    </row>
    <row r="80" spans="1:69" x14ac:dyDescent="0.45">
      <c r="A80" s="49"/>
      <c r="B80" s="16" t="str">
        <f>'Standard mc-Si'!B39</f>
        <v>Glass</v>
      </c>
      <c r="C80" s="812">
        <f>'Standard mc-Si'!K39</f>
        <v>4.9822549822549821E-2</v>
      </c>
      <c r="D80" s="548">
        <f>'Line-of-Sight'!K39</f>
        <v>4.0759352317141256E-2</v>
      </c>
      <c r="E80" s="812">
        <f>'Advanced Concept'!K39</f>
        <v>3.596945060359695E-2</v>
      </c>
      <c r="H80" s="49"/>
    </row>
    <row r="81" spans="1:69" x14ac:dyDescent="0.45">
      <c r="A81" s="49"/>
      <c r="B81" s="16" t="str">
        <f>'Standard mc-Si'!B40</f>
        <v>Frame</v>
      </c>
      <c r="C81" s="812">
        <f>'Standard mc-Si'!K40</f>
        <v>5.7633341109124582E-2</v>
      </c>
      <c r="D81" s="548">
        <f>'Line-of-Sight'!K40</f>
        <v>4.7149286093293878E-2</v>
      </c>
      <c r="E81" s="812">
        <f>'Advanced Concept'!K40</f>
        <v>4.1608460898294827E-2</v>
      </c>
      <c r="H81" s="49"/>
      <c r="J81" s="20"/>
      <c r="K81" s="20"/>
    </row>
    <row r="82" spans="1:69" x14ac:dyDescent="0.45">
      <c r="A82" s="49"/>
      <c r="B82" s="16" t="str">
        <f>'Standard mc-Si'!B44</f>
        <v>Backsheet</v>
      </c>
      <c r="C82" s="812">
        <f>'Standard mc-Si'!K44</f>
        <v>4.777504777504777E-2</v>
      </c>
      <c r="D82" s="548">
        <f>'Line-of-Sight'!K44</f>
        <v>3.908431044109436E-2</v>
      </c>
      <c r="E82" s="812">
        <f>'Advanced Concept'!K44</f>
        <v>3.4491254003449129E-2</v>
      </c>
      <c r="H82" s="49"/>
      <c r="J82" s="20"/>
      <c r="K82" s="20"/>
    </row>
    <row r="83" spans="1:69" x14ac:dyDescent="0.45">
      <c r="A83" s="49"/>
      <c r="B83" s="16" t="str">
        <f>'Standard mc-Si'!B41</f>
        <v>Encapsulant</v>
      </c>
      <c r="C83" s="812">
        <f>'Standard mc-Si'!K41</f>
        <v>3.412503412503412E-2</v>
      </c>
      <c r="D83" s="548">
        <f>'Line-of-Sight'!K41</f>
        <v>2.7917364600781685E-2</v>
      </c>
      <c r="E83" s="812">
        <f>'Advanced Concept'!K41</f>
        <v>2.4636610002463661E-2</v>
      </c>
      <c r="H83" s="49"/>
      <c r="J83" s="20"/>
      <c r="K83" s="20"/>
      <c r="BE83" s="20"/>
      <c r="BF83" s="20"/>
      <c r="BG83" s="20"/>
      <c r="BH83" s="20"/>
      <c r="BI83" s="20"/>
      <c r="BJ83" s="20"/>
      <c r="BK83" s="20"/>
      <c r="BL83" s="20"/>
    </row>
    <row r="84" spans="1:69" x14ac:dyDescent="0.45">
      <c r="A84" s="49"/>
      <c r="B84" s="16" t="str">
        <f>'Standard mc-Si'!B42</f>
        <v>JB and Cable</v>
      </c>
      <c r="C84" s="812">
        <f>'Standard mc-Si'!K42</f>
        <v>2.4959960857396754E-2</v>
      </c>
      <c r="D84" s="548">
        <f>'Line-of-Sight'!K42</f>
        <v>2.0419505666252218E-2</v>
      </c>
      <c r="E84" s="812">
        <f>'Advanced Concept'!K42</f>
        <v>1.8019874179974246E-2</v>
      </c>
      <c r="H84" s="49"/>
      <c r="J84" s="20"/>
      <c r="K84" s="20"/>
      <c r="BE84" s="20"/>
      <c r="BF84" s="20"/>
      <c r="BG84" s="20"/>
      <c r="BH84" s="20"/>
      <c r="BI84" s="20"/>
      <c r="BJ84" s="20"/>
      <c r="BK84" s="20"/>
      <c r="BL84" s="20"/>
    </row>
    <row r="85" spans="1:69" x14ac:dyDescent="0.45">
      <c r="A85" s="49"/>
      <c r="B85" s="16" t="str">
        <f>'Standard mc-Si'!B45</f>
        <v>Ribbon</v>
      </c>
      <c r="C85" s="812">
        <f>'Standard mc-Si'!K45</f>
        <v>3.207753207753207E-2</v>
      </c>
      <c r="D85" s="548">
        <f>'Line-of-Sight'!K45</f>
        <v>2.6242322724734785E-2</v>
      </c>
      <c r="E85" s="812">
        <f>'Advanced Concept'!K45</f>
        <v>2.3158413402315843E-2</v>
      </c>
      <c r="H85" s="49"/>
      <c r="J85" s="20"/>
      <c r="K85" s="20"/>
      <c r="L85" s="19"/>
      <c r="M85" s="19"/>
      <c r="N85" s="19"/>
      <c r="O85" s="19"/>
      <c r="P85" s="19"/>
      <c r="Q85" s="19"/>
      <c r="R85" s="19"/>
      <c r="S85" s="19"/>
      <c r="T85" s="19"/>
      <c r="U85" s="19"/>
      <c r="V85" s="19"/>
      <c r="W85" s="19"/>
      <c r="X85" s="19"/>
      <c r="Z85" s="19"/>
      <c r="AA85" s="19"/>
      <c r="AB85" s="19"/>
      <c r="AC85" s="19"/>
      <c r="AD85" s="19"/>
      <c r="AE85" s="19"/>
      <c r="AF85" s="19"/>
      <c r="AG85" s="19"/>
      <c r="AH85" s="19"/>
      <c r="AI85" s="19"/>
      <c r="AM85" s="19"/>
      <c r="AN85" s="19"/>
      <c r="AO85" s="19"/>
      <c r="AP85" s="19"/>
      <c r="AQ85" s="19"/>
      <c r="AR85" s="19"/>
      <c r="AS85" s="19"/>
      <c r="AT85" s="19"/>
      <c r="AU85" s="19"/>
      <c r="AV85" s="19"/>
      <c r="AW85" s="19"/>
      <c r="AX85" s="19"/>
      <c r="AY85" s="19"/>
      <c r="AZ85" s="19"/>
      <c r="BA85" s="19"/>
      <c r="BB85" s="19"/>
      <c r="BC85" s="19"/>
      <c r="BD85" s="19"/>
      <c r="BE85" s="20"/>
      <c r="BF85" s="20"/>
      <c r="BG85" s="20"/>
      <c r="BH85" s="20"/>
      <c r="BI85" s="20"/>
      <c r="BJ85" s="20"/>
      <c r="BK85" s="20"/>
      <c r="BL85" s="20"/>
      <c r="BM85" s="19"/>
      <c r="BN85" s="19"/>
      <c r="BO85" s="19"/>
      <c r="BP85" s="19"/>
      <c r="BQ85" s="19"/>
    </row>
    <row r="86" spans="1:69" x14ac:dyDescent="0.45">
      <c r="A86" s="49"/>
      <c r="B86" s="16" t="str">
        <f>'Standard mc-Si'!B31</f>
        <v>Depreciation</v>
      </c>
      <c r="C86" s="812">
        <f>'Standard mc-Si'!K31</f>
        <v>1.7055924288067147E-2</v>
      </c>
      <c r="D86" s="548">
        <f>'Line-of-Sight'!K31</f>
        <v>1.0370307790605156E-2</v>
      </c>
      <c r="E86" s="812">
        <f>'Advanced Concept'!K31</f>
        <v>9.2450080900815506E-3</v>
      </c>
      <c r="H86" s="49"/>
      <c r="J86" s="20"/>
      <c r="K86" s="20"/>
      <c r="L86" s="19"/>
      <c r="M86" s="19"/>
      <c r="N86" s="19"/>
      <c r="O86" s="19"/>
      <c r="P86" s="19"/>
      <c r="Q86" s="19"/>
      <c r="R86" s="19"/>
      <c r="S86" s="19"/>
      <c r="T86" s="19"/>
      <c r="U86" s="19"/>
      <c r="V86" s="19"/>
      <c r="W86" s="19"/>
      <c r="X86" s="19"/>
      <c r="Z86" s="19"/>
      <c r="AA86" s="19"/>
      <c r="AB86" s="19"/>
      <c r="AC86" s="19"/>
      <c r="AD86" s="19"/>
      <c r="AE86" s="19"/>
      <c r="AF86" s="19"/>
      <c r="AG86" s="19"/>
      <c r="AH86" s="19"/>
      <c r="AI86" s="19"/>
      <c r="AM86" s="19"/>
      <c r="AN86" s="19"/>
      <c r="AO86" s="19"/>
      <c r="AP86" s="19"/>
      <c r="AQ86" s="19"/>
      <c r="AR86" s="19"/>
      <c r="AS86" s="19"/>
      <c r="AT86" s="19"/>
      <c r="AU86" s="19"/>
      <c r="AV86" s="19"/>
      <c r="AW86" s="19"/>
      <c r="AX86" s="19"/>
      <c r="AY86" s="19"/>
      <c r="AZ86" s="19"/>
      <c r="BA86" s="19"/>
      <c r="BB86" s="19"/>
      <c r="BC86" s="19"/>
      <c r="BD86" s="19"/>
      <c r="BE86" s="20"/>
      <c r="BF86" s="20"/>
      <c r="BG86" s="20"/>
      <c r="BH86" s="20"/>
      <c r="BI86" s="20"/>
      <c r="BJ86" s="20"/>
      <c r="BK86" s="20"/>
      <c r="BL86" s="20"/>
      <c r="BM86" s="19"/>
      <c r="BN86" s="19"/>
      <c r="BO86" s="19"/>
      <c r="BP86" s="19"/>
      <c r="BQ86" s="19"/>
    </row>
    <row r="87" spans="1:69" x14ac:dyDescent="0.45">
      <c r="A87" s="49"/>
      <c r="B87" s="16" t="str">
        <f>'Standard mc-Si'!B33</f>
        <v>Labor</v>
      </c>
      <c r="C87" s="812">
        <f>'Standard mc-Si'!K33</f>
        <v>2.3831505004496076E-2</v>
      </c>
      <c r="D87" s="548">
        <f>'Line-of-Sight'!K33</f>
        <v>1.1576018962590476E-2</v>
      </c>
      <c r="E87" s="812">
        <f>'Advanced Concept'!K33</f>
        <v>1.031988549626657E-2</v>
      </c>
      <c r="H87" s="49"/>
      <c r="J87" s="20"/>
      <c r="K87" s="20"/>
      <c r="BE87" s="20"/>
      <c r="BF87" s="20"/>
      <c r="BG87" s="20"/>
      <c r="BH87" s="20"/>
      <c r="BI87" s="20"/>
      <c r="BJ87" s="20"/>
      <c r="BK87" s="20"/>
      <c r="BL87" s="20"/>
    </row>
    <row r="88" spans="1:69" x14ac:dyDescent="0.45">
      <c r="A88" s="49"/>
      <c r="B88" s="16" t="str">
        <f>'Standard mc-Si'!B32</f>
        <v>Maintenance</v>
      </c>
      <c r="C88" s="812">
        <f>'Standard mc-Si'!K32</f>
        <v>6.4525731266802718E-3</v>
      </c>
      <c r="D88" s="548">
        <f>'Line-of-Sight'!K32</f>
        <v>3.9232801597200925E-3</v>
      </c>
      <c r="E88" s="812">
        <f>'Advanced Concept'!K32</f>
        <v>3.4975583703627101E-3</v>
      </c>
      <c r="H88" s="49"/>
      <c r="J88" s="20"/>
      <c r="K88" s="20"/>
      <c r="BE88" s="20"/>
      <c r="BF88" s="20"/>
      <c r="BG88" s="20"/>
      <c r="BH88" s="20"/>
      <c r="BI88" s="20"/>
      <c r="BJ88" s="20"/>
      <c r="BK88" s="20"/>
      <c r="BL88" s="20"/>
    </row>
    <row r="89" spans="1:69" x14ac:dyDescent="0.45">
      <c r="A89" s="49"/>
      <c r="B89" s="16" t="str">
        <f>'Standard mc-Si'!B34</f>
        <v>Input Electricity</v>
      </c>
      <c r="C89" s="812">
        <f>'Standard mc-Si'!K34</f>
        <v>3.1976521976521976E-3</v>
      </c>
      <c r="D89" s="548">
        <f>'Line-of-Sight'!K34</f>
        <v>2.6159687325516471E-3</v>
      </c>
      <c r="E89" s="812">
        <f>'Advanced Concept'!K34</f>
        <v>2.3085489036708553E-3</v>
      </c>
      <c r="H89" s="49"/>
      <c r="J89" s="20"/>
      <c r="K89" s="20"/>
      <c r="BE89" s="20"/>
      <c r="BF89" s="20"/>
      <c r="BG89" s="20"/>
      <c r="BH89" s="20"/>
      <c r="BI89" s="20"/>
      <c r="BJ89" s="20"/>
      <c r="BK89" s="20"/>
      <c r="BL89" s="20"/>
    </row>
    <row r="90" spans="1:69" x14ac:dyDescent="0.45">
      <c r="A90" s="49"/>
      <c r="B90" s="16" t="str">
        <f>'Standard mc-Si'!B46</f>
        <v>Packaging</v>
      </c>
      <c r="C90" s="812">
        <f>'Standard mc-Si'!K46</f>
        <v>3.0712530712530711E-3</v>
      </c>
      <c r="D90" s="548">
        <f>'Line-of-Sight'!K46</f>
        <v>2.5125628140703514E-3</v>
      </c>
      <c r="E90" s="812">
        <f>'Advanced Concept'!K46</f>
        <v>2.2172949002217299E-3</v>
      </c>
      <c r="H90" s="49"/>
      <c r="J90" s="20"/>
      <c r="K90" s="20"/>
      <c r="BE90" s="20"/>
      <c r="BF90" s="20"/>
      <c r="BG90" s="20"/>
      <c r="BH90" s="20"/>
      <c r="BI90" s="20"/>
      <c r="BJ90" s="20"/>
      <c r="BK90" s="20"/>
      <c r="BL90" s="20"/>
    </row>
    <row r="91" spans="1:69" ht="14.65" thickBot="1" x14ac:dyDescent="0.5">
      <c r="A91" s="49"/>
      <c r="B91" s="24" t="str">
        <f>'Standard mc-Si'!B48</f>
        <v>Shipping costs</v>
      </c>
      <c r="C91" s="814">
        <f>'Standard mc-Si'!G48</f>
        <v>0</v>
      </c>
      <c r="D91">
        <f>'Line-of-Sight'!G48</f>
        <v>0</v>
      </c>
      <c r="E91" s="814">
        <f>'Advanced Concept'!G48</f>
        <v>0</v>
      </c>
      <c r="H91" s="49"/>
      <c r="J91" s="20"/>
      <c r="K91" s="20"/>
      <c r="BE91" s="20"/>
      <c r="BF91" s="20"/>
      <c r="BG91" s="20"/>
      <c r="BH91" s="20"/>
      <c r="BI91" s="20"/>
      <c r="BJ91" s="20"/>
      <c r="BK91" s="20"/>
      <c r="BL91" s="20"/>
    </row>
    <row r="92" spans="1:69" ht="14.65" thickBot="1" x14ac:dyDescent="0.5">
      <c r="A92" s="49"/>
      <c r="B92" s="644" t="s">
        <v>3</v>
      </c>
      <c r="C92" s="863">
        <f>SUM(C63:C91)</f>
        <v>0.92029797569068617</v>
      </c>
      <c r="D92" s="864">
        <f>SUM(D63:D91)</f>
        <v>0.56304002597217895</v>
      </c>
      <c r="E92" s="863">
        <f>SUM(E63:E91)</f>
        <v>0.40657336398618765</v>
      </c>
      <c r="H92" s="49"/>
      <c r="J92" s="20"/>
      <c r="K92" s="20"/>
      <c r="L92" s="19"/>
      <c r="M92" s="19"/>
      <c r="N92" s="19"/>
      <c r="O92" s="19"/>
      <c r="P92" s="19"/>
      <c r="Q92" s="19"/>
      <c r="R92" s="19"/>
      <c r="S92" s="19"/>
      <c r="T92" s="19"/>
      <c r="U92" s="19"/>
      <c r="V92" s="19"/>
      <c r="W92" s="19"/>
      <c r="X92" s="19"/>
      <c r="Z92" s="19"/>
      <c r="AA92" s="19"/>
      <c r="AB92" s="19"/>
      <c r="AC92" s="19"/>
      <c r="AD92" s="19"/>
      <c r="AE92" s="19"/>
      <c r="AF92" s="19"/>
      <c r="AG92" s="19"/>
      <c r="AH92" s="19"/>
      <c r="AI92" s="19"/>
      <c r="AM92" s="19"/>
      <c r="AN92" s="19"/>
      <c r="AO92" s="19"/>
      <c r="AP92" s="19"/>
      <c r="AQ92" s="19"/>
      <c r="AR92" s="19"/>
      <c r="AS92" s="19"/>
      <c r="AT92" s="19"/>
      <c r="AU92" s="19"/>
      <c r="AV92" s="19"/>
      <c r="AW92" s="19"/>
      <c r="AX92" s="19"/>
      <c r="AY92" s="19"/>
      <c r="AZ92" s="19"/>
      <c r="BA92" s="19"/>
      <c r="BB92" s="19"/>
      <c r="BC92" s="19"/>
      <c r="BD92" s="19"/>
      <c r="BE92" s="20"/>
      <c r="BF92" s="20"/>
      <c r="BG92" s="20"/>
      <c r="BH92" s="20"/>
      <c r="BI92" s="20"/>
      <c r="BJ92" s="20"/>
      <c r="BK92" s="20"/>
      <c r="BL92" s="20"/>
      <c r="BM92" s="19"/>
      <c r="BN92" s="19"/>
      <c r="BO92" s="19"/>
      <c r="BP92" s="19"/>
      <c r="BQ92" s="19"/>
    </row>
    <row r="93" spans="1:69" x14ac:dyDescent="0.45">
      <c r="A93" s="49"/>
      <c r="B93" s="553"/>
      <c r="C93" s="548"/>
      <c r="D93" s="548"/>
      <c r="E93" s="548"/>
      <c r="H93" s="49"/>
      <c r="J93" s="20"/>
      <c r="K93" s="20"/>
      <c r="L93" s="19"/>
      <c r="M93" s="19"/>
      <c r="N93" s="19"/>
      <c r="O93" s="19"/>
      <c r="P93" s="19"/>
      <c r="Q93" s="19"/>
      <c r="R93" s="19"/>
      <c r="S93" s="19"/>
      <c r="T93" s="19"/>
      <c r="U93" s="19"/>
      <c r="V93" s="19"/>
      <c r="W93" s="19"/>
      <c r="X93" s="19"/>
      <c r="Y93" s="6"/>
      <c r="Z93" s="19"/>
      <c r="AA93" s="19"/>
      <c r="AB93" s="19"/>
      <c r="AC93" s="19"/>
      <c r="AD93" s="19"/>
      <c r="AE93" s="19"/>
      <c r="AF93" s="19"/>
      <c r="AG93" s="19"/>
      <c r="AH93" s="19"/>
      <c r="AI93" s="19"/>
      <c r="AJ93" s="6"/>
      <c r="AK93" s="6"/>
      <c r="AL93" s="6"/>
      <c r="AM93" s="19"/>
      <c r="AN93" s="19"/>
      <c r="AO93" s="19"/>
      <c r="AP93" s="19"/>
      <c r="AQ93" s="19"/>
      <c r="AR93" s="19"/>
      <c r="AS93" s="19"/>
      <c r="AT93" s="19"/>
      <c r="AU93" s="19"/>
      <c r="AV93" s="19"/>
      <c r="AW93" s="19"/>
      <c r="AX93" s="19"/>
      <c r="AY93" s="19"/>
      <c r="AZ93" s="19"/>
      <c r="BA93" s="19"/>
      <c r="BB93" s="19"/>
      <c r="BC93" s="19"/>
      <c r="BD93" s="19"/>
      <c r="BE93" s="20"/>
      <c r="BF93" s="20"/>
      <c r="BG93" s="20"/>
      <c r="BH93" s="20"/>
      <c r="BI93" s="20"/>
      <c r="BJ93" s="20"/>
      <c r="BK93" s="20"/>
      <c r="BL93" s="20"/>
      <c r="BM93" s="19"/>
      <c r="BN93" s="19"/>
      <c r="BO93" s="19"/>
      <c r="BP93" s="19"/>
      <c r="BQ93" s="19"/>
    </row>
    <row r="94" spans="1:69" x14ac:dyDescent="0.45">
      <c r="A94" s="49"/>
      <c r="H94" s="49"/>
      <c r="J94" s="20"/>
      <c r="K94" s="20"/>
      <c r="L94" s="19"/>
      <c r="M94" s="19"/>
      <c r="N94" s="19"/>
      <c r="O94" s="19"/>
      <c r="P94" s="19"/>
      <c r="Q94" s="19"/>
      <c r="R94" s="19"/>
      <c r="S94" s="19"/>
      <c r="T94" s="19"/>
      <c r="U94" s="19"/>
      <c r="V94" s="19"/>
      <c r="W94" s="19"/>
      <c r="X94" s="19"/>
      <c r="Z94" s="19"/>
      <c r="AA94" s="19"/>
      <c r="AB94" s="19"/>
      <c r="AC94" s="19"/>
      <c r="AD94" s="19"/>
      <c r="AE94" s="19"/>
      <c r="AF94" s="19"/>
      <c r="AG94" s="19"/>
      <c r="AH94" s="19"/>
      <c r="AI94" s="19"/>
      <c r="AM94" s="19"/>
      <c r="AN94" s="19"/>
      <c r="AO94" s="19"/>
      <c r="AP94" s="19"/>
      <c r="AQ94" s="19"/>
      <c r="AR94" s="19"/>
      <c r="AS94" s="19"/>
      <c r="AT94" s="19"/>
      <c r="AU94" s="19"/>
      <c r="AV94" s="19"/>
      <c r="AW94" s="19"/>
      <c r="AX94" s="19"/>
      <c r="AY94" s="19"/>
      <c r="AZ94" s="19"/>
      <c r="BA94" s="19"/>
      <c r="BB94" s="19"/>
      <c r="BC94" s="19"/>
      <c r="BD94" s="19"/>
      <c r="BE94" s="20"/>
      <c r="BF94" s="20"/>
      <c r="BG94" s="20"/>
      <c r="BH94" s="20"/>
      <c r="BI94" s="20"/>
      <c r="BJ94" s="20"/>
      <c r="BK94" s="20"/>
      <c r="BL94" s="20"/>
      <c r="BM94" s="19"/>
      <c r="BN94" s="19"/>
      <c r="BO94" s="19"/>
      <c r="BP94" s="19"/>
      <c r="BQ94" s="19"/>
    </row>
    <row r="95" spans="1:69" s="6" customFormat="1" x14ac:dyDescent="0.45">
      <c r="A95" s="49"/>
      <c r="H95" s="49"/>
      <c r="I95" s="268"/>
      <c r="J95" s="20"/>
      <c r="K95" s="20"/>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s="20"/>
      <c r="BF95" s="20"/>
      <c r="BG95" s="20"/>
      <c r="BH95" s="20"/>
      <c r="BI95" s="20"/>
      <c r="BJ95" s="20"/>
      <c r="BK95" s="20"/>
      <c r="BL95" s="20"/>
      <c r="BM95"/>
      <c r="BN95"/>
      <c r="BO95"/>
      <c r="BP95"/>
      <c r="BQ95"/>
    </row>
    <row r="96" spans="1:69" x14ac:dyDescent="0.45">
      <c r="A96" s="49"/>
      <c r="H96" s="49"/>
      <c r="J96" s="20"/>
      <c r="K96" s="20"/>
      <c r="BE96" s="20"/>
      <c r="BF96" s="20"/>
      <c r="BG96" s="20"/>
      <c r="BH96" s="20"/>
      <c r="BI96" s="20"/>
      <c r="BJ96" s="20"/>
      <c r="BK96" s="20"/>
      <c r="BL96" s="20"/>
    </row>
    <row r="97" spans="1:69" x14ac:dyDescent="0.45">
      <c r="A97" s="49"/>
      <c r="H97" s="49"/>
      <c r="J97" s="20"/>
      <c r="K97" s="20"/>
      <c r="BE97" s="20"/>
      <c r="BF97" s="20"/>
      <c r="BG97" s="20"/>
      <c r="BH97" s="20"/>
      <c r="BI97" s="20"/>
      <c r="BJ97" s="20"/>
      <c r="BK97" s="20"/>
      <c r="BL97" s="20"/>
    </row>
    <row r="98" spans="1:69" x14ac:dyDescent="0.45">
      <c r="A98" s="49"/>
      <c r="H98" s="49"/>
      <c r="J98" s="20"/>
      <c r="K98" s="20"/>
      <c r="L98" s="4"/>
      <c r="M98" s="4"/>
      <c r="N98" s="4"/>
      <c r="O98" s="4"/>
      <c r="P98" s="4"/>
      <c r="Q98" s="4"/>
      <c r="R98" s="4"/>
      <c r="S98" s="4"/>
      <c r="T98" s="4"/>
      <c r="U98" s="4"/>
      <c r="V98" s="4"/>
      <c r="W98" s="4"/>
      <c r="X98" s="4"/>
      <c r="AM98" s="4"/>
      <c r="AN98" s="4"/>
      <c r="AO98" s="4"/>
      <c r="AP98" s="4"/>
      <c r="AQ98" s="4"/>
      <c r="AR98" s="4"/>
      <c r="AS98" s="4"/>
      <c r="AT98" s="4"/>
      <c r="AU98" s="4"/>
      <c r="AV98" s="4"/>
      <c r="AW98" s="4"/>
      <c r="AX98" s="4"/>
      <c r="AY98" s="4"/>
      <c r="AZ98" s="4"/>
      <c r="BA98" s="4"/>
      <c r="BB98" s="4"/>
      <c r="BC98" s="4"/>
      <c r="BD98" s="4"/>
      <c r="BE98" s="20"/>
      <c r="BF98" s="20"/>
      <c r="BG98" s="20"/>
      <c r="BH98" s="20"/>
      <c r="BI98" s="20"/>
      <c r="BJ98" s="20"/>
      <c r="BK98" s="20"/>
      <c r="BL98" s="20"/>
      <c r="BM98" s="4"/>
      <c r="BN98" s="4"/>
      <c r="BO98" s="4"/>
      <c r="BP98" s="4"/>
      <c r="BQ98" s="4"/>
    </row>
    <row r="99" spans="1:69" x14ac:dyDescent="0.45">
      <c r="A99" s="49"/>
      <c r="H99" s="49"/>
      <c r="J99" s="20"/>
      <c r="K99" s="20"/>
      <c r="L99" s="19"/>
      <c r="M99" s="19"/>
      <c r="N99" s="19"/>
      <c r="O99" s="19"/>
      <c r="P99" s="19"/>
      <c r="Q99" s="19"/>
      <c r="R99" s="19"/>
      <c r="S99" s="19"/>
      <c r="T99" s="19"/>
      <c r="U99" s="19"/>
      <c r="V99" s="19"/>
      <c r="W99" s="19"/>
      <c r="X99" s="19"/>
      <c r="AM99" s="19"/>
      <c r="AN99" s="19"/>
      <c r="AO99" s="19"/>
      <c r="AP99" s="19"/>
      <c r="AQ99" s="19"/>
      <c r="AR99" s="19"/>
      <c r="AS99" s="19"/>
      <c r="AT99" s="19"/>
      <c r="AU99" s="19"/>
      <c r="AV99" s="19"/>
      <c r="AW99" s="19"/>
      <c r="AX99" s="19"/>
      <c r="AY99" s="19"/>
      <c r="AZ99" s="19"/>
      <c r="BA99" s="19"/>
      <c r="BB99" s="19"/>
      <c r="BC99" s="19"/>
      <c r="BD99" s="19"/>
      <c r="BE99" s="20"/>
      <c r="BF99" s="20"/>
      <c r="BG99" s="20"/>
      <c r="BH99" s="20"/>
      <c r="BI99" s="20"/>
      <c r="BJ99" s="20"/>
      <c r="BK99" s="20"/>
      <c r="BL99" s="20"/>
      <c r="BM99" s="19"/>
      <c r="BN99" s="19"/>
      <c r="BO99" s="19"/>
      <c r="BP99" s="19"/>
      <c r="BQ99" s="19"/>
    </row>
    <row r="100" spans="1:69" x14ac:dyDescent="0.45">
      <c r="A100" s="49"/>
      <c r="B100" s="49"/>
      <c r="C100" s="49"/>
      <c r="D100" s="49"/>
      <c r="E100" s="49"/>
      <c r="F100" s="49"/>
      <c r="G100" s="49"/>
      <c r="H100" s="49"/>
      <c r="J100" s="20"/>
      <c r="K100" s="20"/>
      <c r="L100" s="19"/>
      <c r="M100" s="19"/>
      <c r="N100" s="19"/>
      <c r="O100" s="19"/>
      <c r="P100" s="19"/>
      <c r="Q100" s="19"/>
      <c r="R100" s="19"/>
      <c r="S100" s="19"/>
      <c r="T100" s="19"/>
      <c r="U100" s="19"/>
      <c r="V100" s="19"/>
      <c r="W100" s="19"/>
      <c r="X100" s="19"/>
      <c r="AM100" s="19"/>
      <c r="AN100" s="19"/>
      <c r="AO100" s="19"/>
      <c r="AP100" s="19"/>
      <c r="AQ100" s="19"/>
      <c r="AR100" s="19"/>
      <c r="AS100" s="19"/>
      <c r="AT100" s="19"/>
      <c r="AU100" s="19"/>
      <c r="AV100" s="19"/>
      <c r="AW100" s="19"/>
      <c r="AX100" s="19"/>
      <c r="AY100" s="19"/>
      <c r="AZ100" s="19"/>
      <c r="BA100" s="19"/>
      <c r="BB100" s="19"/>
      <c r="BC100" s="19"/>
      <c r="BD100" s="19"/>
      <c r="BE100" s="20"/>
      <c r="BF100" s="20"/>
      <c r="BG100" s="20"/>
      <c r="BH100" s="20"/>
      <c r="BI100" s="20"/>
      <c r="BJ100" s="20"/>
      <c r="BK100" s="20"/>
      <c r="BL100" s="20"/>
      <c r="BM100" s="19"/>
      <c r="BN100" s="19"/>
      <c r="BO100" s="19"/>
      <c r="BP100" s="19"/>
      <c r="BQ100" s="19"/>
    </row>
    <row r="101" spans="1:69" s="6" customFormat="1" x14ac:dyDescent="0.45">
      <c r="A101" s="49"/>
      <c r="B101" s="49"/>
      <c r="C101" s="49"/>
      <c r="D101" s="49"/>
      <c r="E101" s="49"/>
      <c r="F101" s="49"/>
      <c r="G101" s="49"/>
      <c r="H101" s="49"/>
      <c r="I101" s="268"/>
      <c r="J101" s="20"/>
      <c r="K101" s="20"/>
      <c r="L101" s="19"/>
      <c r="M101" s="19"/>
      <c r="N101" s="19"/>
      <c r="O101" s="19"/>
      <c r="P101" s="19"/>
      <c r="Q101" s="19"/>
      <c r="R101" s="19"/>
      <c r="S101" s="19"/>
      <c r="T101" s="19"/>
      <c r="U101" s="19"/>
      <c r="V101" s="19"/>
      <c r="W101" s="19"/>
      <c r="X101" s="19"/>
      <c r="Y101"/>
      <c r="Z101"/>
      <c r="AA101"/>
      <c r="AB101"/>
      <c r="AC101"/>
      <c r="AD101"/>
      <c r="AE101"/>
      <c r="AF101"/>
      <c r="AG101"/>
      <c r="AH101"/>
      <c r="AI101"/>
      <c r="AJ101"/>
      <c r="AK101"/>
      <c r="AL101"/>
      <c r="AM101" s="19"/>
      <c r="AN101" s="19"/>
      <c r="AO101" s="19"/>
      <c r="AP101" s="19"/>
      <c r="AQ101" s="19"/>
      <c r="AR101" s="19"/>
      <c r="AS101" s="19"/>
      <c r="AT101" s="19"/>
      <c r="AU101" s="19"/>
      <c r="AV101" s="19"/>
      <c r="AW101" s="19"/>
      <c r="AX101" s="19"/>
      <c r="AY101" s="19"/>
      <c r="AZ101" s="19"/>
      <c r="BA101" s="19"/>
      <c r="BB101" s="19"/>
      <c r="BC101" s="19"/>
      <c r="BD101" s="19"/>
      <c r="BE101" s="20"/>
      <c r="BF101" s="20"/>
      <c r="BG101" s="20"/>
      <c r="BH101" s="20"/>
      <c r="BI101" s="20"/>
      <c r="BJ101" s="20"/>
      <c r="BK101" s="20"/>
      <c r="BL101" s="20"/>
      <c r="BM101" s="19"/>
      <c r="BN101" s="19"/>
      <c r="BO101" s="19"/>
      <c r="BP101" s="19"/>
      <c r="BQ101" s="19"/>
    </row>
    <row r="102" spans="1:69" s="6" customFormat="1" ht="25.5" x14ac:dyDescent="0.75">
      <c r="A102" s="49"/>
      <c r="B102" s="110" t="s">
        <v>123</v>
      </c>
      <c r="C102" s="49"/>
      <c r="D102" s="49"/>
      <c r="E102" s="49"/>
      <c r="F102" s="49"/>
      <c r="G102" s="49"/>
      <c r="H102" s="49"/>
      <c r="I102" s="268"/>
      <c r="J102" s="20"/>
      <c r="K102" s="20"/>
      <c r="L102" s="19"/>
      <c r="M102" s="19"/>
      <c r="N102" s="19"/>
      <c r="O102" s="19"/>
      <c r="P102" s="19"/>
      <c r="Q102" s="19"/>
      <c r="R102" s="19"/>
      <c r="S102" s="19"/>
      <c r="T102" s="19"/>
      <c r="U102" s="19"/>
      <c r="V102" s="19"/>
      <c r="W102" s="19"/>
      <c r="X102" s="19"/>
      <c r="Y102"/>
      <c r="Z102"/>
      <c r="AA102"/>
      <c r="AB102"/>
      <c r="AC102"/>
      <c r="AD102"/>
      <c r="AE102"/>
      <c r="AF102"/>
      <c r="AG102"/>
      <c r="AH102"/>
      <c r="AI102"/>
      <c r="AJ102"/>
      <c r="AK102"/>
      <c r="AL102"/>
      <c r="AM102" s="19"/>
      <c r="AN102" s="19"/>
      <c r="AO102" s="19"/>
      <c r="AP102" s="19"/>
      <c r="AQ102" s="19"/>
      <c r="AR102" s="19"/>
      <c r="AS102" s="19"/>
      <c r="AT102" s="19"/>
      <c r="AU102" s="19"/>
      <c r="AV102" s="19"/>
      <c r="AW102" s="19"/>
      <c r="AX102" s="19"/>
      <c r="AY102" s="19"/>
      <c r="AZ102" s="19"/>
      <c r="BA102" s="19"/>
      <c r="BB102" s="19"/>
      <c r="BC102" s="19"/>
      <c r="BD102" s="19"/>
      <c r="BE102" s="20"/>
      <c r="BF102" s="20"/>
      <c r="BG102" s="20"/>
      <c r="BH102" s="20"/>
      <c r="BI102" s="20"/>
      <c r="BJ102" s="20"/>
      <c r="BK102" s="20"/>
      <c r="BL102" s="20"/>
      <c r="BM102" s="19"/>
      <c r="BN102" s="19"/>
      <c r="BO102" s="19"/>
      <c r="BP102" s="19"/>
      <c r="BQ102" s="19"/>
    </row>
    <row r="103" spans="1:69" x14ac:dyDescent="0.45">
      <c r="C103" s="19"/>
      <c r="J103" s="20"/>
      <c r="K103" s="20"/>
      <c r="BE103" s="20"/>
      <c r="BF103" s="20"/>
      <c r="BG103" s="20"/>
      <c r="BH103" s="20"/>
      <c r="BI103" s="20"/>
      <c r="BJ103" s="20"/>
      <c r="BK103" s="20"/>
      <c r="BL103" s="20"/>
    </row>
    <row r="104" spans="1:69" ht="14.65" thickBot="1" x14ac:dyDescent="0.5">
      <c r="B104"/>
      <c r="C104" s="19"/>
      <c r="J104" s="20"/>
      <c r="K104" s="20"/>
      <c r="BE104" s="20"/>
      <c r="BF104" s="20"/>
      <c r="BG104" s="20"/>
      <c r="BH104" s="20"/>
      <c r="BI104" s="20"/>
      <c r="BJ104" s="20"/>
      <c r="BK104" s="20"/>
      <c r="BL104" s="20"/>
    </row>
    <row r="105" spans="1:69" s="6" customFormat="1" ht="15.75" thickBot="1" x14ac:dyDescent="0.5">
      <c r="A105"/>
      <c r="B105" s="7"/>
      <c r="C105" s="83" t="str">
        <f>C8</f>
        <v>Standard mc-Si</v>
      </c>
      <c r="D105" s="436" t="str">
        <f>D8</f>
        <v>Line-of-Sight</v>
      </c>
      <c r="E105" s="433" t="s">
        <v>4</v>
      </c>
      <c r="F105" s="439" t="s">
        <v>258</v>
      </c>
      <c r="G105" s="439" t="s">
        <v>355</v>
      </c>
      <c r="H105" s="434" t="str">
        <f>E8</f>
        <v>Adv. Concept</v>
      </c>
      <c r="I105" s="268"/>
      <c r="K105" s="20"/>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s="20"/>
      <c r="BF105" s="20"/>
      <c r="BG105" s="20"/>
      <c r="BH105" s="20"/>
      <c r="BI105" s="20"/>
      <c r="BJ105" s="20"/>
      <c r="BK105" s="20"/>
      <c r="BL105" s="20"/>
      <c r="BM105"/>
      <c r="BN105"/>
      <c r="BO105"/>
      <c r="BP105"/>
      <c r="BQ105"/>
    </row>
    <row r="106" spans="1:69" s="6" customFormat="1" x14ac:dyDescent="0.45">
      <c r="A106" s="27" t="s">
        <v>30</v>
      </c>
      <c r="B106" s="39" t="str">
        <f t="shared" ref="B106:D108" si="0">B63</f>
        <v>Silicon Feedstock</v>
      </c>
      <c r="C106" s="25">
        <f t="shared" si="0"/>
        <v>0.17766960624103481</v>
      </c>
      <c r="D106" s="18">
        <f t="shared" si="0"/>
        <v>7.848088834840776E-2</v>
      </c>
      <c r="E106" s="163"/>
      <c r="F106" s="23"/>
      <c r="G106" s="23"/>
      <c r="H106" s="10">
        <f t="shared" ref="H106:H112" si="1">E63</f>
        <v>1.7815109568884251E-2</v>
      </c>
      <c r="I106" s="268"/>
      <c r="K106" s="20"/>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s="20"/>
      <c r="BF106" s="20"/>
      <c r="BG106" s="20"/>
      <c r="BH106" s="20"/>
      <c r="BI106" s="20"/>
      <c r="BJ106" s="20"/>
      <c r="BK106" s="20"/>
      <c r="BL106" s="20"/>
      <c r="BM106"/>
      <c r="BN106"/>
      <c r="BO106"/>
      <c r="BP106"/>
      <c r="BQ106"/>
    </row>
    <row r="107" spans="1:69" x14ac:dyDescent="0.45">
      <c r="A107" s="26"/>
      <c r="B107" s="11" t="str">
        <f t="shared" ref="B107:B113" si="2">B64</f>
        <v>Labor</v>
      </c>
      <c r="C107" s="62">
        <f t="shared" si="0"/>
        <v>6.6257129110477334E-2</v>
      </c>
      <c r="D107" s="55">
        <f t="shared" si="0"/>
        <v>3.9650792307979119E-2</v>
      </c>
      <c r="E107" s="268"/>
      <c r="F107" s="437"/>
      <c r="G107" s="437"/>
      <c r="H107" s="126">
        <f t="shared" si="1"/>
        <v>1.5365323662060679E-2</v>
      </c>
      <c r="K107" s="20"/>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20"/>
      <c r="BF107" s="20"/>
      <c r="BG107" s="20"/>
      <c r="BH107" s="20"/>
      <c r="BI107" s="20"/>
      <c r="BJ107" s="20"/>
      <c r="BK107" s="20"/>
      <c r="BL107" s="20"/>
      <c r="BM107" s="19"/>
      <c r="BN107" s="19"/>
      <c r="BO107" s="19"/>
      <c r="BP107" s="19"/>
      <c r="BQ107" s="19"/>
    </row>
    <row r="108" spans="1:69" x14ac:dyDescent="0.45">
      <c r="A108" s="26"/>
      <c r="B108" s="52" t="str">
        <f t="shared" si="2"/>
        <v>Depreciation</v>
      </c>
      <c r="C108" s="62">
        <f t="shared" si="0"/>
        <v>4.5910919297398892E-2</v>
      </c>
      <c r="D108" s="55">
        <f t="shared" si="0"/>
        <v>2.7914662144505522E-2</v>
      </c>
      <c r="E108" s="268"/>
      <c r="F108" s="437"/>
      <c r="G108" s="437"/>
      <c r="H108" s="126">
        <f t="shared" si="1"/>
        <v>4.1508168668154918E-2</v>
      </c>
      <c r="K108" s="51"/>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20"/>
      <c r="BF108" s="20"/>
      <c r="BG108" s="20"/>
      <c r="BH108" s="20"/>
      <c r="BI108" s="20"/>
      <c r="BJ108" s="20"/>
      <c r="BK108" s="20"/>
      <c r="BL108" s="20"/>
      <c r="BM108" s="19"/>
      <c r="BN108" s="19"/>
      <c r="BO108" s="19"/>
      <c r="BP108" s="19"/>
      <c r="BQ108" s="19"/>
    </row>
    <row r="109" spans="1:69" s="6" customFormat="1" x14ac:dyDescent="0.45">
      <c r="A109" s="26"/>
      <c r="B109" s="555" t="str">
        <f t="shared" si="2"/>
        <v>Slurry</v>
      </c>
      <c r="C109" s="62">
        <f t="shared" ref="C109:D113" si="3">C66</f>
        <v>3.2208929081287488E-2</v>
      </c>
      <c r="D109" s="55">
        <f t="shared" si="3"/>
        <v>1.7325641171365522E-2</v>
      </c>
      <c r="E109" s="268"/>
      <c r="F109" s="437"/>
      <c r="G109" s="437"/>
      <c r="H109" s="126">
        <f t="shared" si="1"/>
        <v>0</v>
      </c>
      <c r="I109" s="268"/>
      <c r="K109" s="51"/>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20"/>
      <c r="BF109" s="20"/>
      <c r="BG109" s="20"/>
      <c r="BH109" s="20"/>
      <c r="BI109" s="20"/>
      <c r="BJ109" s="20"/>
      <c r="BK109" s="20"/>
      <c r="BL109" s="20"/>
      <c r="BM109" s="19"/>
      <c r="BN109" s="19"/>
      <c r="BO109" s="19"/>
      <c r="BP109" s="19"/>
      <c r="BQ109" s="19"/>
    </row>
    <row r="110" spans="1:69" x14ac:dyDescent="0.45">
      <c r="A110" s="26"/>
      <c r="B110" s="555" t="str">
        <f t="shared" si="2"/>
        <v>Wire</v>
      </c>
      <c r="C110" s="62">
        <f t="shared" si="3"/>
        <v>2.2532485940259014E-2</v>
      </c>
      <c r="D110" s="55">
        <f t="shared" si="3"/>
        <v>1.4715656061558545E-2</v>
      </c>
      <c r="E110" s="268"/>
      <c r="F110" s="437"/>
      <c r="G110" s="437"/>
      <c r="H110" s="126">
        <f t="shared" si="1"/>
        <v>0</v>
      </c>
      <c r="K110" s="51"/>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c r="BE110" s="20"/>
      <c r="BF110" s="20"/>
      <c r="BG110" s="20"/>
      <c r="BH110" s="20"/>
      <c r="BI110" s="20"/>
      <c r="BJ110" s="20"/>
      <c r="BK110" s="20"/>
      <c r="BL110" s="20"/>
      <c r="BM110" s="19"/>
      <c r="BN110" s="19"/>
      <c r="BO110" s="19"/>
      <c r="BP110" s="19"/>
      <c r="BQ110" s="19"/>
    </row>
    <row r="111" spans="1:69" x14ac:dyDescent="0.45">
      <c r="A111" s="26"/>
      <c r="B111" s="52" t="str">
        <f t="shared" si="2"/>
        <v>Maintenance</v>
      </c>
      <c r="C111" s="62">
        <f t="shared" si="3"/>
        <v>1.9455549165370602E-2</v>
      </c>
      <c r="D111" s="55">
        <f t="shared" si="3"/>
        <v>1.182932274279043E-2</v>
      </c>
      <c r="E111" s="268"/>
      <c r="F111" s="437"/>
      <c r="G111" s="437"/>
      <c r="H111" s="126">
        <f t="shared" si="1"/>
        <v>1.5082983741197042E-2</v>
      </c>
      <c r="K111" s="51"/>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20"/>
      <c r="BF111" s="20"/>
      <c r="BG111" s="20"/>
      <c r="BH111" s="20"/>
      <c r="BI111" s="20"/>
      <c r="BJ111" s="20"/>
      <c r="BK111" s="20"/>
      <c r="BL111" s="20"/>
      <c r="BM111" s="19"/>
      <c r="BN111" s="19"/>
      <c r="BO111" s="19"/>
      <c r="BP111" s="19"/>
      <c r="BQ111" s="19"/>
    </row>
    <row r="112" spans="1:69" x14ac:dyDescent="0.45">
      <c r="A112" s="26"/>
      <c r="B112" s="52" t="str">
        <f t="shared" si="2"/>
        <v>Input Electricity</v>
      </c>
      <c r="C112" s="62">
        <f t="shared" si="3"/>
        <v>2.4558660743639785E-2</v>
      </c>
      <c r="D112" s="55">
        <f t="shared" si="3"/>
        <v>1.5701284519230314E-2</v>
      </c>
      <c r="E112" s="268"/>
      <c r="F112" s="437"/>
      <c r="G112" s="437"/>
      <c r="H112" s="126">
        <f t="shared" si="1"/>
        <v>1.0784518865010377E-2</v>
      </c>
      <c r="K112" s="51"/>
      <c r="BE112" s="20"/>
      <c r="BF112" s="20"/>
      <c r="BG112" s="20"/>
      <c r="BH112" s="20"/>
      <c r="BI112" s="20"/>
      <c r="BJ112" s="20"/>
      <c r="BK112" s="20"/>
      <c r="BL112" s="20"/>
    </row>
    <row r="113" spans="1:74" s="540" customFormat="1" ht="14.65" thickBot="1" x14ac:dyDescent="0.5">
      <c r="A113" s="646"/>
      <c r="B113" s="555" t="str">
        <f t="shared" si="2"/>
        <v>Crucible</v>
      </c>
      <c r="C113" s="645">
        <f t="shared" si="3"/>
        <v>1.4024143405631155E-2</v>
      </c>
      <c r="D113" s="561">
        <f t="shared" si="3"/>
        <v>4.542991891154256E-3</v>
      </c>
      <c r="E113" s="631"/>
      <c r="F113" s="814"/>
      <c r="G113" s="814"/>
      <c r="H113" s="556">
        <f>E70</f>
        <v>0</v>
      </c>
      <c r="I113" s="631"/>
      <c r="K113" s="51"/>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s="20"/>
      <c r="BF113" s="20"/>
      <c r="BG113" s="20"/>
      <c r="BH113" s="20"/>
      <c r="BI113" s="20"/>
      <c r="BJ113" s="20"/>
      <c r="BK113" s="20"/>
      <c r="BL113" s="20"/>
      <c r="BM113"/>
      <c r="BN113"/>
      <c r="BO113"/>
      <c r="BP113"/>
      <c r="BQ113"/>
    </row>
    <row r="114" spans="1:74" s="6" customFormat="1" x14ac:dyDescent="0.45">
      <c r="A114" s="27" t="s">
        <v>31</v>
      </c>
      <c r="B114" s="39" t="str">
        <f t="shared" ref="B114:D120" si="4">B72</f>
        <v>Metal Paste</v>
      </c>
      <c r="C114" s="25">
        <f t="shared" si="4"/>
        <v>8.0865179308402757E-2</v>
      </c>
      <c r="D114" s="18">
        <f t="shared" si="4"/>
        <v>2.7200225350878904E-2</v>
      </c>
      <c r="E114" s="163"/>
      <c r="F114" s="23"/>
      <c r="G114" s="23"/>
      <c r="H114" s="10">
        <f t="shared" ref="H114:H120" si="5">E72</f>
        <v>2.4248682729429632E-2</v>
      </c>
      <c r="I114" s="268"/>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74" s="6" customFormat="1" x14ac:dyDescent="0.45">
      <c r="A115" s="26"/>
      <c r="B115" s="52" t="str">
        <f t="shared" si="4"/>
        <v>Depreciation</v>
      </c>
      <c r="C115" s="62">
        <f t="shared" si="4"/>
        <v>4.1171405607630107E-2</v>
      </c>
      <c r="D115" s="55">
        <f t="shared" si="4"/>
        <v>2.50329528386618E-2</v>
      </c>
      <c r="E115" s="268"/>
      <c r="F115" s="437"/>
      <c r="G115" s="437"/>
      <c r="H115" s="126">
        <f t="shared" si="5"/>
        <v>2.2316584636158925E-2</v>
      </c>
      <c r="I115" s="268"/>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row>
    <row r="116" spans="1:74" x14ac:dyDescent="0.45">
      <c r="A116" s="26"/>
      <c r="B116" s="52" t="str">
        <f t="shared" si="4"/>
        <v>Chemicals</v>
      </c>
      <c r="C116" s="62">
        <f t="shared" si="4"/>
        <v>2.4710361248822785E-2</v>
      </c>
      <c r="D116" s="55">
        <f t="shared" si="4"/>
        <v>2.0317408137920958E-2</v>
      </c>
      <c r="E116" s="268"/>
      <c r="F116" s="437"/>
      <c r="G116" s="437"/>
      <c r="H116" s="126">
        <f t="shared" si="5"/>
        <v>1.7839675438174503E-2</v>
      </c>
    </row>
    <row r="117" spans="1:74" s="19" customFormat="1" ht="13.8" customHeight="1" x14ac:dyDescent="0.45">
      <c r="A117" s="26"/>
      <c r="B117" s="52" t="str">
        <f t="shared" si="4"/>
        <v>Labor</v>
      </c>
      <c r="C117" s="62">
        <f t="shared" si="4"/>
        <v>2.4763104137434495E-2</v>
      </c>
      <c r="D117" s="55">
        <f t="shared" si="4"/>
        <v>1.3410194369613462E-2</v>
      </c>
      <c r="E117" s="268"/>
      <c r="F117" s="437"/>
      <c r="G117" s="437"/>
      <c r="H117" s="126">
        <f t="shared" si="5"/>
        <v>1.1955031416614088E-2</v>
      </c>
      <c r="I117" s="268"/>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row>
    <row r="118" spans="1:74" s="19" customFormat="1" ht="13.8" customHeight="1" x14ac:dyDescent="0.45">
      <c r="A118" s="26"/>
      <c r="B118" s="52" t="str">
        <f t="shared" si="4"/>
        <v>Input Electricity</v>
      </c>
      <c r="C118" s="62">
        <f t="shared" si="4"/>
        <v>2.2187790759219332E-2</v>
      </c>
      <c r="D118" s="55">
        <f t="shared" si="4"/>
        <v>1.7968270082172933E-2</v>
      </c>
      <c r="E118" s="268"/>
      <c r="F118" s="437"/>
      <c r="G118" s="437"/>
      <c r="H118" s="126">
        <f t="shared" si="5"/>
        <v>1.6018502596899815E-2</v>
      </c>
      <c r="I118" s="26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row>
    <row r="119" spans="1:74" s="19" customFormat="1" ht="13.8" customHeight="1" x14ac:dyDescent="0.45">
      <c r="A119" s="26"/>
      <c r="B119" s="52" t="str">
        <f t="shared" si="4"/>
        <v>Maintenance</v>
      </c>
      <c r="C119" s="62">
        <f t="shared" si="4"/>
        <v>1.5066066454459315E-2</v>
      </c>
      <c r="D119" s="55">
        <f t="shared" si="4"/>
        <v>9.1604385483678892E-3</v>
      </c>
      <c r="E119" s="268"/>
      <c r="F119" s="437"/>
      <c r="G119" s="437"/>
      <c r="H119" s="126">
        <f t="shared" si="5"/>
        <v>8.1664238129053688E-3</v>
      </c>
      <c r="I119" s="268"/>
    </row>
    <row r="120" spans="1:74" s="19" customFormat="1" ht="13.8" customHeight="1" thickBot="1" x14ac:dyDescent="0.5">
      <c r="A120" s="26"/>
      <c r="B120" s="52" t="str">
        <f t="shared" si="4"/>
        <v>Screens</v>
      </c>
      <c r="C120" s="62">
        <f t="shared" si="4"/>
        <v>8.9142717347845558E-3</v>
      </c>
      <c r="D120" s="55">
        <f t="shared" si="4"/>
        <v>7.2190171547356343E-3</v>
      </c>
      <c r="E120" s="268"/>
      <c r="F120" s="437"/>
      <c r="G120" s="437"/>
      <c r="H120" s="126">
        <f t="shared" si="5"/>
        <v>0</v>
      </c>
      <c r="I120" s="268"/>
    </row>
    <row r="121" spans="1:74" s="19" customFormat="1" ht="13.8" customHeight="1" x14ac:dyDescent="0.45">
      <c r="A121" s="27" t="s">
        <v>32</v>
      </c>
      <c r="B121" s="743" t="str">
        <f t="shared" ref="B121:D129" si="6">B80</f>
        <v>Glass</v>
      </c>
      <c r="C121" s="18">
        <f t="shared" si="6"/>
        <v>4.9822549822549821E-2</v>
      </c>
      <c r="D121" s="131">
        <f t="shared" si="6"/>
        <v>4.0759352317141256E-2</v>
      </c>
      <c r="E121" s="23"/>
      <c r="F121" s="163"/>
      <c r="G121" s="23"/>
      <c r="H121" s="10">
        <f t="shared" ref="H121:H129" si="7">E80</f>
        <v>3.596945060359695E-2</v>
      </c>
      <c r="I121" s="268"/>
    </row>
    <row r="122" spans="1:74" x14ac:dyDescent="0.45">
      <c r="A122" s="26"/>
      <c r="B122" s="555" t="str">
        <f t="shared" si="6"/>
        <v>Frame</v>
      </c>
      <c r="C122" s="561">
        <f t="shared" si="6"/>
        <v>5.7633341109124582E-2</v>
      </c>
      <c r="D122" s="552">
        <f t="shared" si="6"/>
        <v>4.7149286093293878E-2</v>
      </c>
      <c r="E122" s="814"/>
      <c r="F122" s="631"/>
      <c r="G122" s="814"/>
      <c r="H122" s="556">
        <f t="shared" si="7"/>
        <v>4.1608460898294827E-2</v>
      </c>
    </row>
    <row r="123" spans="1:74" x14ac:dyDescent="0.45">
      <c r="A123" s="26"/>
      <c r="B123" s="555" t="str">
        <f t="shared" si="6"/>
        <v>Backsheet</v>
      </c>
      <c r="C123" s="561">
        <f t="shared" si="6"/>
        <v>4.777504777504777E-2</v>
      </c>
      <c r="D123" s="552">
        <f t="shared" si="6"/>
        <v>3.908431044109436E-2</v>
      </c>
      <c r="E123" s="814"/>
      <c r="F123" s="631"/>
      <c r="G123" s="814"/>
      <c r="H123" s="556">
        <f t="shared" si="7"/>
        <v>3.4491254003449129E-2</v>
      </c>
    </row>
    <row r="124" spans="1:74" x14ac:dyDescent="0.45">
      <c r="A124" s="26"/>
      <c r="B124" s="555" t="str">
        <f t="shared" si="6"/>
        <v>Encapsulant</v>
      </c>
      <c r="C124" s="561">
        <f t="shared" si="6"/>
        <v>3.412503412503412E-2</v>
      </c>
      <c r="D124" s="552">
        <f t="shared" si="6"/>
        <v>2.7917364600781685E-2</v>
      </c>
      <c r="E124" s="814"/>
      <c r="F124" s="631"/>
      <c r="G124" s="814"/>
      <c r="H124" s="556">
        <f t="shared" si="7"/>
        <v>2.4636610002463661E-2</v>
      </c>
    </row>
    <row r="125" spans="1:74" x14ac:dyDescent="0.45">
      <c r="A125" s="26"/>
      <c r="B125" s="555" t="str">
        <f t="shared" si="6"/>
        <v>JB and Cable</v>
      </c>
      <c r="C125" s="561">
        <f t="shared" si="6"/>
        <v>2.4959960857396754E-2</v>
      </c>
      <c r="D125" s="552">
        <f t="shared" si="6"/>
        <v>2.0419505666252218E-2</v>
      </c>
      <c r="E125" s="814"/>
      <c r="F125" s="631"/>
      <c r="G125" s="814"/>
      <c r="H125" s="556">
        <f t="shared" si="7"/>
        <v>1.8019874179974246E-2</v>
      </c>
    </row>
    <row r="126" spans="1:74" x14ac:dyDescent="0.45">
      <c r="A126" s="26"/>
      <c r="B126" s="555" t="str">
        <f t="shared" si="6"/>
        <v>Ribbon</v>
      </c>
      <c r="C126" s="561">
        <f t="shared" si="6"/>
        <v>3.207753207753207E-2</v>
      </c>
      <c r="D126" s="552">
        <f t="shared" si="6"/>
        <v>2.6242322724734785E-2</v>
      </c>
      <c r="E126" s="814"/>
      <c r="F126" s="631"/>
      <c r="G126" s="814"/>
      <c r="H126" s="556">
        <f t="shared" si="7"/>
        <v>2.3158413402315843E-2</v>
      </c>
    </row>
    <row r="127" spans="1:74" x14ac:dyDescent="0.45">
      <c r="A127" s="26"/>
      <c r="B127" s="555" t="str">
        <f t="shared" si="6"/>
        <v>Depreciation</v>
      </c>
      <c r="C127" s="561">
        <f t="shared" si="6"/>
        <v>1.7055924288067147E-2</v>
      </c>
      <c r="D127" s="552">
        <f t="shared" si="6"/>
        <v>1.0370307790605156E-2</v>
      </c>
      <c r="E127" s="814"/>
      <c r="F127" s="631"/>
      <c r="G127" s="814"/>
      <c r="H127" s="556">
        <f t="shared" si="7"/>
        <v>9.2450080900815506E-3</v>
      </c>
    </row>
    <row r="128" spans="1:74" x14ac:dyDescent="0.45">
      <c r="A128" s="26"/>
      <c r="B128" s="555" t="str">
        <f t="shared" si="6"/>
        <v>Labor</v>
      </c>
      <c r="C128" s="561">
        <f t="shared" si="6"/>
        <v>2.3831505004496076E-2</v>
      </c>
      <c r="D128" s="552">
        <f t="shared" si="6"/>
        <v>1.1576018962590476E-2</v>
      </c>
      <c r="E128" s="814"/>
      <c r="F128" s="631"/>
      <c r="G128" s="814"/>
      <c r="H128" s="556">
        <f t="shared" si="7"/>
        <v>1.031988549626657E-2</v>
      </c>
    </row>
    <row r="129" spans="1:9" s="6" customFormat="1" x14ac:dyDescent="0.45">
      <c r="A129" s="26"/>
      <c r="B129" s="555" t="str">
        <f t="shared" si="6"/>
        <v>Maintenance</v>
      </c>
      <c r="C129" s="561">
        <f t="shared" si="6"/>
        <v>6.4525731266802718E-3</v>
      </c>
      <c r="D129" s="552">
        <f t="shared" si="6"/>
        <v>3.9232801597200925E-3</v>
      </c>
      <c r="E129" s="814"/>
      <c r="F129" s="631"/>
      <c r="G129" s="814"/>
      <c r="H129" s="556">
        <f t="shared" si="7"/>
        <v>3.4975583703627101E-3</v>
      </c>
      <c r="I129" s="268"/>
    </row>
    <row r="130" spans="1:9" s="6" customFormat="1" x14ac:dyDescent="0.45">
      <c r="A130" s="26"/>
      <c r="B130" s="555" t="str">
        <f t="shared" ref="B130:D131" si="8">B89</f>
        <v>Input Electricity</v>
      </c>
      <c r="C130" s="561">
        <f t="shared" si="8"/>
        <v>3.1976521976521976E-3</v>
      </c>
      <c r="D130" s="552">
        <f t="shared" si="8"/>
        <v>2.6159687325516471E-3</v>
      </c>
      <c r="E130" s="814"/>
      <c r="F130" s="631"/>
      <c r="G130" s="814"/>
      <c r="H130" s="556">
        <f>E89</f>
        <v>2.3085489036708553E-3</v>
      </c>
      <c r="I130" s="268"/>
    </row>
    <row r="131" spans="1:9" s="6" customFormat="1" x14ac:dyDescent="0.45">
      <c r="A131" s="26"/>
      <c r="B131" s="555" t="str">
        <f t="shared" si="8"/>
        <v>Packaging</v>
      </c>
      <c r="C131" s="561">
        <f t="shared" si="8"/>
        <v>3.0712530712530711E-3</v>
      </c>
      <c r="D131" s="552">
        <f t="shared" si="8"/>
        <v>2.5125628140703514E-3</v>
      </c>
      <c r="E131" s="814"/>
      <c r="F131" s="631"/>
      <c r="G131" s="814"/>
      <c r="H131" s="556">
        <f>E90</f>
        <v>2.2172949002217299E-3</v>
      </c>
      <c r="I131" s="268"/>
    </row>
    <row r="132" spans="1:9" ht="14.65" thickBot="1" x14ac:dyDescent="0.5">
      <c r="A132" s="27"/>
      <c r="B132" s="558" t="s">
        <v>88</v>
      </c>
      <c r="C132" s="98">
        <f>C91</f>
        <v>0</v>
      </c>
      <c r="D132" s="865">
        <f>D91</f>
        <v>0</v>
      </c>
      <c r="E132" s="24"/>
      <c r="F132" s="158"/>
      <c r="G132" s="24"/>
      <c r="H132" s="40">
        <f>E91</f>
        <v>0</v>
      </c>
    </row>
    <row r="133" spans="1:9" x14ac:dyDescent="0.45">
      <c r="A133" s="41" t="s">
        <v>82</v>
      </c>
      <c r="B133" s="73" t="s">
        <v>78</v>
      </c>
      <c r="C133" s="236"/>
      <c r="D133" s="23"/>
      <c r="E133" s="131">
        <f>'Line-of-Sight'!C21-'Adv Concept Waterfall 1'!C21</f>
        <v>6.8663417801485271E-2</v>
      </c>
      <c r="F133" s="18">
        <f>'Adv Concept Waterfall 1'!C21-'Adv Concept Waterfall 2'!C21</f>
        <v>6.113585437632385E-2</v>
      </c>
      <c r="G133" s="18">
        <f>'Adv Concept Waterfall 2'!C21-'Advanced Concept'!C21</f>
        <v>2.6667389808182229E-2</v>
      </c>
      <c r="H133" s="156"/>
    </row>
    <row r="134" spans="1:9" s="6" customFormat="1" x14ac:dyDescent="0.45">
      <c r="A134"/>
      <c r="B134" s="52" t="s">
        <v>77</v>
      </c>
      <c r="C134" s="238"/>
      <c r="D134" s="437"/>
      <c r="E134" s="234">
        <f>F134+F133</f>
        <v>0.49437660817069373</v>
      </c>
      <c r="F134" s="55">
        <f>G134+G133</f>
        <v>0.43324075379436988</v>
      </c>
      <c r="G134" s="55">
        <f>SUM(H106:H132)</f>
        <v>0.40657336398618765</v>
      </c>
      <c r="H134" s="157"/>
      <c r="I134" s="268"/>
    </row>
    <row r="135" spans="1:9" ht="14.65" thickBot="1" x14ac:dyDescent="0.5">
      <c r="B135" s="53" t="s">
        <v>121</v>
      </c>
      <c r="C135" s="128"/>
      <c r="D135" s="24"/>
      <c r="E135" s="206">
        <f>E133*-1</f>
        <v>-6.8663417801485271E-2</v>
      </c>
      <c r="F135" s="97">
        <f>F133*-1</f>
        <v>-6.113585437632385E-2</v>
      </c>
      <c r="G135" s="97">
        <f>G133*-1</f>
        <v>-2.6667389808182229E-2</v>
      </c>
      <c r="H135" s="21"/>
    </row>
    <row r="136" spans="1:9" ht="14.65" thickBot="1" x14ac:dyDescent="0.5">
      <c r="A136" s="744" t="s">
        <v>252</v>
      </c>
      <c r="B136" s="83"/>
      <c r="C136" s="435">
        <f t="shared" ref="C136:H136" si="9">SUM(C106:C132)</f>
        <v>0.92029797569068617</v>
      </c>
      <c r="D136" s="438">
        <f t="shared" si="9"/>
        <v>0.56304002597217895</v>
      </c>
      <c r="E136" s="84">
        <f t="shared" si="9"/>
        <v>0</v>
      </c>
      <c r="F136" s="438">
        <f t="shared" si="9"/>
        <v>0</v>
      </c>
      <c r="G136" s="438">
        <f t="shared" si="9"/>
        <v>0</v>
      </c>
      <c r="H136" s="85">
        <f t="shared" si="9"/>
        <v>0.40657336398618765</v>
      </c>
    </row>
    <row r="137" spans="1:9" ht="14.65" thickBot="1" x14ac:dyDescent="0.5"/>
    <row r="138" spans="1:9" ht="14.65" thickBot="1" x14ac:dyDescent="0.5">
      <c r="A138" s="745" t="s">
        <v>127</v>
      </c>
      <c r="B138" s="644"/>
      <c r="C138" s="435">
        <f>C11</f>
        <v>1.1075021004859051</v>
      </c>
      <c r="D138" s="818">
        <f>D11</f>
        <v>0.67727203500382904</v>
      </c>
      <c r="E138" s="815"/>
      <c r="F138" s="818"/>
      <c r="G138" s="815"/>
      <c r="H138" s="818">
        <f>E11</f>
        <v>0.50589456099653207</v>
      </c>
    </row>
    <row r="140" spans="1:9" x14ac:dyDescent="0.45">
      <c r="A140" s="155"/>
      <c r="B140" s="28"/>
      <c r="D140" s="116"/>
      <c r="E140" s="546"/>
      <c r="F140" s="546"/>
      <c r="G140" s="546"/>
      <c r="H140" s="116"/>
    </row>
    <row r="141" spans="1:9" ht="13.8" customHeight="1" x14ac:dyDescent="0.75">
      <c r="A141" s="745"/>
      <c r="B141" s="111"/>
      <c r="C141" s="235"/>
      <c r="D141" s="553"/>
      <c r="E141" s="235"/>
      <c r="F141" s="235"/>
      <c r="G141" s="235"/>
      <c r="H141" s="553"/>
    </row>
    <row r="142" spans="1:9" x14ac:dyDescent="0.45">
      <c r="A142" s="268"/>
      <c r="B142" s="229"/>
      <c r="C142" s="408"/>
      <c r="D142" s="229"/>
      <c r="E142" s="229"/>
      <c r="F142" s="229"/>
      <c r="G142" s="229"/>
      <c r="H142" s="229"/>
      <c r="I142" s="1001"/>
    </row>
    <row r="143" spans="1:9" s="19" customFormat="1" x14ac:dyDescent="0.45">
      <c r="A143" s="268"/>
      <c r="B143" s="42"/>
      <c r="C143" s="1002"/>
      <c r="D143" s="268"/>
      <c r="E143" s="235"/>
      <c r="F143" s="235"/>
      <c r="G143" s="235"/>
      <c r="H143" s="230"/>
      <c r="I143" s="268"/>
    </row>
    <row r="144" spans="1:9" s="19" customFormat="1" ht="15.4" x14ac:dyDescent="0.45">
      <c r="A144" s="268"/>
      <c r="B144" s="233"/>
      <c r="C144" s="268"/>
      <c r="D144" s="1054"/>
      <c r="E144" s="994"/>
      <c r="F144" s="994"/>
      <c r="G144" s="994"/>
      <c r="H144" s="1054"/>
      <c r="I144" s="268"/>
    </row>
    <row r="145" spans="1:13" x14ac:dyDescent="0.45">
      <c r="A145" s="440"/>
      <c r="B145" s="235"/>
      <c r="C145" s="234"/>
      <c r="D145" s="990"/>
      <c r="E145" s="268"/>
      <c r="F145" s="268"/>
      <c r="G145" s="996"/>
      <c r="H145" s="994"/>
      <c r="I145" s="996"/>
      <c r="J145" s="996"/>
      <c r="K145" s="996"/>
      <c r="L145" s="996"/>
      <c r="M145" s="996"/>
    </row>
    <row r="146" spans="1:13" x14ac:dyDescent="0.45">
      <c r="A146" s="441"/>
      <c r="B146" s="235"/>
      <c r="C146" s="234"/>
      <c r="D146" s="234"/>
      <c r="E146" s="268"/>
      <c r="F146" s="268"/>
      <c r="G146" s="996"/>
      <c r="H146" s="113"/>
      <c r="I146" s="113"/>
      <c r="J146" s="113"/>
      <c r="K146" s="996"/>
      <c r="L146" s="996"/>
      <c r="M146" s="996"/>
    </row>
    <row r="147" spans="1:13" x14ac:dyDescent="0.45">
      <c r="A147" s="441"/>
      <c r="B147" s="235"/>
      <c r="C147" s="234"/>
      <c r="D147" s="234"/>
      <c r="E147" s="268"/>
      <c r="F147" s="268"/>
      <c r="G147" s="995"/>
      <c r="H147" s="994"/>
      <c r="I147" s="994"/>
      <c r="J147" s="994"/>
      <c r="K147" s="996"/>
      <c r="L147" s="996"/>
      <c r="M147" s="996"/>
    </row>
    <row r="148" spans="1:13" x14ac:dyDescent="0.45">
      <c r="A148" s="441"/>
      <c r="B148" s="235"/>
      <c r="C148" s="234"/>
      <c r="D148" s="234"/>
      <c r="E148" s="268"/>
      <c r="F148" s="268"/>
      <c r="G148" s="996"/>
      <c r="H148" s="994"/>
      <c r="I148" s="994"/>
      <c r="J148" s="994"/>
      <c r="K148" s="996"/>
      <c r="L148" s="996"/>
      <c r="M148" s="996"/>
    </row>
    <row r="149" spans="1:13" x14ac:dyDescent="0.45">
      <c r="A149" s="441"/>
      <c r="B149" s="235"/>
      <c r="C149" s="234"/>
      <c r="D149" s="234"/>
      <c r="E149" s="268"/>
      <c r="F149" s="268"/>
      <c r="G149" s="996"/>
      <c r="H149" s="994"/>
      <c r="I149" s="994"/>
      <c r="J149" s="994"/>
      <c r="K149" s="996"/>
      <c r="L149" s="996"/>
      <c r="M149" s="996"/>
    </row>
    <row r="150" spans="1:13" x14ac:dyDescent="0.45">
      <c r="A150" s="441"/>
      <c r="B150" s="235"/>
      <c r="C150" s="234"/>
      <c r="D150" s="234"/>
      <c r="E150" s="268"/>
      <c r="F150" s="268"/>
      <c r="G150" s="996"/>
      <c r="H150" s="994"/>
      <c r="I150" s="994"/>
      <c r="J150" s="994"/>
      <c r="K150" s="996"/>
      <c r="L150" s="996"/>
      <c r="M150" s="996"/>
    </row>
    <row r="151" spans="1:13" s="19" customFormat="1" x14ac:dyDescent="0.45">
      <c r="A151" s="441"/>
      <c r="B151" s="235"/>
      <c r="C151" s="234"/>
      <c r="D151" s="234"/>
      <c r="E151" s="268"/>
      <c r="F151" s="268"/>
      <c r="G151" s="996"/>
      <c r="H151" s="994"/>
      <c r="I151" s="994"/>
      <c r="J151" s="994"/>
      <c r="K151" s="996"/>
      <c r="L151" s="996"/>
      <c r="M151" s="996"/>
    </row>
    <row r="152" spans="1:13" s="19" customFormat="1" x14ac:dyDescent="0.45">
      <c r="A152" s="441"/>
      <c r="B152" s="235"/>
      <c r="C152" s="234"/>
      <c r="D152" s="234"/>
      <c r="E152" s="268"/>
      <c r="F152" s="268"/>
      <c r="G152" s="996"/>
      <c r="H152" s="994"/>
      <c r="I152" s="994"/>
      <c r="J152" s="994"/>
      <c r="K152" s="996"/>
      <c r="L152" s="996"/>
      <c r="M152" s="996"/>
    </row>
    <row r="153" spans="1:13" s="19" customFormat="1" x14ac:dyDescent="0.45">
      <c r="A153" s="440"/>
      <c r="B153" s="235"/>
      <c r="C153" s="234"/>
      <c r="D153" s="234"/>
      <c r="E153" s="268"/>
      <c r="F153" s="268"/>
      <c r="G153" s="996"/>
      <c r="H153" s="994"/>
      <c r="I153" s="994"/>
      <c r="J153" s="994"/>
      <c r="K153" s="996"/>
      <c r="L153" s="996"/>
      <c r="M153" s="996"/>
    </row>
    <row r="154" spans="1:13" x14ac:dyDescent="0.45">
      <c r="A154" s="441"/>
      <c r="B154" s="235"/>
      <c r="C154" s="234"/>
      <c r="D154" s="234"/>
      <c r="E154" s="268"/>
      <c r="F154" s="268"/>
      <c r="G154" s="996"/>
      <c r="H154" s="994"/>
      <c r="I154" s="994"/>
      <c r="J154" s="994"/>
      <c r="K154" s="996"/>
      <c r="L154" s="996"/>
      <c r="M154" s="996"/>
    </row>
    <row r="155" spans="1:13" x14ac:dyDescent="0.45">
      <c r="A155" s="441"/>
      <c r="B155" s="235"/>
      <c r="C155" s="234"/>
      <c r="D155" s="234"/>
      <c r="E155" s="268"/>
      <c r="F155" s="268"/>
      <c r="G155" s="996"/>
      <c r="H155" s="994"/>
      <c r="I155" s="994"/>
      <c r="J155" s="994"/>
      <c r="K155" s="996"/>
      <c r="L155" s="996"/>
      <c r="M155" s="996"/>
    </row>
    <row r="156" spans="1:13" x14ac:dyDescent="0.45">
      <c r="A156" s="441"/>
      <c r="B156" s="235"/>
      <c r="C156" s="234"/>
      <c r="D156" s="234"/>
      <c r="E156" s="268"/>
      <c r="F156" s="268"/>
      <c r="G156" s="996"/>
      <c r="H156" s="994"/>
      <c r="I156" s="994"/>
      <c r="J156" s="994"/>
      <c r="K156" s="996"/>
      <c r="L156" s="996"/>
      <c r="M156" s="996"/>
    </row>
    <row r="157" spans="1:13" s="4" customFormat="1" x14ac:dyDescent="0.45">
      <c r="A157" s="441"/>
      <c r="B157" s="235"/>
      <c r="C157" s="234"/>
      <c r="D157" s="234"/>
      <c r="E157" s="268"/>
      <c r="F157" s="268"/>
      <c r="G157" s="996"/>
      <c r="H157" s="994"/>
      <c r="I157" s="994"/>
      <c r="J157" s="994"/>
      <c r="K157" s="996"/>
      <c r="L157" s="996"/>
      <c r="M157" s="996"/>
    </row>
    <row r="158" spans="1:13" s="19" customFormat="1" x14ac:dyDescent="0.45">
      <c r="A158" s="441"/>
      <c r="B158" s="235"/>
      <c r="C158" s="234"/>
      <c r="D158" s="234"/>
      <c r="E158" s="268"/>
      <c r="F158" s="268"/>
      <c r="G158" s="996"/>
      <c r="H158" s="994"/>
      <c r="I158" s="994"/>
      <c r="J158" s="994"/>
      <c r="K158" s="996"/>
      <c r="L158" s="996"/>
      <c r="M158" s="996"/>
    </row>
    <row r="159" spans="1:13" s="19" customFormat="1" x14ac:dyDescent="0.45">
      <c r="A159" s="441"/>
      <c r="B159" s="235"/>
      <c r="C159" s="234"/>
      <c r="D159" s="234"/>
      <c r="E159" s="268"/>
      <c r="F159" s="268"/>
      <c r="G159" s="996"/>
      <c r="H159" s="994"/>
      <c r="I159" s="994"/>
      <c r="J159" s="994"/>
      <c r="K159" s="996"/>
      <c r="L159" s="996"/>
      <c r="M159" s="996"/>
    </row>
    <row r="160" spans="1:13" s="19" customFormat="1" x14ac:dyDescent="0.45">
      <c r="A160" s="441"/>
      <c r="B160" s="235"/>
      <c r="C160" s="234"/>
      <c r="D160" s="234"/>
      <c r="E160" s="268"/>
      <c r="F160" s="268"/>
      <c r="G160" s="996"/>
      <c r="H160" s="994"/>
      <c r="I160" s="994"/>
      <c r="J160" s="994"/>
      <c r="K160" s="996"/>
      <c r="L160" s="996"/>
      <c r="M160" s="996"/>
    </row>
    <row r="161" spans="1:13" s="19" customFormat="1" x14ac:dyDescent="0.45">
      <c r="A161" s="440"/>
      <c r="B161" s="235"/>
      <c r="C161" s="234"/>
      <c r="D161" s="234"/>
      <c r="E161" s="268"/>
      <c r="F161" s="268"/>
      <c r="G161" s="996"/>
      <c r="H161" s="994"/>
      <c r="I161" s="994"/>
      <c r="J161" s="994"/>
      <c r="K161" s="996"/>
      <c r="L161" s="996"/>
      <c r="M161" s="996"/>
    </row>
    <row r="162" spans="1:13" x14ac:dyDescent="0.45">
      <c r="A162" s="441"/>
      <c r="B162" s="235"/>
      <c r="C162" s="234"/>
      <c r="D162" s="234"/>
      <c r="E162" s="268"/>
      <c r="F162" s="268"/>
      <c r="G162" s="996"/>
      <c r="H162" s="994"/>
      <c r="I162" s="994"/>
      <c r="J162" s="994"/>
      <c r="K162" s="996"/>
      <c r="L162" s="996"/>
      <c r="M162" s="996"/>
    </row>
    <row r="163" spans="1:13" x14ac:dyDescent="0.45">
      <c r="A163" s="441"/>
      <c r="B163" s="235"/>
      <c r="C163" s="234"/>
      <c r="D163" s="234"/>
      <c r="E163" s="268"/>
      <c r="F163" s="268"/>
      <c r="G163" s="996"/>
      <c r="H163" s="994"/>
      <c r="I163" s="994"/>
      <c r="J163" s="994"/>
      <c r="K163" s="996"/>
      <c r="L163" s="996"/>
      <c r="M163" s="996"/>
    </row>
    <row r="164" spans="1:13" x14ac:dyDescent="0.45">
      <c r="A164" s="441"/>
      <c r="B164" s="235"/>
      <c r="C164" s="234"/>
      <c r="D164" s="234"/>
      <c r="E164" s="268"/>
      <c r="F164" s="268"/>
      <c r="G164" s="996"/>
      <c r="H164" s="994"/>
      <c r="I164" s="994"/>
      <c r="J164" s="994"/>
      <c r="K164" s="996"/>
      <c r="L164" s="996"/>
      <c r="M164" s="996"/>
    </row>
    <row r="165" spans="1:13" x14ac:dyDescent="0.45">
      <c r="A165" s="441"/>
      <c r="B165" s="235"/>
      <c r="C165" s="234"/>
      <c r="D165" s="234"/>
      <c r="E165" s="268"/>
      <c r="F165" s="268"/>
      <c r="G165" s="996"/>
      <c r="H165" s="994"/>
      <c r="I165" s="994"/>
      <c r="J165" s="994"/>
      <c r="K165" s="996"/>
      <c r="L165" s="996"/>
      <c r="M165" s="996"/>
    </row>
    <row r="166" spans="1:13" s="19" customFormat="1" x14ac:dyDescent="0.45">
      <c r="A166" s="441"/>
      <c r="B166" s="235"/>
      <c r="C166" s="234"/>
      <c r="D166" s="234"/>
      <c r="E166" s="268"/>
      <c r="F166" s="268"/>
      <c r="G166" s="996"/>
      <c r="H166" s="994"/>
      <c r="I166" s="994"/>
      <c r="J166" s="994"/>
      <c r="K166" s="996"/>
      <c r="L166" s="996"/>
      <c r="M166" s="996"/>
    </row>
    <row r="167" spans="1:13" s="19" customFormat="1" x14ac:dyDescent="0.45">
      <c r="A167" s="441"/>
      <c r="B167" s="235"/>
      <c r="C167" s="234"/>
      <c r="D167" s="234"/>
      <c r="E167" s="268"/>
      <c r="F167" s="268"/>
      <c r="G167" s="996"/>
      <c r="H167" s="994"/>
      <c r="I167" s="994"/>
      <c r="J167" s="994"/>
      <c r="K167" s="996"/>
      <c r="L167" s="996"/>
      <c r="M167" s="996"/>
    </row>
    <row r="168" spans="1:13" s="19" customFormat="1" x14ac:dyDescent="0.45">
      <c r="A168" s="441"/>
      <c r="B168" s="235"/>
      <c r="C168" s="234"/>
      <c r="D168" s="234"/>
      <c r="E168" s="268"/>
      <c r="F168" s="268"/>
      <c r="G168" s="996"/>
      <c r="H168" s="994"/>
      <c r="I168" s="994"/>
      <c r="J168" s="994"/>
      <c r="K168" s="996"/>
      <c r="L168" s="996"/>
      <c r="M168" s="996"/>
    </row>
    <row r="169" spans="1:13" s="19" customFormat="1" x14ac:dyDescent="0.45">
      <c r="A169" s="441"/>
      <c r="B169" s="235"/>
      <c r="C169" s="234"/>
      <c r="D169" s="234"/>
      <c r="E169" s="268"/>
      <c r="F169" s="268"/>
      <c r="G169" s="996"/>
      <c r="H169" s="994"/>
      <c r="I169" s="994"/>
      <c r="J169" s="994"/>
      <c r="K169" s="996"/>
      <c r="L169" s="996"/>
      <c r="M169" s="996"/>
    </row>
    <row r="170" spans="1:13" s="19" customFormat="1" x14ac:dyDescent="0.45">
      <c r="A170" s="441"/>
      <c r="B170" s="235"/>
      <c r="C170" s="234"/>
      <c r="D170" s="234"/>
      <c r="E170" s="268"/>
      <c r="F170" s="268"/>
      <c r="G170" s="996"/>
      <c r="H170" s="994"/>
      <c r="I170" s="994"/>
      <c r="J170" s="994"/>
      <c r="K170" s="996"/>
      <c r="L170" s="996"/>
      <c r="M170" s="996"/>
    </row>
    <row r="171" spans="1:13" x14ac:dyDescent="0.45">
      <c r="A171" s="441"/>
      <c r="B171" s="235"/>
      <c r="C171" s="234"/>
      <c r="D171" s="234"/>
      <c r="E171" s="268"/>
      <c r="F171" s="268"/>
      <c r="G171" s="996"/>
      <c r="H171" s="994"/>
      <c r="I171" s="994"/>
      <c r="J171" s="994"/>
      <c r="K171" s="996"/>
      <c r="L171" s="996"/>
      <c r="M171" s="996"/>
    </row>
    <row r="172" spans="1:13" x14ac:dyDescent="0.45">
      <c r="A172" s="441"/>
      <c r="B172" s="235"/>
      <c r="C172" s="234"/>
      <c r="D172" s="234"/>
      <c r="E172" s="268"/>
      <c r="F172" s="268"/>
      <c r="G172" s="996"/>
      <c r="H172" s="994"/>
      <c r="I172" s="994"/>
      <c r="J172" s="994"/>
      <c r="K172" s="996"/>
      <c r="L172" s="996"/>
      <c r="M172" s="996"/>
    </row>
    <row r="173" spans="1:13" x14ac:dyDescent="0.45">
      <c r="A173" s="440"/>
      <c r="B173" s="235"/>
      <c r="C173" s="234"/>
      <c r="D173" s="234"/>
      <c r="E173" s="268"/>
      <c r="F173" s="268"/>
      <c r="G173" s="996"/>
      <c r="H173" s="994"/>
      <c r="I173" s="994"/>
      <c r="J173" s="994"/>
      <c r="K173" s="996"/>
      <c r="L173" s="996"/>
      <c r="M173" s="996"/>
    </row>
    <row r="174" spans="1:13" x14ac:dyDescent="0.45">
      <c r="A174" s="440"/>
      <c r="B174" s="235"/>
      <c r="C174" s="234"/>
      <c r="D174" s="234"/>
      <c r="E174" s="268"/>
      <c r="F174" s="268"/>
      <c r="G174" s="996"/>
      <c r="H174" s="994"/>
      <c r="I174" s="994"/>
      <c r="J174" s="994"/>
      <c r="K174" s="996"/>
      <c r="L174" s="996"/>
      <c r="M174" s="996"/>
    </row>
    <row r="175" spans="1:13" s="19" customFormat="1" x14ac:dyDescent="0.45">
      <c r="A175" s="441"/>
      <c r="B175" s="235"/>
      <c r="C175" s="234"/>
      <c r="D175" s="234"/>
      <c r="E175" s="268"/>
      <c r="F175" s="268"/>
      <c r="G175" s="996"/>
      <c r="H175" s="994"/>
      <c r="I175" s="994"/>
      <c r="J175" s="994"/>
      <c r="K175" s="996"/>
      <c r="L175" s="996"/>
      <c r="M175" s="996"/>
    </row>
    <row r="176" spans="1:13" x14ac:dyDescent="0.45">
      <c r="A176" s="235"/>
      <c r="B176" s="235"/>
      <c r="C176" s="235"/>
      <c r="D176" s="235"/>
      <c r="E176" s="235"/>
      <c r="F176" s="235"/>
      <c r="G176" s="996"/>
      <c r="H176" s="994"/>
      <c r="I176" s="994"/>
      <c r="J176" s="994"/>
      <c r="K176" s="996"/>
      <c r="L176" s="996"/>
      <c r="M176" s="996"/>
    </row>
    <row r="177" spans="1:13" x14ac:dyDescent="0.45">
      <c r="A177" s="51"/>
      <c r="B177" s="51"/>
      <c r="C177" s="51"/>
      <c r="D177" s="51"/>
      <c r="E177" s="51"/>
      <c r="F177" s="51"/>
      <c r="G177" s="996"/>
      <c r="H177" s="1001"/>
      <c r="I177" s="1001"/>
      <c r="J177" s="1001"/>
      <c r="K177" s="996"/>
      <c r="L177" s="996"/>
      <c r="M177" s="996"/>
    </row>
    <row r="178" spans="1:13" x14ac:dyDescent="0.45">
      <c r="A178" s="51"/>
      <c r="B178" s="51"/>
      <c r="C178" s="51"/>
      <c r="D178" s="51"/>
      <c r="E178" s="51"/>
      <c r="F178" s="51"/>
      <c r="G178" s="996"/>
      <c r="H178" s="994"/>
      <c r="I178" s="994"/>
      <c r="J178" s="994"/>
      <c r="K178" s="996"/>
      <c r="L178" s="996"/>
      <c r="M178" s="996"/>
    </row>
    <row r="179" spans="1:13" x14ac:dyDescent="0.45">
      <c r="A179" s="51"/>
      <c r="B179" s="51"/>
      <c r="C179" s="51"/>
      <c r="D179" s="51"/>
      <c r="E179" s="51"/>
      <c r="F179" s="51"/>
      <c r="G179" s="996"/>
      <c r="H179" s="1001"/>
      <c r="I179" s="1001"/>
      <c r="J179" s="1001"/>
      <c r="K179" s="996"/>
      <c r="L179" s="996"/>
      <c r="M179" s="996"/>
    </row>
    <row r="180" spans="1:13" x14ac:dyDescent="0.45">
      <c r="A180" s="51"/>
      <c r="B180" s="51"/>
      <c r="C180" s="51"/>
      <c r="D180" s="51"/>
      <c r="E180" s="51"/>
      <c r="F180" s="51"/>
      <c r="G180" s="995"/>
      <c r="H180" s="996"/>
      <c r="I180" s="996"/>
      <c r="J180" s="996"/>
      <c r="K180" s="996"/>
      <c r="L180" s="996"/>
      <c r="M180" s="996"/>
    </row>
    <row r="181" spans="1:13" x14ac:dyDescent="0.45">
      <c r="A181" s="51"/>
      <c r="B181" s="51"/>
      <c r="C181" s="51"/>
      <c r="D181" s="51"/>
      <c r="E181" s="51"/>
      <c r="F181" s="51"/>
      <c r="G181" s="995"/>
      <c r="H181" s="996"/>
      <c r="I181" s="996"/>
      <c r="J181" s="996"/>
      <c r="K181" s="996"/>
      <c r="L181" s="996"/>
      <c r="M181" s="996"/>
    </row>
    <row r="182" spans="1:13" x14ac:dyDescent="0.45">
      <c r="A182" s="51"/>
      <c r="B182" s="51"/>
      <c r="C182" s="51"/>
      <c r="D182" s="115"/>
      <c r="E182" s="115"/>
      <c r="F182" s="115"/>
      <c r="G182" s="995"/>
      <c r="H182" s="996"/>
      <c r="I182" s="996"/>
      <c r="J182" s="996"/>
      <c r="K182" s="996"/>
      <c r="L182" s="996"/>
      <c r="M182" s="996"/>
    </row>
    <row r="183" spans="1:13" x14ac:dyDescent="0.45">
      <c r="A183" s="51"/>
      <c r="B183" s="51"/>
      <c r="C183" s="51"/>
      <c r="D183" s="115"/>
      <c r="E183" s="115"/>
      <c r="F183" s="115"/>
      <c r="G183" s="995"/>
      <c r="H183" s="999"/>
      <c r="I183" s="996"/>
      <c r="J183" s="995"/>
      <c r="K183" s="996"/>
      <c r="L183" s="996"/>
      <c r="M183" s="996"/>
    </row>
    <row r="184" spans="1:13" x14ac:dyDescent="0.45">
      <c r="G184" s="996"/>
      <c r="H184" s="999"/>
      <c r="I184" s="996"/>
      <c r="J184" s="995"/>
      <c r="K184" s="996"/>
      <c r="L184" s="996"/>
      <c r="M184" s="996"/>
    </row>
    <row r="185" spans="1:13" x14ac:dyDescent="0.45">
      <c r="G185" s="996"/>
      <c r="H185" s="996"/>
      <c r="I185" s="996"/>
      <c r="J185" s="995"/>
      <c r="K185" s="995"/>
      <c r="L185" s="996"/>
      <c r="M185" s="996"/>
    </row>
    <row r="186" spans="1:13" x14ac:dyDescent="0.45">
      <c r="G186" s="996"/>
      <c r="H186" s="996"/>
      <c r="I186" s="996"/>
      <c r="J186" s="995"/>
      <c r="K186" s="995"/>
      <c r="L186" s="996"/>
      <c r="M186" s="996"/>
    </row>
    <row r="187" spans="1:13" x14ac:dyDescent="0.45">
      <c r="G187" s="996"/>
      <c r="H187" s="996"/>
      <c r="I187" s="996"/>
      <c r="J187" s="995"/>
      <c r="K187" s="995"/>
      <c r="L187" s="996"/>
      <c r="M187" s="996"/>
    </row>
    <row r="188" spans="1:13" x14ac:dyDescent="0.45">
      <c r="G188" s="996"/>
      <c r="H188" s="996"/>
      <c r="I188" s="996"/>
      <c r="J188" s="995"/>
      <c r="K188" s="995"/>
      <c r="L188" s="996"/>
      <c r="M188" s="996"/>
    </row>
    <row r="189" spans="1:13" x14ac:dyDescent="0.45">
      <c r="G189" s="996"/>
      <c r="H189" s="996"/>
      <c r="I189" s="996"/>
      <c r="J189" s="996"/>
      <c r="K189" s="995"/>
      <c r="L189" s="996"/>
      <c r="M189" s="996"/>
    </row>
    <row r="190" spans="1:13" x14ac:dyDescent="0.45">
      <c r="G190" s="996"/>
      <c r="H190" s="996"/>
      <c r="I190" s="996"/>
      <c r="J190" s="995"/>
      <c r="K190" s="995"/>
      <c r="L190" s="996"/>
      <c r="M190" s="996"/>
    </row>
    <row r="191" spans="1:13" x14ac:dyDescent="0.45">
      <c r="G191" s="996"/>
      <c r="H191" s="996"/>
      <c r="I191" s="996"/>
      <c r="J191" s="995"/>
      <c r="K191" s="995"/>
      <c r="L191" s="996"/>
      <c r="M191" s="996"/>
    </row>
    <row r="192" spans="1:13" x14ac:dyDescent="0.45">
      <c r="G192" s="996"/>
      <c r="H192" s="996"/>
      <c r="I192" s="996"/>
      <c r="J192" s="995"/>
      <c r="K192" s="995"/>
      <c r="L192" s="996"/>
      <c r="M192" s="996"/>
    </row>
    <row r="193" spans="7:13" x14ac:dyDescent="0.45">
      <c r="G193" s="996"/>
      <c r="H193" s="996"/>
      <c r="I193" s="996"/>
      <c r="J193" s="996"/>
      <c r="K193" s="996"/>
      <c r="L193" s="996"/>
      <c r="M193" s="996"/>
    </row>
    <row r="194" spans="7:13" x14ac:dyDescent="0.45">
      <c r="G194" s="996"/>
      <c r="H194" s="996"/>
      <c r="I194" s="996"/>
      <c r="J194" s="996"/>
      <c r="K194" s="996"/>
      <c r="L194" s="996"/>
      <c r="M194" s="996"/>
    </row>
    <row r="195" spans="7:13" x14ac:dyDescent="0.45">
      <c r="G195" s="996"/>
      <c r="H195" s="996"/>
      <c r="I195" s="996"/>
      <c r="J195" s="996"/>
      <c r="K195" s="996"/>
      <c r="L195" s="996"/>
      <c r="M195" s="996"/>
    </row>
    <row r="196" spans="7:13" x14ac:dyDescent="0.45">
      <c r="G196" s="996"/>
      <c r="H196" s="461"/>
      <c r="I196" s="996"/>
      <c r="J196" s="996"/>
      <c r="K196" s="996"/>
      <c r="L196" s="996"/>
      <c r="M196" s="996"/>
    </row>
    <row r="197" spans="7:13" x14ac:dyDescent="0.45">
      <c r="G197" s="996"/>
      <c r="H197" s="996"/>
      <c r="I197" s="996"/>
      <c r="J197" s="995"/>
      <c r="K197" s="995"/>
      <c r="L197" s="996"/>
      <c r="M197" s="996"/>
    </row>
    <row r="198" spans="7:13" x14ac:dyDescent="0.45">
      <c r="G198" s="996"/>
      <c r="H198" s="996"/>
      <c r="I198" s="996"/>
      <c r="J198" s="995"/>
      <c r="K198" s="995"/>
      <c r="L198" s="996"/>
      <c r="M198" s="996"/>
    </row>
    <row r="199" spans="7:13" x14ac:dyDescent="0.45">
      <c r="G199" s="996"/>
      <c r="H199" s="996"/>
      <c r="I199" s="996"/>
      <c r="J199" s="995"/>
      <c r="K199" s="995"/>
      <c r="L199" s="996"/>
      <c r="M199" s="996"/>
    </row>
    <row r="200" spans="7:13" x14ac:dyDescent="0.45">
      <c r="G200" s="996"/>
      <c r="H200" s="996"/>
      <c r="I200" s="996"/>
      <c r="J200" s="996"/>
      <c r="K200" s="996"/>
      <c r="L200" s="996"/>
      <c r="M200" s="996"/>
    </row>
    <row r="201" spans="7:13" x14ac:dyDescent="0.45">
      <c r="G201" s="996"/>
      <c r="H201" s="996"/>
      <c r="I201" s="996"/>
      <c r="J201" s="995"/>
      <c r="K201" s="995"/>
      <c r="L201" s="996"/>
      <c r="M201" s="996"/>
    </row>
    <row r="202" spans="7:13" x14ac:dyDescent="0.45">
      <c r="G202" s="996"/>
      <c r="H202" s="996"/>
      <c r="I202" s="996"/>
      <c r="J202" s="995"/>
      <c r="K202" s="995"/>
      <c r="L202" s="996"/>
      <c r="M202" s="996"/>
    </row>
    <row r="203" spans="7:13" x14ac:dyDescent="0.45">
      <c r="G203" s="996"/>
      <c r="H203" s="996"/>
      <c r="I203" s="996"/>
      <c r="J203" s="1002"/>
      <c r="K203" s="995"/>
      <c r="L203" s="996"/>
      <c r="M203" s="996"/>
    </row>
    <row r="204" spans="7:13" x14ac:dyDescent="0.45">
      <c r="G204" s="996"/>
      <c r="H204" s="996"/>
      <c r="I204" s="996"/>
      <c r="J204" s="996"/>
      <c r="K204" s="996"/>
      <c r="L204" s="996"/>
      <c r="M204" s="996"/>
    </row>
    <row r="205" spans="7:13" x14ac:dyDescent="0.45">
      <c r="G205" s="996"/>
      <c r="H205" s="996"/>
      <c r="I205" s="996"/>
      <c r="J205" s="996"/>
      <c r="K205" s="996"/>
      <c r="L205" s="996"/>
      <c r="M205" s="996"/>
    </row>
  </sheetData>
  <sortState ref="B9:E10">
    <sortCondition descending="1" ref="B9:B10"/>
  </sortState>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83"/>
  <sheetViews>
    <sheetView tabSelected="1" zoomScale="70" zoomScaleNormal="70" workbookViewId="0">
      <selection activeCell="B198" sqref="B198"/>
    </sheetView>
  </sheetViews>
  <sheetFormatPr defaultColWidth="8.86328125" defaultRowHeight="14.25" x14ac:dyDescent="0.45"/>
  <cols>
    <col min="1" max="1" width="8.86328125" style="211"/>
    <col min="2" max="2" width="30.6640625" style="210" customWidth="1"/>
    <col min="3" max="6" width="19" style="210" customWidth="1"/>
    <col min="7" max="7" width="24.796875" style="210" customWidth="1"/>
    <col min="8" max="20" width="19" style="210" customWidth="1"/>
    <col min="21" max="21" width="26.33203125" style="210" customWidth="1"/>
    <col min="22" max="24" width="19" style="210" customWidth="1"/>
    <col min="25" max="25" width="21.19921875" style="210" customWidth="1"/>
    <col min="26" max="26" width="19.19921875" style="210" customWidth="1"/>
    <col min="27" max="27" width="17.33203125" style="210" customWidth="1"/>
    <col min="28" max="28" width="16.46484375" style="210" customWidth="1"/>
    <col min="29" max="29" width="13.1328125" style="210" customWidth="1"/>
    <col min="30" max="30" width="15.53125" style="210" customWidth="1"/>
    <col min="31" max="31" width="15.86328125" style="210" customWidth="1"/>
    <col min="32" max="32" width="12.33203125" style="210" bestFit="1" customWidth="1"/>
    <col min="33" max="33" width="8.86328125" style="210"/>
    <col min="34" max="34" width="11.19921875" style="210" bestFit="1" customWidth="1"/>
    <col min="35" max="35" width="12.19921875" style="210" customWidth="1"/>
    <col min="36" max="36" width="11.19921875" style="210" bestFit="1" customWidth="1"/>
    <col min="37" max="37" width="12.19921875" style="210" customWidth="1"/>
    <col min="38" max="38" width="12" style="210" bestFit="1" customWidth="1"/>
    <col min="39" max="16384" width="8.86328125" style="210"/>
  </cols>
  <sheetData>
    <row r="1" spans="1:29" ht="30.75" x14ac:dyDescent="0.9">
      <c r="A1" s="637" t="s">
        <v>392</v>
      </c>
    </row>
    <row r="2" spans="1:29" x14ac:dyDescent="0.45">
      <c r="A2" s="362" t="str">
        <f>Cover!A2</f>
        <v>Jan 2013</v>
      </c>
    </row>
    <row r="3" spans="1:29" x14ac:dyDescent="0.45">
      <c r="A3" s="123" t="s">
        <v>36</v>
      </c>
    </row>
    <row r="4" spans="1:29" s="95" customFormat="1" ht="13.8" customHeight="1" x14ac:dyDescent="0.45">
      <c r="A4" s="210" t="s">
        <v>137</v>
      </c>
    </row>
    <row r="5" spans="1:29" x14ac:dyDescent="0.45">
      <c r="A5" s="210"/>
      <c r="AA5" s="209"/>
      <c r="AB5" s="209"/>
      <c r="AC5" s="209"/>
    </row>
    <row r="6" spans="1:29" ht="28.9" thickBot="1" x14ac:dyDescent="0.9">
      <c r="A6" s="227"/>
      <c r="B6" s="562" t="s">
        <v>395</v>
      </c>
      <c r="R6" s="212"/>
      <c r="AA6" s="209"/>
      <c r="AB6" s="190"/>
      <c r="AC6" s="209"/>
    </row>
    <row r="7" spans="1:29" ht="14.65" thickBot="1" x14ac:dyDescent="0.5">
      <c r="A7" s="227"/>
      <c r="B7" s="130" t="s">
        <v>37</v>
      </c>
      <c r="C7" s="137" t="s">
        <v>34</v>
      </c>
      <c r="D7" s="138" t="s">
        <v>38</v>
      </c>
      <c r="F7" s="540"/>
      <c r="H7" s="212"/>
      <c r="T7" s="209"/>
      <c r="U7" s="209"/>
      <c r="V7" s="209"/>
      <c r="AA7" s="209"/>
      <c r="AB7" s="190"/>
      <c r="AC7" s="209"/>
    </row>
    <row r="8" spans="1:29" x14ac:dyDescent="0.45">
      <c r="A8" s="227"/>
      <c r="B8" s="125" t="s">
        <v>33</v>
      </c>
      <c r="C8" s="134">
        <v>14.8</v>
      </c>
      <c r="D8" s="139" t="s">
        <v>0</v>
      </c>
      <c r="F8" s="540"/>
      <c r="H8" s="212"/>
      <c r="W8" s="209"/>
      <c r="X8" s="209"/>
      <c r="AA8" s="209"/>
      <c r="AB8" s="190"/>
      <c r="AC8" s="209"/>
    </row>
    <row r="9" spans="1:29" x14ac:dyDescent="0.45">
      <c r="A9" s="232"/>
      <c r="B9" s="127" t="s">
        <v>11</v>
      </c>
      <c r="C9" s="211">
        <f>180*1</f>
        <v>180</v>
      </c>
      <c r="D9" s="572" t="s">
        <v>328</v>
      </c>
      <c r="F9" s="540"/>
      <c r="H9" s="212"/>
      <c r="T9" s="209"/>
      <c r="U9" s="209"/>
      <c r="V9" s="209"/>
      <c r="W9" s="209"/>
      <c r="X9" s="209"/>
      <c r="AA9" s="209"/>
      <c r="AB9" s="190"/>
      <c r="AC9" s="209"/>
    </row>
    <row r="10" spans="1:29" x14ac:dyDescent="0.45">
      <c r="A10" s="232"/>
      <c r="B10" s="238" t="s">
        <v>183</v>
      </c>
      <c r="C10" s="211">
        <v>0.45</v>
      </c>
      <c r="D10" s="140" t="s">
        <v>22</v>
      </c>
      <c r="E10" s="550"/>
      <c r="F10" s="223"/>
      <c r="H10" s="212"/>
      <c r="T10" s="209"/>
      <c r="U10" s="209"/>
      <c r="V10" s="209"/>
      <c r="W10" s="209"/>
      <c r="X10" s="190"/>
      <c r="Y10" s="209"/>
    </row>
    <row r="11" spans="1:29" x14ac:dyDescent="0.45">
      <c r="A11" s="232"/>
      <c r="B11" s="127" t="s">
        <v>109</v>
      </c>
      <c r="C11" s="211">
        <v>30</v>
      </c>
      <c r="D11" s="140" t="s">
        <v>12</v>
      </c>
      <c r="H11" s="212"/>
      <c r="T11" s="164"/>
      <c r="U11" s="164"/>
      <c r="V11" s="209"/>
      <c r="W11" s="209"/>
      <c r="X11" s="190"/>
      <c r="Y11" s="209"/>
    </row>
    <row r="12" spans="1:29" x14ac:dyDescent="0.45">
      <c r="A12" s="232"/>
      <c r="B12" s="464" t="s">
        <v>196</v>
      </c>
      <c r="C12" s="519">
        <v>14.5</v>
      </c>
      <c r="D12" s="140" t="s">
        <v>17</v>
      </c>
      <c r="F12" s="540"/>
      <c r="G12" s="540"/>
      <c r="H12" s="212"/>
      <c r="T12" s="209"/>
      <c r="U12" s="209"/>
      <c r="V12" s="209"/>
      <c r="W12" s="209"/>
      <c r="X12" s="190"/>
      <c r="Y12" s="209"/>
    </row>
    <row r="13" spans="1:29" x14ac:dyDescent="0.45">
      <c r="A13" s="227"/>
      <c r="B13" s="463" t="s">
        <v>197</v>
      </c>
      <c r="C13" s="519">
        <v>20.61</v>
      </c>
      <c r="D13" s="478" t="s">
        <v>17</v>
      </c>
      <c r="F13" s="540"/>
      <c r="G13" s="543"/>
      <c r="H13" s="543"/>
      <c r="T13" s="209"/>
      <c r="U13" s="209"/>
      <c r="V13" s="209"/>
      <c r="W13" s="209"/>
      <c r="X13" s="190"/>
      <c r="Y13" s="209"/>
      <c r="Z13" s="209"/>
    </row>
    <row r="14" spans="1:29" x14ac:dyDescent="0.45">
      <c r="A14" s="227"/>
      <c r="B14" s="463" t="s">
        <v>198</v>
      </c>
      <c r="C14" s="519">
        <v>27.27</v>
      </c>
      <c r="D14" s="478" t="s">
        <v>17</v>
      </c>
      <c r="E14" s="117"/>
      <c r="F14" s="458"/>
      <c r="G14" s="543"/>
      <c r="H14" s="543"/>
      <c r="T14" s="209"/>
      <c r="U14" s="209"/>
      <c r="V14" s="164"/>
      <c r="W14" s="209"/>
      <c r="X14" s="190"/>
      <c r="Y14" s="209"/>
      <c r="Z14" s="209"/>
    </row>
    <row r="15" spans="1:29" x14ac:dyDescent="0.45">
      <c r="A15" s="227"/>
      <c r="B15" s="463" t="s">
        <v>199</v>
      </c>
      <c r="C15" s="482">
        <v>1.325</v>
      </c>
      <c r="D15" s="480" t="s">
        <v>22</v>
      </c>
      <c r="G15" s="552"/>
      <c r="H15" s="543"/>
      <c r="L15" s="119"/>
      <c r="N15" s="117"/>
      <c r="T15" s="209"/>
      <c r="U15" s="209"/>
      <c r="V15" s="209"/>
      <c r="W15" s="209"/>
      <c r="X15" s="190"/>
      <c r="Y15" s="209"/>
      <c r="Z15" s="209"/>
    </row>
    <row r="16" spans="1:29" x14ac:dyDescent="0.45">
      <c r="A16" s="227"/>
      <c r="B16" s="127" t="s">
        <v>19</v>
      </c>
      <c r="C16" s="483">
        <v>6.8900000000000003E-2</v>
      </c>
      <c r="D16" s="251" t="s">
        <v>139</v>
      </c>
      <c r="G16" s="520"/>
      <c r="H16" s="212"/>
      <c r="L16" s="119"/>
      <c r="T16" s="209"/>
      <c r="U16" s="209"/>
      <c r="V16" s="209"/>
      <c r="W16" s="209"/>
      <c r="X16" s="190"/>
      <c r="Y16" s="209"/>
      <c r="Z16" s="209"/>
    </row>
    <row r="17" spans="1:26" x14ac:dyDescent="0.45">
      <c r="A17" s="227"/>
      <c r="B17" s="443" t="s">
        <v>43</v>
      </c>
      <c r="C17" s="445">
        <v>0</v>
      </c>
      <c r="D17" s="444" t="s">
        <v>44</v>
      </c>
      <c r="E17" s="117"/>
      <c r="F17" s="631"/>
      <c r="G17" s="473"/>
      <c r="H17" s="212"/>
      <c r="T17" s="209"/>
      <c r="U17" s="209"/>
      <c r="V17" s="209"/>
      <c r="W17" s="209"/>
      <c r="X17" s="190"/>
      <c r="Y17" s="209"/>
      <c r="Z17" s="209"/>
    </row>
    <row r="18" spans="1:26" ht="14.65" thickBot="1" x14ac:dyDescent="0.5">
      <c r="A18" s="227"/>
      <c r="B18" s="447" t="s">
        <v>185</v>
      </c>
      <c r="C18" s="451">
        <f>96</f>
        <v>96</v>
      </c>
      <c r="D18" s="450" t="s">
        <v>0</v>
      </c>
      <c r="G18" s="631"/>
      <c r="H18" s="212"/>
      <c r="R18" s="160"/>
      <c r="T18" s="209"/>
      <c r="U18" s="209"/>
      <c r="V18" s="209"/>
      <c r="W18" s="209"/>
      <c r="X18" s="190"/>
      <c r="Y18" s="209"/>
      <c r="Z18" s="209"/>
    </row>
    <row r="19" spans="1:26" s="160" customFormat="1" x14ac:dyDescent="0.45">
      <c r="A19" s="227"/>
      <c r="B19" s="210"/>
      <c r="C19" s="210"/>
      <c r="D19" s="210"/>
      <c r="E19" s="189"/>
      <c r="F19" s="210"/>
      <c r="G19" s="276"/>
      <c r="H19" s="212"/>
      <c r="R19" s="210"/>
      <c r="S19" s="210"/>
      <c r="T19" s="209"/>
      <c r="U19" s="209"/>
      <c r="V19" s="209"/>
      <c r="W19" s="209"/>
      <c r="X19" s="191"/>
      <c r="Y19" s="164"/>
      <c r="Z19" s="164"/>
    </row>
    <row r="20" spans="1:26" ht="28.9" thickBot="1" x14ac:dyDescent="0.9">
      <c r="A20" s="227"/>
      <c r="B20" s="562" t="s">
        <v>165</v>
      </c>
      <c r="E20" s="117"/>
      <c r="G20" s="473"/>
      <c r="H20" s="212"/>
      <c r="W20" s="209"/>
      <c r="X20" s="190"/>
      <c r="Y20" s="209"/>
      <c r="Z20" s="209"/>
    </row>
    <row r="21" spans="1:26" s="540" customFormat="1" x14ac:dyDescent="0.45">
      <c r="A21" s="545"/>
      <c r="B21" s="743" t="s">
        <v>237</v>
      </c>
      <c r="C21" s="897">
        <f>G49</f>
        <v>0.92029797569068639</v>
      </c>
      <c r="D21" s="571" t="s">
        <v>138</v>
      </c>
      <c r="E21" s="541"/>
      <c r="G21" s="631"/>
      <c r="H21" s="991"/>
      <c r="W21" s="631"/>
      <c r="X21" s="740"/>
      <c r="Y21" s="631"/>
      <c r="Z21" s="631"/>
    </row>
    <row r="22" spans="1:26" ht="15.75" x14ac:dyDescent="0.45">
      <c r="A22" s="227"/>
      <c r="B22" s="555" t="s">
        <v>237</v>
      </c>
      <c r="C22" s="898">
        <f>F49</f>
        <v>136.20410040222157</v>
      </c>
      <c r="D22" s="480" t="s">
        <v>334</v>
      </c>
      <c r="H22" s="212"/>
      <c r="N22" s="212"/>
      <c r="S22" s="120"/>
      <c r="T22" s="209"/>
      <c r="W22" s="209"/>
      <c r="X22" s="190"/>
      <c r="Y22" s="209"/>
      <c r="Z22" s="209"/>
    </row>
    <row r="23" spans="1:26" s="540" customFormat="1" x14ac:dyDescent="0.45">
      <c r="A23" s="545"/>
      <c r="B23" s="555" t="s">
        <v>127</v>
      </c>
      <c r="C23" s="899">
        <f>IF(AND(X325&lt;0.1,X325&gt;-0.1),C206,0)</f>
        <v>1.1075021004859051</v>
      </c>
      <c r="D23" s="572" t="s">
        <v>138</v>
      </c>
      <c r="H23" s="991"/>
      <c r="N23" s="543"/>
      <c r="S23" s="547"/>
      <c r="T23" s="631"/>
      <c r="W23" s="631"/>
      <c r="X23" s="740"/>
      <c r="Y23" s="631"/>
      <c r="Z23" s="631"/>
    </row>
    <row r="24" spans="1:26" ht="15.75" x14ac:dyDescent="0.45">
      <c r="A24" s="442"/>
      <c r="B24" s="555" t="s">
        <v>127</v>
      </c>
      <c r="C24" s="898">
        <f>C23*$C$58/$C$57</f>
        <v>163.91031087191396</v>
      </c>
      <c r="D24" s="572" t="s">
        <v>334</v>
      </c>
      <c r="F24" s="760"/>
      <c r="G24" s="543"/>
      <c r="N24" s="212"/>
      <c r="W24" s="209"/>
      <c r="Y24" s="209"/>
      <c r="Z24" s="209"/>
    </row>
    <row r="25" spans="1:26" ht="14.65" thickBot="1" x14ac:dyDescent="0.5">
      <c r="A25" s="227"/>
      <c r="B25" s="558" t="s">
        <v>50</v>
      </c>
      <c r="C25" s="900">
        <f>C62*1000*C55/C58*(1/(C151))</f>
        <v>5.9223202080344937</v>
      </c>
      <c r="D25" s="638" t="s">
        <v>49</v>
      </c>
      <c r="H25" s="991"/>
      <c r="S25" s="124"/>
      <c r="W25" s="209"/>
      <c r="Y25" s="209"/>
      <c r="Z25" s="209"/>
    </row>
    <row r="26" spans="1:26" x14ac:dyDescent="0.45">
      <c r="A26" s="227"/>
      <c r="T26" s="209"/>
      <c r="U26" s="209"/>
      <c r="V26" s="209"/>
      <c r="W26" s="209"/>
      <c r="X26" s="209"/>
      <c r="Y26" s="209"/>
      <c r="Z26" s="209"/>
    </row>
    <row r="27" spans="1:26" ht="14.65" thickBot="1" x14ac:dyDescent="0.5">
      <c r="A27" s="227"/>
      <c r="R27" s="121"/>
      <c r="T27" s="209"/>
      <c r="U27" s="209"/>
      <c r="V27" s="209"/>
      <c r="W27" s="209"/>
      <c r="X27" s="209"/>
      <c r="Y27" s="209"/>
    </row>
    <row r="28" spans="1:26" ht="28.9" thickBot="1" x14ac:dyDescent="0.9">
      <c r="A28" s="227"/>
      <c r="B28" s="132" t="s">
        <v>149</v>
      </c>
      <c r="H28" s="540"/>
      <c r="I28" s="1068" t="s">
        <v>173</v>
      </c>
      <c r="J28" s="1069"/>
      <c r="K28" s="1070"/>
      <c r="L28" s="1068" t="s">
        <v>282</v>
      </c>
      <c r="M28" s="1069"/>
      <c r="N28" s="1070"/>
      <c r="T28" s="209"/>
    </row>
    <row r="29" spans="1:26" ht="16.149999999999999" thickBot="1" x14ac:dyDescent="0.5">
      <c r="A29" s="227"/>
      <c r="B29" s="135" t="s">
        <v>37</v>
      </c>
      <c r="C29" s="133" t="s">
        <v>5</v>
      </c>
      <c r="D29" s="245" t="s">
        <v>172</v>
      </c>
      <c r="E29" s="564" t="s">
        <v>278</v>
      </c>
      <c r="F29" s="881" t="s">
        <v>329</v>
      </c>
      <c r="G29" s="275" t="s">
        <v>171</v>
      </c>
      <c r="H29" s="563" t="s">
        <v>42</v>
      </c>
      <c r="I29" s="839" t="s">
        <v>30</v>
      </c>
      <c r="J29" s="692" t="s">
        <v>52</v>
      </c>
      <c r="K29" s="692" t="s">
        <v>32</v>
      </c>
      <c r="L29" s="839" t="s">
        <v>30</v>
      </c>
      <c r="M29" s="692" t="s">
        <v>52</v>
      </c>
      <c r="N29" s="693" t="s">
        <v>32</v>
      </c>
      <c r="T29" s="209"/>
    </row>
    <row r="30" spans="1:26" x14ac:dyDescent="0.45">
      <c r="A30" s="227"/>
      <c r="B30" s="781" t="s">
        <v>24</v>
      </c>
      <c r="C30" s="201">
        <f>C65</f>
        <v>0.71900853432282008</v>
      </c>
      <c r="D30" s="142"/>
      <c r="E30" s="625">
        <v>1</v>
      </c>
      <c r="F30" s="883">
        <f>G30*$C$58/$C$57</f>
        <v>26.295101723673156</v>
      </c>
      <c r="G30" s="180">
        <f>(C30*$C$55/$C$58+D30)*E30</f>
        <v>0.17766960624103481</v>
      </c>
      <c r="H30" s="721">
        <f t="shared" ref="H30:H48" si="0">G30/$G$49</f>
        <v>0.19305660876597414</v>
      </c>
      <c r="I30" s="840">
        <f>G30</f>
        <v>0.17766960624103481</v>
      </c>
      <c r="J30" s="575"/>
      <c r="K30" s="575"/>
      <c r="L30" s="859"/>
      <c r="M30" s="698"/>
      <c r="N30" s="699"/>
      <c r="T30" s="209"/>
    </row>
    <row r="31" spans="1:26" x14ac:dyDescent="0.45">
      <c r="A31" s="227"/>
      <c r="B31" s="786" t="s">
        <v>89</v>
      </c>
      <c r="C31" s="149"/>
      <c r="D31" s="178" t="s">
        <v>57</v>
      </c>
      <c r="E31" s="695" t="s">
        <v>57</v>
      </c>
      <c r="F31" s="884">
        <f t="shared" ref="F31:F48" si="1">G31*$C$58/$C$57</f>
        <v>15.41246088057823</v>
      </c>
      <c r="G31" s="181">
        <f>SUM(I31:K31)</f>
        <v>0.10413824919309614</v>
      </c>
      <c r="H31" s="664">
        <f t="shared" si="0"/>
        <v>0.11315709905255422</v>
      </c>
      <c r="I31" s="841">
        <f>(F82+F83)</f>
        <v>4.5910919297398892E-2</v>
      </c>
      <c r="J31" s="590">
        <f>(F84)</f>
        <v>4.1171405607630107E-2</v>
      </c>
      <c r="K31" s="590">
        <f>(F85)</f>
        <v>1.7055924288067147E-2</v>
      </c>
      <c r="L31" s="860"/>
      <c r="M31" s="695"/>
      <c r="N31" s="696"/>
      <c r="T31" s="209"/>
    </row>
    <row r="32" spans="1:26" x14ac:dyDescent="0.45">
      <c r="A32" s="227"/>
      <c r="B32" s="798" t="s">
        <v>61</v>
      </c>
      <c r="C32" s="179"/>
      <c r="D32" s="178" t="s">
        <v>57</v>
      </c>
      <c r="E32" s="711">
        <v>1</v>
      </c>
      <c r="F32" s="885">
        <f t="shared" si="1"/>
        <v>6.0641799344835086</v>
      </c>
      <c r="G32" s="182">
        <f>SUM(I32:K32)</f>
        <v>4.0974188746510189E-2</v>
      </c>
      <c r="H32" s="722">
        <f t="shared" si="0"/>
        <v>4.4522741360763007E-2</v>
      </c>
      <c r="I32" s="842">
        <f>(D92+D93+L32)*E32</f>
        <v>1.9455549165370602E-2</v>
      </c>
      <c r="J32" s="709">
        <f>(D94+M32)*E32</f>
        <v>1.5066066454459315E-2</v>
      </c>
      <c r="K32" s="709">
        <f>(D95+N32)*E32</f>
        <v>6.4525731266802718E-3</v>
      </c>
      <c r="L32" s="861"/>
      <c r="M32" s="710"/>
      <c r="N32" s="712"/>
      <c r="T32" s="209"/>
      <c r="U32" s="209"/>
    </row>
    <row r="33" spans="1:34" x14ac:dyDescent="0.45">
      <c r="A33" s="227"/>
      <c r="B33" s="785" t="s">
        <v>25</v>
      </c>
      <c r="C33" s="148"/>
      <c r="D33" s="178" t="s">
        <v>57</v>
      </c>
      <c r="E33" s="626">
        <v>1</v>
      </c>
      <c r="F33" s="886">
        <f t="shared" si="1"/>
        <v>16.998057261356369</v>
      </c>
      <c r="G33" s="183">
        <f>(SUM(I33:K33))</f>
        <v>0.11485173825240791</v>
      </c>
      <c r="H33" s="668">
        <f t="shared" si="0"/>
        <v>0.12479842538631179</v>
      </c>
      <c r="I33" s="843">
        <f>(G100+G101+L33)*E33</f>
        <v>6.6257129110477334E-2</v>
      </c>
      <c r="J33" s="587">
        <f>(G102+M33)*E33</f>
        <v>2.4763104137434495E-2</v>
      </c>
      <c r="K33" s="587">
        <f>(G103+N33)*E33</f>
        <v>2.3831505004496076E-2</v>
      </c>
      <c r="L33" s="843"/>
      <c r="M33" s="587"/>
      <c r="N33" s="690"/>
      <c r="T33" s="209"/>
      <c r="U33" s="209"/>
    </row>
    <row r="34" spans="1:34" x14ac:dyDescent="0.45">
      <c r="A34" s="227"/>
      <c r="B34" s="782" t="s">
        <v>20</v>
      </c>
      <c r="C34" s="147"/>
      <c r="D34" s="178" t="s">
        <v>57</v>
      </c>
      <c r="E34" s="627">
        <v>1</v>
      </c>
      <c r="F34" s="887">
        <f t="shared" si="1"/>
        <v>7.3917273476756744</v>
      </c>
      <c r="G34" s="184">
        <f>(SUM(I34:K34))</f>
        <v>4.9944103700511312E-2</v>
      </c>
      <c r="H34" s="667">
        <f t="shared" si="0"/>
        <v>5.4269492077311278E-2</v>
      </c>
      <c r="I34" s="844">
        <f>(E141+E142+L34)*E34</f>
        <v>2.4558660743639785E-2</v>
      </c>
      <c r="J34" s="577">
        <f>(E143+M34)*E34</f>
        <v>2.2187790759219332E-2</v>
      </c>
      <c r="K34" s="577">
        <f>(E144+N34)*E34</f>
        <v>3.1976521976521976E-3</v>
      </c>
      <c r="L34" s="844"/>
      <c r="M34" s="577"/>
      <c r="N34" s="685"/>
      <c r="T34" s="209"/>
      <c r="U34" s="209"/>
      <c r="V34" s="209"/>
      <c r="W34" s="209"/>
      <c r="X34" s="209"/>
    </row>
    <row r="35" spans="1:34" x14ac:dyDescent="0.45">
      <c r="A35" s="227"/>
      <c r="B35" s="800" t="s">
        <v>29</v>
      </c>
      <c r="C35" s="193">
        <f>C169</f>
        <v>0.32725211296639872</v>
      </c>
      <c r="D35" s="194"/>
      <c r="E35" s="752">
        <v>1</v>
      </c>
      <c r="F35" s="888">
        <f t="shared" si="1"/>
        <v>11.968046537643609</v>
      </c>
      <c r="G35" s="195">
        <f>(C35*$C$55/$C$58+D35)*E35</f>
        <v>8.0865179308402757E-2</v>
      </c>
      <c r="H35" s="754">
        <f t="shared" si="0"/>
        <v>8.78684746076E-2</v>
      </c>
      <c r="I35" s="845"/>
      <c r="J35" s="755">
        <f>G35</f>
        <v>8.0865179308402757E-2</v>
      </c>
      <c r="K35" s="755"/>
      <c r="L35" s="860"/>
      <c r="M35" s="694"/>
      <c r="N35" s="696"/>
      <c r="T35" s="209"/>
      <c r="U35" s="209"/>
      <c r="V35" s="209"/>
      <c r="W35" s="209"/>
      <c r="X35" s="209"/>
    </row>
    <row r="36" spans="1:34" x14ac:dyDescent="0.45">
      <c r="A36" s="227"/>
      <c r="B36" s="797" t="s">
        <v>207</v>
      </c>
      <c r="C36" s="173"/>
      <c r="D36" s="176"/>
      <c r="E36" s="701">
        <v>1</v>
      </c>
      <c r="F36" s="889">
        <f t="shared" si="1"/>
        <v>2.0755732240334108</v>
      </c>
      <c r="G36" s="186">
        <f>(C111+D36)*E36</f>
        <v>1.4024143405631155E-2</v>
      </c>
      <c r="H36" s="671">
        <f t="shared" si="0"/>
        <v>1.5238698525992076E-2</v>
      </c>
      <c r="I36" s="846">
        <f>G36</f>
        <v>1.4024143405631155E-2</v>
      </c>
      <c r="J36" s="702"/>
      <c r="K36" s="702"/>
      <c r="L36" s="860"/>
      <c r="M36" s="695"/>
      <c r="N36" s="696"/>
      <c r="T36" s="209"/>
      <c r="U36" s="209"/>
      <c r="V36" s="209"/>
      <c r="W36" s="209"/>
      <c r="X36" s="209"/>
    </row>
    <row r="37" spans="1:34" x14ac:dyDescent="0.45">
      <c r="A37" s="227"/>
      <c r="B37" s="783" t="s">
        <v>208</v>
      </c>
      <c r="C37" s="143">
        <f>C124</f>
        <v>9.118638822543508E-2</v>
      </c>
      <c r="D37" s="144"/>
      <c r="E37" s="629">
        <v>1</v>
      </c>
      <c r="F37" s="890">
        <f t="shared" si="1"/>
        <v>3.3348079191583344</v>
      </c>
      <c r="G37" s="292">
        <f>(C37*$C$55/$C$58+D37)*E37</f>
        <v>2.2532485940259014E-2</v>
      </c>
      <c r="H37" s="723">
        <f t="shared" si="0"/>
        <v>2.4483902535315603E-2</v>
      </c>
      <c r="I37" s="847">
        <f>G37</f>
        <v>2.2532485940259014E-2</v>
      </c>
      <c r="J37" s="581"/>
      <c r="K37" s="581"/>
      <c r="L37" s="862"/>
      <c r="M37" s="695"/>
      <c r="N37" s="696"/>
      <c r="T37" s="209"/>
      <c r="U37" s="209"/>
      <c r="V37" s="209"/>
      <c r="W37" s="209"/>
      <c r="X37" s="209"/>
    </row>
    <row r="38" spans="1:34" s="458" customFormat="1" x14ac:dyDescent="0.45">
      <c r="A38" s="459"/>
      <c r="B38" s="675" t="s">
        <v>209</v>
      </c>
      <c r="C38" s="64">
        <f>C132</f>
        <v>0.13034584463155893</v>
      </c>
      <c r="D38" s="514"/>
      <c r="E38" s="515">
        <v>1</v>
      </c>
      <c r="F38" s="891">
        <f t="shared" si="1"/>
        <v>4.7669215040305488</v>
      </c>
      <c r="G38" s="516">
        <f>(C38*$C$55/$C$58+D38)*E38</f>
        <v>3.2208929081287488E-2</v>
      </c>
      <c r="H38" s="762">
        <f t="shared" si="0"/>
        <v>3.4998370019356601E-2</v>
      </c>
      <c r="I38" s="848">
        <f>G38</f>
        <v>3.2208929081287488E-2</v>
      </c>
      <c r="J38" s="517"/>
      <c r="K38" s="517"/>
      <c r="L38" s="862"/>
      <c r="M38" s="695"/>
      <c r="N38" s="696"/>
      <c r="T38" s="473"/>
      <c r="U38" s="473"/>
      <c r="V38" s="473"/>
      <c r="W38" s="473"/>
      <c r="X38" s="473"/>
    </row>
    <row r="39" spans="1:34" x14ac:dyDescent="0.45">
      <c r="A39" s="227"/>
      <c r="B39" s="615" t="s">
        <v>10</v>
      </c>
      <c r="C39" s="152"/>
      <c r="D39" s="153"/>
      <c r="E39" s="628">
        <v>1</v>
      </c>
      <c r="F39" s="892">
        <f t="shared" si="1"/>
        <v>7.3737373737373737</v>
      </c>
      <c r="G39" s="185">
        <f>(F185+D39)*E39</f>
        <v>4.9822549822549821E-2</v>
      </c>
      <c r="H39" s="652">
        <f t="shared" si="0"/>
        <v>5.4137411076187414E-2</v>
      </c>
      <c r="I39" s="849"/>
      <c r="J39" s="619"/>
      <c r="K39" s="619">
        <f>G39</f>
        <v>4.9822549822549821E-2</v>
      </c>
      <c r="L39" s="860"/>
      <c r="M39" s="695"/>
      <c r="N39" s="697"/>
      <c r="T39" s="209"/>
      <c r="U39" s="209"/>
      <c r="V39" s="209"/>
      <c r="W39" s="209"/>
      <c r="X39" s="209"/>
    </row>
    <row r="40" spans="1:34" x14ac:dyDescent="0.45">
      <c r="A40" s="227"/>
      <c r="B40" s="615" t="s">
        <v>7</v>
      </c>
      <c r="C40" s="152"/>
      <c r="D40" s="153"/>
      <c r="E40" s="628">
        <v>1</v>
      </c>
      <c r="F40" s="892">
        <f t="shared" si="1"/>
        <v>8.5297344841504383</v>
      </c>
      <c r="G40" s="185">
        <f>(F181+D40)*E40</f>
        <v>5.7633341109124582E-2</v>
      </c>
      <c r="H40" s="652">
        <f t="shared" si="0"/>
        <v>6.2624652701067374E-2</v>
      </c>
      <c r="I40" s="849"/>
      <c r="J40" s="619"/>
      <c r="K40" s="619">
        <f>G40</f>
        <v>5.7633341109124582E-2</v>
      </c>
      <c r="L40" s="860"/>
      <c r="M40" s="695"/>
      <c r="N40" s="697"/>
      <c r="U40" s="209"/>
      <c r="V40" s="209"/>
      <c r="W40" s="209"/>
      <c r="X40" s="209"/>
      <c r="Y40" s="209"/>
      <c r="Z40" s="209"/>
      <c r="AA40" s="209"/>
      <c r="AB40" s="209"/>
      <c r="AC40" s="209"/>
      <c r="AD40" s="209"/>
      <c r="AE40" s="209"/>
      <c r="AF40" s="209"/>
      <c r="AG40" s="209"/>
      <c r="AH40" s="209"/>
    </row>
    <row r="41" spans="1:34" x14ac:dyDescent="0.45">
      <c r="A41" s="227"/>
      <c r="B41" s="615" t="s">
        <v>6</v>
      </c>
      <c r="C41" s="152"/>
      <c r="D41" s="153"/>
      <c r="E41" s="628">
        <v>1</v>
      </c>
      <c r="F41" s="892">
        <f t="shared" si="1"/>
        <v>5.0505050505050502</v>
      </c>
      <c r="G41" s="185">
        <f>(F184+D41)*E41</f>
        <v>3.412503412503412E-2</v>
      </c>
      <c r="H41" s="652">
        <f t="shared" si="0"/>
        <v>3.7080418545333844E-2</v>
      </c>
      <c r="I41" s="849"/>
      <c r="J41" s="619"/>
      <c r="K41" s="619">
        <f>G41</f>
        <v>3.412503412503412E-2</v>
      </c>
      <c r="L41" s="860"/>
      <c r="M41" s="695"/>
      <c r="N41" s="697"/>
      <c r="U41" s="209"/>
      <c r="V41" s="209"/>
      <c r="W41" s="209"/>
      <c r="X41" s="209"/>
      <c r="Y41" s="209"/>
      <c r="Z41" s="209"/>
      <c r="AA41" s="209"/>
      <c r="AB41" s="209"/>
      <c r="AC41" s="209"/>
      <c r="AD41" s="209"/>
      <c r="AE41" s="209"/>
      <c r="AF41" s="209"/>
      <c r="AG41" s="209"/>
      <c r="AH41" s="209"/>
    </row>
    <row r="42" spans="1:34" x14ac:dyDescent="0.45">
      <c r="A42" s="227"/>
      <c r="B42" s="615" t="s">
        <v>8</v>
      </c>
      <c r="C42" s="152"/>
      <c r="D42" s="153"/>
      <c r="E42" s="628">
        <v>1</v>
      </c>
      <c r="F42" s="892">
        <f t="shared" si="1"/>
        <v>3.6940742068947201</v>
      </c>
      <c r="G42" s="185">
        <f>(F188+D42)*E42</f>
        <v>2.4959960857396754E-2</v>
      </c>
      <c r="H42" s="652">
        <f t="shared" si="0"/>
        <v>2.7121607910377321E-2</v>
      </c>
      <c r="I42" s="849"/>
      <c r="J42" s="619"/>
      <c r="K42" s="619">
        <f>G42</f>
        <v>2.4959960857396754E-2</v>
      </c>
      <c r="L42" s="860"/>
      <c r="M42" s="695"/>
      <c r="N42" s="697"/>
      <c r="O42" s="209"/>
      <c r="U42" s="209"/>
      <c r="V42" s="209"/>
      <c r="W42" s="209"/>
      <c r="X42" s="209"/>
      <c r="Y42" s="209"/>
      <c r="Z42" s="209"/>
      <c r="AA42" s="209"/>
      <c r="AB42" s="209"/>
      <c r="AC42" s="209"/>
      <c r="AD42" s="209"/>
      <c r="AE42" s="209"/>
      <c r="AF42" s="209"/>
      <c r="AG42" s="209"/>
      <c r="AH42" s="209"/>
    </row>
    <row r="43" spans="1:34" x14ac:dyDescent="0.45">
      <c r="A43" s="553"/>
      <c r="B43" s="615" t="s">
        <v>80</v>
      </c>
      <c r="C43" s="152">
        <v>0.1</v>
      </c>
      <c r="D43" s="153"/>
      <c r="E43" s="628">
        <v>1</v>
      </c>
      <c r="F43" s="892">
        <f t="shared" si="1"/>
        <v>3.6571334648257725</v>
      </c>
      <c r="G43" s="185">
        <f>(C43*$C$55/$C$58+D43)*E43</f>
        <v>2.4710361248822785E-2</v>
      </c>
      <c r="H43" s="652">
        <f t="shared" si="0"/>
        <v>2.6850391831273544E-2</v>
      </c>
      <c r="I43" s="849"/>
      <c r="J43" s="619">
        <f>G43</f>
        <v>2.4710361248822785E-2</v>
      </c>
      <c r="K43" s="619"/>
      <c r="L43" s="860"/>
      <c r="M43" s="694"/>
      <c r="N43" s="696"/>
      <c r="O43" s="209"/>
      <c r="U43" s="209"/>
      <c r="V43" s="209"/>
      <c r="W43" s="209"/>
      <c r="X43" s="209"/>
      <c r="Y43" s="209"/>
      <c r="Z43" s="209"/>
      <c r="AA43" s="209"/>
      <c r="AB43" s="209"/>
      <c r="AC43" s="209"/>
      <c r="AD43" s="209"/>
      <c r="AE43" s="209"/>
      <c r="AF43" s="209"/>
      <c r="AG43" s="209"/>
      <c r="AH43" s="209"/>
    </row>
    <row r="44" spans="1:34" x14ac:dyDescent="0.45">
      <c r="A44" s="227"/>
      <c r="B44" s="615" t="s">
        <v>87</v>
      </c>
      <c r="C44" s="152"/>
      <c r="D44" s="153"/>
      <c r="E44" s="628">
        <v>1</v>
      </c>
      <c r="F44" s="892">
        <f t="shared" si="1"/>
        <v>7.0707070707070701</v>
      </c>
      <c r="G44" s="185">
        <f>(F183+D44)*E44</f>
        <v>4.777504777504777E-2</v>
      </c>
      <c r="H44" s="652">
        <f t="shared" si="0"/>
        <v>5.1912585963467379E-2</v>
      </c>
      <c r="I44" s="849"/>
      <c r="J44" s="619"/>
      <c r="K44" s="619">
        <f>G44</f>
        <v>4.777504777504777E-2</v>
      </c>
      <c r="L44" s="860"/>
      <c r="M44" s="695"/>
      <c r="N44" s="697"/>
      <c r="U44" s="209"/>
      <c r="V44" s="209"/>
      <c r="W44" s="209"/>
      <c r="X44" s="209"/>
      <c r="Y44" s="209"/>
      <c r="Z44" s="209"/>
      <c r="AA44" s="209"/>
      <c r="AB44" s="209"/>
      <c r="AC44" s="209"/>
      <c r="AD44" s="209"/>
      <c r="AE44" s="209"/>
      <c r="AF44" s="209"/>
      <c r="AG44" s="209"/>
      <c r="AH44" s="209"/>
    </row>
    <row r="45" spans="1:34" x14ac:dyDescent="0.45">
      <c r="A45" s="227"/>
      <c r="B45" s="615" t="s">
        <v>9</v>
      </c>
      <c r="C45" s="152"/>
      <c r="D45" s="154"/>
      <c r="E45" s="628">
        <v>1</v>
      </c>
      <c r="F45" s="892">
        <f t="shared" si="1"/>
        <v>4.7474747474747465</v>
      </c>
      <c r="G45" s="185">
        <f>(F186+D45)*E45</f>
        <v>3.207753207753207E-2</v>
      </c>
      <c r="H45" s="652">
        <f t="shared" si="0"/>
        <v>3.485559343261381E-2</v>
      </c>
      <c r="I45" s="849"/>
      <c r="J45" s="619"/>
      <c r="K45" s="619">
        <f>G45</f>
        <v>3.207753207753207E-2</v>
      </c>
      <c r="L45" s="860"/>
      <c r="M45" s="695"/>
      <c r="N45" s="697"/>
      <c r="T45" s="209"/>
      <c r="U45" s="209"/>
      <c r="V45" s="209"/>
      <c r="W45" s="209"/>
      <c r="X45" s="209"/>
      <c r="Y45" s="209"/>
      <c r="Z45" s="209"/>
      <c r="AA45" s="209"/>
      <c r="AB45" s="209"/>
      <c r="AC45" s="209"/>
      <c r="AD45" s="209"/>
      <c r="AE45" s="209"/>
      <c r="AF45" s="209"/>
      <c r="AG45" s="209"/>
      <c r="AH45" s="209"/>
    </row>
    <row r="46" spans="1:34" x14ac:dyDescent="0.45">
      <c r="A46" s="227"/>
      <c r="B46" s="784" t="s">
        <v>21</v>
      </c>
      <c r="C46" s="145"/>
      <c r="D46" s="146"/>
      <c r="E46" s="630">
        <v>1</v>
      </c>
      <c r="F46" s="893">
        <f t="shared" si="1"/>
        <v>0.45454545454545459</v>
      </c>
      <c r="G46" s="187">
        <f>($C$158+D46)*E46</f>
        <v>3.0712530712530711E-3</v>
      </c>
      <c r="H46" s="665">
        <f t="shared" si="0"/>
        <v>3.337237669080046E-3</v>
      </c>
      <c r="I46" s="850"/>
      <c r="J46" s="583"/>
      <c r="K46" s="583">
        <f>G46</f>
        <v>3.0712530712530711E-3</v>
      </c>
      <c r="L46" s="860"/>
      <c r="M46" s="695"/>
      <c r="N46" s="697"/>
      <c r="T46" s="209"/>
      <c r="U46" s="209"/>
      <c r="V46" s="209"/>
      <c r="W46" s="209"/>
      <c r="X46" s="209"/>
      <c r="Y46" s="209"/>
      <c r="Z46" s="209"/>
      <c r="AA46" s="209"/>
      <c r="AB46" s="209"/>
      <c r="AC46" s="209"/>
      <c r="AD46" s="209"/>
      <c r="AE46" s="209"/>
      <c r="AF46" s="209"/>
      <c r="AG46" s="209"/>
      <c r="AH46" s="209"/>
    </row>
    <row r="47" spans="1:34" x14ac:dyDescent="0.45">
      <c r="A47" s="227"/>
      <c r="B47" s="380" t="s">
        <v>47</v>
      </c>
      <c r="C47" s="216">
        <f>C177</f>
        <v>3.6075036075036079E-2</v>
      </c>
      <c r="D47" s="217"/>
      <c r="E47" s="405">
        <v>1</v>
      </c>
      <c r="F47" s="894">
        <f t="shared" si="1"/>
        <v>1.3193122167481144</v>
      </c>
      <c r="G47" s="218">
        <f>(C47*$C$55/$C$58+D47)*E47</f>
        <v>8.9142717347845558E-3</v>
      </c>
      <c r="H47" s="384">
        <f t="shared" si="0"/>
        <v>9.6862885394204713E-3</v>
      </c>
      <c r="I47" s="851"/>
      <c r="J47" s="385">
        <f>G47</f>
        <v>8.9142717347845558E-3</v>
      </c>
      <c r="K47" s="385"/>
      <c r="L47" s="860"/>
      <c r="M47" s="694"/>
      <c r="N47" s="696"/>
      <c r="T47" s="209"/>
      <c r="U47" s="209"/>
      <c r="V47" s="209"/>
      <c r="W47" s="209"/>
      <c r="X47" s="209"/>
      <c r="Y47" s="209"/>
      <c r="Z47" s="209"/>
      <c r="AA47" s="209"/>
      <c r="AB47" s="209"/>
      <c r="AC47" s="209"/>
      <c r="AD47" s="209"/>
      <c r="AE47" s="209"/>
      <c r="AF47" s="209"/>
      <c r="AG47" s="209"/>
      <c r="AH47" s="209"/>
    </row>
    <row r="48" spans="1:34" ht="14.65" thickBot="1" x14ac:dyDescent="0.5">
      <c r="A48" s="227"/>
      <c r="B48" s="988" t="s">
        <v>45</v>
      </c>
      <c r="C48" s="166"/>
      <c r="D48" s="165"/>
      <c r="E48" s="720">
        <v>1</v>
      </c>
      <c r="F48" s="895">
        <f t="shared" si="1"/>
        <v>0</v>
      </c>
      <c r="G48" s="188">
        <f>(C193+D48)*E48</f>
        <v>0</v>
      </c>
      <c r="H48" s="763">
        <f t="shared" si="0"/>
        <v>0</v>
      </c>
      <c r="I48" s="852"/>
      <c r="J48" s="719"/>
      <c r="K48" s="719">
        <f>G48</f>
        <v>0</v>
      </c>
      <c r="L48" s="860"/>
      <c r="M48" s="695"/>
      <c r="N48" s="696"/>
      <c r="T48" s="209"/>
      <c r="U48" s="209"/>
      <c r="V48" s="209"/>
      <c r="W48" s="209"/>
      <c r="X48" s="209"/>
      <c r="Y48" s="209"/>
      <c r="Z48" s="209"/>
      <c r="AA48" s="209"/>
      <c r="AB48" s="209"/>
      <c r="AC48" s="209"/>
      <c r="AD48" s="209"/>
      <c r="AE48" s="209"/>
      <c r="AF48" s="209"/>
      <c r="AG48" s="209"/>
      <c r="AH48" s="209"/>
    </row>
    <row r="49" spans="1:40" ht="14.65" thickBot="1" x14ac:dyDescent="0.5">
      <c r="A49" s="227"/>
      <c r="B49" s="136" t="s">
        <v>3</v>
      </c>
      <c r="C49" s="174"/>
      <c r="D49" s="118"/>
      <c r="E49" s="118"/>
      <c r="F49" s="882">
        <f t="shared" ref="F49:K49" si="2">SUM(F30:F48)</f>
        <v>136.20410040222157</v>
      </c>
      <c r="G49" s="141">
        <f t="shared" si="2"/>
        <v>0.92029797569068639</v>
      </c>
      <c r="H49" s="650">
        <f t="shared" si="2"/>
        <v>0.99999999999999978</v>
      </c>
      <c r="I49" s="853">
        <f t="shared" si="2"/>
        <v>0.40261742298509906</v>
      </c>
      <c r="J49" s="431">
        <f t="shared" si="2"/>
        <v>0.21767817925075336</v>
      </c>
      <c r="K49" s="431">
        <f t="shared" si="2"/>
        <v>0.30000237345483383</v>
      </c>
      <c r="L49" s="853"/>
      <c r="M49" s="431"/>
      <c r="N49" s="432"/>
      <c r="T49" s="209"/>
      <c r="U49" s="209"/>
      <c r="V49" s="209"/>
      <c r="W49" s="209"/>
      <c r="X49" s="209"/>
      <c r="Y49" s="209"/>
      <c r="Z49" s="209"/>
      <c r="AA49" s="209"/>
      <c r="AB49" s="209"/>
      <c r="AC49" s="209"/>
      <c r="AD49" s="209"/>
      <c r="AE49" s="209"/>
      <c r="AF49" s="209"/>
      <c r="AG49" s="209"/>
      <c r="AH49" s="209"/>
    </row>
    <row r="50" spans="1:40" x14ac:dyDescent="0.45">
      <c r="A50" s="227"/>
      <c r="H50" s="212"/>
      <c r="J50" s="119"/>
      <c r="K50" s="119"/>
      <c r="Q50" s="121"/>
      <c r="R50" s="121"/>
      <c r="Z50" s="209"/>
      <c r="AA50" s="209"/>
      <c r="AB50" s="209"/>
      <c r="AC50" s="209"/>
      <c r="AD50" s="209"/>
      <c r="AE50" s="209"/>
      <c r="AF50" s="209"/>
      <c r="AG50" s="209"/>
      <c r="AH50" s="209"/>
      <c r="AI50" s="209"/>
      <c r="AJ50" s="209"/>
      <c r="AK50" s="209"/>
      <c r="AL50" s="209"/>
      <c r="AM50" s="209"/>
      <c r="AN50" s="209"/>
    </row>
    <row r="51" spans="1:40" x14ac:dyDescent="0.45">
      <c r="A51" s="227"/>
      <c r="F51" s="540"/>
      <c r="G51" s="543"/>
      <c r="H51" s="540"/>
      <c r="I51" s="540"/>
      <c r="J51" s="540"/>
      <c r="K51" s="119"/>
      <c r="Q51" s="121"/>
      <c r="R51" s="121"/>
      <c r="Z51" s="209"/>
      <c r="AA51" s="209"/>
      <c r="AB51" s="209"/>
      <c r="AC51" s="209"/>
      <c r="AD51" s="209"/>
      <c r="AE51" s="209"/>
      <c r="AF51" s="209"/>
      <c r="AG51" s="209"/>
      <c r="AH51" s="209"/>
      <c r="AI51" s="209"/>
      <c r="AJ51" s="209"/>
      <c r="AK51" s="209"/>
      <c r="AL51" s="209"/>
      <c r="AM51" s="209"/>
      <c r="AN51" s="209"/>
    </row>
    <row r="52" spans="1:40" s="129" customFormat="1" ht="28.5" x14ac:dyDescent="0.85">
      <c r="A52" s="305"/>
      <c r="B52" s="161" t="s">
        <v>150</v>
      </c>
      <c r="G52" s="162"/>
      <c r="I52" s="642"/>
      <c r="J52" s="642"/>
      <c r="K52" s="642"/>
      <c r="Q52" s="208"/>
      <c r="R52" s="208"/>
      <c r="AB52" s="202"/>
    </row>
    <row r="53" spans="1:40" x14ac:dyDescent="0.45">
      <c r="A53" s="227"/>
      <c r="E53" s="209"/>
      <c r="Q53" s="121"/>
      <c r="R53" s="121"/>
      <c r="Z53" s="209"/>
      <c r="AA53" s="209"/>
      <c r="AB53" s="209"/>
      <c r="AC53" s="209"/>
      <c r="AD53" s="209"/>
      <c r="AE53" s="209"/>
      <c r="AF53" s="209"/>
      <c r="AG53" s="209"/>
      <c r="AH53" s="209"/>
      <c r="AI53" s="209"/>
      <c r="AJ53" s="209"/>
      <c r="AK53" s="209"/>
      <c r="AL53" s="209"/>
      <c r="AM53" s="209"/>
      <c r="AN53" s="209"/>
    </row>
    <row r="54" spans="1:40" x14ac:dyDescent="0.45">
      <c r="A54" s="227"/>
      <c r="B54" s="1055" t="s">
        <v>166</v>
      </c>
      <c r="C54" s="1056"/>
      <c r="D54" s="1057"/>
      <c r="H54" s="212"/>
      <c r="I54" s="543"/>
      <c r="Q54" s="121"/>
      <c r="R54" s="121"/>
      <c r="Z54" s="209"/>
      <c r="AA54" s="209"/>
      <c r="AB54" s="209"/>
      <c r="AC54" s="209"/>
      <c r="AD54" s="209"/>
      <c r="AE54" s="209"/>
      <c r="AF54" s="209"/>
      <c r="AG54" s="209"/>
      <c r="AH54" s="209"/>
      <c r="AI54" s="209"/>
      <c r="AJ54" s="209"/>
      <c r="AK54" s="209"/>
      <c r="AL54" s="209"/>
      <c r="AM54" s="209"/>
      <c r="AN54" s="209"/>
    </row>
    <row r="55" spans="1:40" x14ac:dyDescent="0.45">
      <c r="A55" s="227"/>
      <c r="B55" s="1058" t="s">
        <v>94</v>
      </c>
      <c r="C55" s="1059">
        <v>72</v>
      </c>
      <c r="D55" s="1060" t="s">
        <v>96</v>
      </c>
      <c r="H55" s="197"/>
      <c r="Q55" s="121"/>
      <c r="R55" s="121"/>
      <c r="Z55" s="209"/>
      <c r="AA55" s="209"/>
      <c r="AB55" s="209"/>
      <c r="AC55" s="209"/>
      <c r="AD55" s="209"/>
      <c r="AE55" s="209"/>
      <c r="AF55" s="209"/>
      <c r="AG55" s="209"/>
      <c r="AH55" s="209"/>
      <c r="AI55" s="209"/>
      <c r="AJ55" s="209"/>
      <c r="AK55" s="209"/>
      <c r="AL55" s="209"/>
      <c r="AM55" s="209"/>
      <c r="AN55" s="209"/>
    </row>
    <row r="56" spans="1:40" x14ac:dyDescent="0.45">
      <c r="A56" s="227"/>
      <c r="B56" s="1061" t="s">
        <v>93</v>
      </c>
      <c r="C56" s="1062">
        <v>89</v>
      </c>
      <c r="D56" s="1063" t="s">
        <v>0</v>
      </c>
      <c r="K56" s="550"/>
      <c r="L56" s="820"/>
      <c r="M56" s="550"/>
      <c r="N56" s="550"/>
      <c r="O56" s="550"/>
      <c r="Q56" s="121"/>
      <c r="R56" s="121"/>
      <c r="Z56" s="209"/>
      <c r="AA56" s="209"/>
      <c r="AB56" s="209"/>
      <c r="AC56" s="209"/>
      <c r="AD56" s="209"/>
      <c r="AE56" s="209"/>
      <c r="AF56" s="209"/>
      <c r="AG56" s="209"/>
      <c r="AH56" s="209"/>
      <c r="AI56" s="209"/>
      <c r="AJ56" s="209"/>
      <c r="AK56" s="209"/>
      <c r="AL56" s="209"/>
      <c r="AM56" s="209"/>
      <c r="AN56" s="209"/>
    </row>
    <row r="57" spans="1:40" x14ac:dyDescent="0.45">
      <c r="A57" s="227"/>
      <c r="B57" s="1061" t="s">
        <v>396</v>
      </c>
      <c r="C57" s="1064">
        <f>C55*0.156^2/(C56/100)</f>
        <v>1.9687550561797753</v>
      </c>
      <c r="D57" s="1063" t="s">
        <v>95</v>
      </c>
      <c r="H57" s="192"/>
      <c r="K57" s="550"/>
      <c r="L57" s="820"/>
      <c r="M57" s="550"/>
      <c r="N57" s="550"/>
      <c r="O57" s="550"/>
      <c r="Q57" s="122"/>
      <c r="R57" s="122"/>
      <c r="Z57" s="209"/>
      <c r="AA57" s="209"/>
      <c r="AB57" s="209"/>
      <c r="AC57" s="209"/>
      <c r="AD57" s="209"/>
      <c r="AE57" s="209"/>
      <c r="AF57" s="209"/>
      <c r="AG57" s="209"/>
      <c r="AH57" s="209"/>
      <c r="AI57" s="209"/>
      <c r="AJ57" s="209"/>
      <c r="AK57" s="209"/>
      <c r="AL57" s="209"/>
      <c r="AM57" s="209"/>
      <c r="AN57" s="209"/>
    </row>
    <row r="58" spans="1:40" x14ac:dyDescent="0.45">
      <c r="A58" s="227"/>
      <c r="B58" s="1065" t="s">
        <v>97</v>
      </c>
      <c r="C58" s="1066">
        <f>C57*1000*$C$8/100</f>
        <v>291.37574831460677</v>
      </c>
      <c r="D58" s="1067" t="s">
        <v>174</v>
      </c>
      <c r="J58" s="207"/>
      <c r="K58" s="550"/>
      <c r="L58" s="820"/>
      <c r="M58" s="550"/>
      <c r="N58" s="550"/>
      <c r="O58" s="550"/>
      <c r="Q58" s="124"/>
      <c r="R58" s="124"/>
      <c r="Z58" s="209"/>
      <c r="AA58" s="209"/>
      <c r="AB58" s="209"/>
      <c r="AC58" s="209"/>
      <c r="AD58" s="209"/>
      <c r="AE58" s="209"/>
      <c r="AF58" s="209"/>
      <c r="AG58" s="209"/>
      <c r="AH58" s="209"/>
      <c r="AI58" s="209"/>
      <c r="AJ58" s="209"/>
      <c r="AK58" s="209"/>
      <c r="AL58" s="209"/>
      <c r="AM58" s="209"/>
      <c r="AN58" s="209"/>
    </row>
    <row r="59" spans="1:40" x14ac:dyDescent="0.45">
      <c r="A59" s="227"/>
      <c r="K59" s="550"/>
      <c r="L59" s="820"/>
      <c r="M59" s="553"/>
      <c r="N59" s="553"/>
      <c r="O59" s="553"/>
      <c r="P59" s="124"/>
      <c r="Q59" s="124"/>
      <c r="R59" s="124"/>
      <c r="Z59" s="209"/>
      <c r="AA59" s="209"/>
      <c r="AB59" s="164"/>
      <c r="AC59" s="209"/>
      <c r="AD59" s="209"/>
      <c r="AE59" s="209"/>
      <c r="AF59" s="209"/>
      <c r="AG59" s="209"/>
      <c r="AH59" s="209"/>
      <c r="AI59" s="209"/>
      <c r="AJ59" s="209"/>
      <c r="AK59" s="209"/>
      <c r="AL59" s="209"/>
      <c r="AM59" s="209"/>
      <c r="AN59" s="209"/>
    </row>
    <row r="60" spans="1:40" x14ac:dyDescent="0.45">
      <c r="A60" s="545"/>
      <c r="B60" s="917" t="s">
        <v>24</v>
      </c>
      <c r="C60" s="918"/>
      <c r="D60" s="919"/>
      <c r="K60" s="550"/>
      <c r="L60" s="820"/>
      <c r="M60" s="553"/>
      <c r="N60" s="553"/>
      <c r="O60" s="553"/>
      <c r="P60" s="124"/>
      <c r="Q60" s="124"/>
      <c r="R60" s="124"/>
      <c r="Z60" s="209"/>
      <c r="AA60" s="209"/>
      <c r="AB60" s="164"/>
      <c r="AC60" s="209"/>
      <c r="AD60" s="209"/>
      <c r="AE60" s="209"/>
      <c r="AF60" s="209"/>
      <c r="AG60" s="209"/>
      <c r="AH60" s="209"/>
      <c r="AI60" s="209"/>
      <c r="AJ60" s="209"/>
      <c r="AK60" s="209"/>
      <c r="AL60" s="209"/>
      <c r="AM60" s="209"/>
      <c r="AN60" s="209"/>
    </row>
    <row r="61" spans="1:40" x14ac:dyDescent="0.45">
      <c r="A61" s="545"/>
      <c r="B61" s="920" t="s">
        <v>13</v>
      </c>
      <c r="C61" s="921">
        <v>2329</v>
      </c>
      <c r="D61" s="919" t="s">
        <v>15</v>
      </c>
      <c r="K61" s="550"/>
      <c r="L61" s="757"/>
      <c r="M61" s="639"/>
      <c r="N61" s="553"/>
      <c r="O61" s="553"/>
      <c r="P61" s="124"/>
      <c r="Q61" s="124"/>
      <c r="R61" s="124"/>
      <c r="Z61" s="209"/>
      <c r="AA61" s="209"/>
      <c r="AB61" s="164"/>
      <c r="AC61" s="209"/>
      <c r="AD61" s="209"/>
      <c r="AE61" s="209"/>
      <c r="AF61" s="209"/>
      <c r="AG61" s="209"/>
      <c r="AH61" s="209"/>
      <c r="AI61" s="209"/>
      <c r="AJ61" s="209"/>
      <c r="AK61" s="209"/>
      <c r="AL61" s="209"/>
      <c r="AM61" s="209"/>
      <c r="AN61" s="209"/>
    </row>
    <row r="62" spans="1:40" ht="15" customHeight="1" x14ac:dyDescent="0.45">
      <c r="A62" s="545"/>
      <c r="B62" s="592" t="s">
        <v>349</v>
      </c>
      <c r="C62" s="593">
        <f>0.156*0.156*(C9/10^6/C10)*C61</f>
        <v>2.2671417600000004E-2</v>
      </c>
      <c r="D62" s="594" t="s">
        <v>14</v>
      </c>
      <c r="K62" s="550"/>
      <c r="L62" s="820"/>
      <c r="M62" s="639"/>
      <c r="N62" s="553"/>
      <c r="O62" s="553"/>
      <c r="P62" s="124"/>
      <c r="Q62" s="124"/>
      <c r="R62" s="124"/>
      <c r="Z62" s="209"/>
      <c r="AA62" s="209"/>
      <c r="AB62" s="209"/>
      <c r="AC62" s="209"/>
      <c r="AD62" s="209"/>
      <c r="AE62" s="209"/>
      <c r="AF62" s="209"/>
      <c r="AG62" s="209"/>
      <c r="AH62" s="209"/>
      <c r="AI62" s="209"/>
      <c r="AJ62" s="209"/>
      <c r="AK62" s="209"/>
      <c r="AL62" s="209"/>
      <c r="AM62" s="209"/>
      <c r="AN62" s="209"/>
    </row>
    <row r="63" spans="1:40" s="540" customFormat="1" ht="15" customHeight="1" x14ac:dyDescent="0.45">
      <c r="A63" s="545"/>
      <c r="B63" s="592" t="s">
        <v>348</v>
      </c>
      <c r="C63" s="593">
        <f>C62*C11</f>
        <v>0.68014252800000008</v>
      </c>
      <c r="D63" s="594" t="s">
        <v>16</v>
      </c>
      <c r="K63" s="550"/>
      <c r="L63" s="820"/>
      <c r="M63" s="639"/>
      <c r="N63" s="553"/>
      <c r="O63" s="553"/>
      <c r="P63" s="553"/>
      <c r="Q63" s="553"/>
      <c r="R63" s="553"/>
      <c r="Z63" s="631"/>
      <c r="AA63" s="631"/>
      <c r="AB63" s="631"/>
      <c r="AC63" s="631"/>
      <c r="AD63" s="631"/>
      <c r="AE63" s="631"/>
      <c r="AF63" s="631"/>
      <c r="AG63" s="631"/>
      <c r="AH63" s="631"/>
      <c r="AI63" s="631"/>
      <c r="AJ63" s="631"/>
      <c r="AK63" s="631"/>
      <c r="AL63" s="631"/>
      <c r="AM63" s="631"/>
      <c r="AN63" s="631"/>
    </row>
    <row r="64" spans="1:40" x14ac:dyDescent="0.45">
      <c r="A64" s="545"/>
      <c r="B64" s="592" t="s">
        <v>339</v>
      </c>
      <c r="C64" s="957">
        <f>$C$148*$C$149*$C$150</f>
        <v>0.94594500000000004</v>
      </c>
      <c r="D64" s="594" t="s">
        <v>22</v>
      </c>
      <c r="K64" s="550"/>
      <c r="L64" s="553"/>
      <c r="M64" s="639"/>
      <c r="N64" s="548"/>
      <c r="O64" s="553"/>
      <c r="P64" s="124"/>
      <c r="Q64" s="124"/>
      <c r="R64" s="124"/>
      <c r="Z64" s="209"/>
      <c r="AA64" s="209"/>
      <c r="AB64" s="209"/>
      <c r="AC64" s="209"/>
      <c r="AD64" s="209"/>
      <c r="AE64" s="209"/>
      <c r="AF64" s="209"/>
      <c r="AG64" s="209"/>
      <c r="AH64" s="209"/>
      <c r="AI64" s="209"/>
      <c r="AJ64" s="209"/>
      <c r="AK64" s="209"/>
      <c r="AL64" s="209"/>
      <c r="AM64" s="209"/>
      <c r="AN64" s="209"/>
    </row>
    <row r="65" spans="1:40" s="540" customFormat="1" x14ac:dyDescent="0.45">
      <c r="A65" s="545"/>
      <c r="B65" s="922" t="s">
        <v>35</v>
      </c>
      <c r="C65" s="923">
        <f>C63/C64</f>
        <v>0.71900853432282008</v>
      </c>
      <c r="D65" s="924" t="s">
        <v>16</v>
      </c>
      <c r="K65" s="550"/>
      <c r="L65" s="553"/>
      <c r="M65" s="639"/>
      <c r="N65" s="548"/>
      <c r="O65" s="553"/>
      <c r="P65" s="553"/>
      <c r="Q65" s="553"/>
      <c r="R65" s="553"/>
      <c r="Z65" s="631"/>
      <c r="AA65" s="631"/>
      <c r="AB65" s="631"/>
      <c r="AC65" s="631"/>
      <c r="AD65" s="631"/>
      <c r="AE65" s="631"/>
      <c r="AF65" s="631"/>
      <c r="AG65" s="631"/>
      <c r="AH65" s="631"/>
      <c r="AI65" s="631"/>
      <c r="AJ65" s="631"/>
      <c r="AK65" s="631"/>
      <c r="AL65" s="631"/>
      <c r="AM65" s="631"/>
      <c r="AN65" s="631"/>
    </row>
    <row r="66" spans="1:40" x14ac:dyDescent="0.45">
      <c r="A66" s="545"/>
      <c r="J66" s="209"/>
      <c r="K66" s="553"/>
      <c r="L66" s="553"/>
      <c r="M66" s="639"/>
      <c r="N66" s="639"/>
      <c r="O66" s="553"/>
      <c r="P66" s="124"/>
      <c r="Q66" s="124"/>
      <c r="R66" s="124"/>
      <c r="Z66" s="209"/>
      <c r="AA66" s="209"/>
      <c r="AB66" s="209"/>
      <c r="AC66" s="209"/>
      <c r="AD66" s="209"/>
      <c r="AE66" s="209"/>
      <c r="AF66" s="209"/>
      <c r="AG66" s="209"/>
      <c r="AH66" s="209"/>
      <c r="AI66" s="209"/>
      <c r="AJ66" s="209"/>
      <c r="AK66" s="209"/>
      <c r="AL66" s="209"/>
      <c r="AM66" s="209"/>
      <c r="AN66" s="209"/>
    </row>
    <row r="67" spans="1:40" x14ac:dyDescent="0.45">
      <c r="A67" s="545"/>
      <c r="B67" s="325" t="s">
        <v>89</v>
      </c>
      <c r="C67" s="326"/>
      <c r="D67" s="327"/>
      <c r="E67" s="327"/>
      <c r="F67" s="327"/>
      <c r="G67" s="327"/>
      <c r="H67" s="328"/>
      <c r="I67" s="462"/>
      <c r="J67" s="124"/>
      <c r="K67" s="550"/>
      <c r="L67" s="550"/>
      <c r="M67" s="553"/>
      <c r="N67" s="639"/>
      <c r="O67" s="553"/>
      <c r="P67" s="124"/>
      <c r="Q67" s="124"/>
      <c r="R67" s="124"/>
      <c r="Z67" s="209"/>
      <c r="AA67" s="209"/>
      <c r="AB67" s="209"/>
      <c r="AC67" s="209"/>
      <c r="AD67" s="209"/>
      <c r="AE67" s="209"/>
      <c r="AF67" s="209"/>
      <c r="AG67" s="209"/>
      <c r="AH67" s="209"/>
      <c r="AI67" s="209"/>
      <c r="AJ67" s="209"/>
      <c r="AK67" s="209"/>
      <c r="AL67" s="209"/>
      <c r="AM67" s="209"/>
      <c r="AN67" s="209"/>
    </row>
    <row r="68" spans="1:40" s="458" customFormat="1" x14ac:dyDescent="0.45">
      <c r="A68" s="545"/>
      <c r="B68" s="321" t="s">
        <v>186</v>
      </c>
      <c r="C68" s="322">
        <v>400</v>
      </c>
      <c r="D68" s="256" t="s">
        <v>18</v>
      </c>
      <c r="E68" s="256"/>
      <c r="F68" s="256"/>
      <c r="G68" s="256"/>
      <c r="H68" s="479"/>
      <c r="I68" s="462"/>
      <c r="J68" s="462"/>
      <c r="K68" s="550"/>
      <c r="L68" s="550"/>
      <c r="M68" s="553"/>
      <c r="N68" s="553"/>
      <c r="O68" s="553"/>
      <c r="P68" s="462"/>
      <c r="Q68" s="473"/>
      <c r="Z68" s="473"/>
      <c r="AA68" s="473"/>
      <c r="AB68" s="473"/>
      <c r="AC68" s="473"/>
      <c r="AD68" s="473"/>
      <c r="AE68" s="473"/>
      <c r="AF68" s="473"/>
      <c r="AG68" s="473"/>
      <c r="AH68" s="473"/>
      <c r="AI68" s="473"/>
      <c r="AJ68" s="473"/>
      <c r="AK68" s="473"/>
      <c r="AL68" s="473"/>
      <c r="AM68" s="473"/>
      <c r="AN68" s="473"/>
    </row>
    <row r="69" spans="1:40" s="458" customFormat="1" x14ac:dyDescent="0.45">
      <c r="A69" s="545"/>
      <c r="B69" s="321" t="s">
        <v>62</v>
      </c>
      <c r="C69" s="322">
        <v>13.6</v>
      </c>
      <c r="D69" s="256" t="s">
        <v>22</v>
      </c>
      <c r="E69" s="256"/>
      <c r="F69" s="256"/>
      <c r="G69" s="256"/>
      <c r="H69" s="479"/>
      <c r="I69" s="462"/>
      <c r="J69" s="462"/>
      <c r="K69" s="550"/>
      <c r="L69" s="550"/>
      <c r="M69" s="548"/>
      <c r="N69" s="548"/>
      <c r="O69" s="548"/>
      <c r="P69" s="462"/>
      <c r="Q69" s="473"/>
      <c r="Z69" s="473"/>
      <c r="AA69" s="473"/>
      <c r="AB69" s="473"/>
      <c r="AC69" s="473"/>
      <c r="AD69" s="473"/>
      <c r="AE69" s="473"/>
      <c r="AF69" s="473"/>
      <c r="AG69" s="473"/>
      <c r="AH69" s="473"/>
      <c r="AI69" s="473"/>
      <c r="AJ69" s="473"/>
      <c r="AK69" s="473"/>
      <c r="AL69" s="473"/>
      <c r="AM69" s="473"/>
      <c r="AN69" s="473"/>
    </row>
    <row r="70" spans="1:40" s="458" customFormat="1" x14ac:dyDescent="0.45">
      <c r="A70" s="545"/>
      <c r="B70" s="321" t="s">
        <v>188</v>
      </c>
      <c r="C70" s="329">
        <f>C68*10^6/(C69/100*1000)/(365*24)</f>
        <v>335.750738651625</v>
      </c>
      <c r="D70" s="256" t="s">
        <v>184</v>
      </c>
      <c r="E70" s="256"/>
      <c r="F70" s="256"/>
      <c r="G70" s="256"/>
      <c r="H70" s="479"/>
      <c r="I70" s="462"/>
      <c r="J70" s="553"/>
      <c r="K70" s="550"/>
      <c r="L70" s="550"/>
      <c r="M70" s="548"/>
      <c r="N70" s="548"/>
      <c r="O70" s="553"/>
      <c r="P70" s="462"/>
      <c r="Q70" s="473"/>
      <c r="Z70" s="473"/>
      <c r="AA70" s="473"/>
      <c r="AB70" s="473"/>
      <c r="AC70" s="473"/>
      <c r="AD70" s="473"/>
      <c r="AE70" s="473"/>
      <c r="AF70" s="473"/>
      <c r="AG70" s="473"/>
      <c r="AH70" s="473"/>
      <c r="AI70" s="473"/>
      <c r="AJ70" s="473"/>
      <c r="AK70" s="473"/>
      <c r="AL70" s="473"/>
      <c r="AM70" s="473"/>
      <c r="AN70" s="473"/>
    </row>
    <row r="71" spans="1:40" s="458" customFormat="1" x14ac:dyDescent="0.45">
      <c r="A71" s="545"/>
      <c r="B71" s="321" t="s">
        <v>187</v>
      </c>
      <c r="C71" s="322">
        <f>1000*$C$8/100</f>
        <v>148</v>
      </c>
      <c r="D71" s="256" t="s">
        <v>189</v>
      </c>
      <c r="E71" s="256"/>
      <c r="F71" s="256"/>
      <c r="G71" s="256"/>
      <c r="H71" s="479"/>
      <c r="I71" s="462"/>
      <c r="J71" s="703"/>
      <c r="L71" s="550"/>
      <c r="M71" s="548"/>
      <c r="N71" s="548"/>
      <c r="O71" s="553"/>
      <c r="P71" s="462"/>
      <c r="Q71" s="473"/>
      <c r="R71" s="473"/>
      <c r="S71" s="473"/>
      <c r="T71" s="473"/>
      <c r="U71" s="473"/>
      <c r="V71" s="473"/>
      <c r="W71" s="473"/>
    </row>
    <row r="72" spans="1:40" s="458" customFormat="1" x14ac:dyDescent="0.45">
      <c r="A72" s="545"/>
      <c r="B72" s="321" t="s">
        <v>188</v>
      </c>
      <c r="C72" s="329">
        <f>C70*C71</f>
        <v>49691.109320440497</v>
      </c>
      <c r="D72" s="256" t="s">
        <v>190</v>
      </c>
      <c r="E72" s="256"/>
      <c r="F72" s="256"/>
      <c r="G72" s="256"/>
      <c r="H72" s="479"/>
      <c r="I72" s="462"/>
      <c r="J72" s="703"/>
      <c r="K72" s="553"/>
      <c r="L72" s="462"/>
      <c r="M72" s="462"/>
      <c r="N72" s="462"/>
      <c r="O72" s="270"/>
      <c r="P72" s="462"/>
      <c r="Q72" s="473"/>
      <c r="R72" s="473"/>
      <c r="S72" s="473"/>
      <c r="T72" s="473"/>
      <c r="U72" s="473"/>
      <c r="V72" s="473"/>
      <c r="W72" s="473"/>
    </row>
    <row r="73" spans="1:40" s="458" customFormat="1" x14ac:dyDescent="0.45">
      <c r="A73" s="545"/>
      <c r="B73" s="321" t="s">
        <v>191</v>
      </c>
      <c r="C73" s="329">
        <f>C72*$C$18/100*C151</f>
        <v>45124.854149879124</v>
      </c>
      <c r="D73" s="256" t="s">
        <v>190</v>
      </c>
      <c r="E73" s="256"/>
      <c r="F73" s="256"/>
      <c r="G73" s="256"/>
      <c r="H73" s="479"/>
      <c r="I73" s="462"/>
      <c r="J73" s="703"/>
      <c r="K73" s="553"/>
      <c r="L73" s="462"/>
      <c r="M73" s="462"/>
      <c r="N73" s="462"/>
      <c r="O73" s="270"/>
      <c r="P73" s="462"/>
      <c r="Q73" s="473"/>
      <c r="R73" s="473"/>
      <c r="S73" s="473"/>
      <c r="T73" s="473"/>
      <c r="U73" s="473"/>
      <c r="V73" s="473"/>
      <c r="W73" s="473"/>
    </row>
    <row r="74" spans="1:40" s="458" customFormat="1" x14ac:dyDescent="0.45">
      <c r="A74" s="545"/>
      <c r="B74" s="321" t="s">
        <v>193</v>
      </c>
      <c r="C74" s="329">
        <f>C73*24*365/1000000</f>
        <v>395.29372235294107</v>
      </c>
      <c r="D74" s="256" t="s">
        <v>18</v>
      </c>
      <c r="E74" s="256"/>
      <c r="F74" s="256"/>
      <c r="G74" s="256"/>
      <c r="H74" s="479"/>
      <c r="I74" s="462"/>
      <c r="J74" s="462"/>
      <c r="K74" s="553"/>
      <c r="L74" s="462"/>
      <c r="M74" s="462"/>
      <c r="N74" s="462"/>
      <c r="O74" s="270"/>
      <c r="P74" s="462"/>
      <c r="Q74" s="473"/>
      <c r="R74" s="473"/>
      <c r="S74" s="473"/>
      <c r="T74" s="473"/>
      <c r="U74" s="473"/>
      <c r="V74" s="473"/>
      <c r="W74" s="473"/>
    </row>
    <row r="75" spans="1:40" x14ac:dyDescent="0.45">
      <c r="A75" s="545"/>
      <c r="B75" s="321" t="s">
        <v>142</v>
      </c>
      <c r="C75" s="589">
        <v>10</v>
      </c>
      <c r="D75" s="589" t="s">
        <v>111</v>
      </c>
      <c r="E75" s="256"/>
      <c r="F75" s="256"/>
      <c r="G75" s="256"/>
      <c r="H75" s="479"/>
      <c r="I75" s="462"/>
      <c r="J75" s="124"/>
      <c r="K75" s="995"/>
      <c r="L75" s="124"/>
      <c r="M75" s="124"/>
      <c r="N75" s="124"/>
      <c r="O75" s="159"/>
      <c r="P75" s="124"/>
      <c r="Q75" s="209"/>
      <c r="R75" s="209"/>
      <c r="S75" s="209"/>
      <c r="T75" s="209"/>
      <c r="U75" s="209"/>
      <c r="V75" s="209"/>
      <c r="W75" s="209"/>
    </row>
    <row r="76" spans="1:40" x14ac:dyDescent="0.45">
      <c r="A76" s="545"/>
      <c r="B76" s="321" t="s">
        <v>143</v>
      </c>
      <c r="C76" s="589">
        <v>7</v>
      </c>
      <c r="D76" s="256" t="s">
        <v>111</v>
      </c>
      <c r="E76" s="256"/>
      <c r="F76" s="256"/>
      <c r="G76" s="256"/>
      <c r="H76" s="479"/>
      <c r="I76" s="462"/>
      <c r="J76" s="124"/>
      <c r="K76" s="124"/>
      <c r="L76" s="124"/>
      <c r="M76" s="124"/>
      <c r="N76" s="124"/>
      <c r="O76" s="159"/>
      <c r="P76" s="124"/>
      <c r="Q76" s="209"/>
      <c r="R76" s="209"/>
      <c r="S76" s="209"/>
      <c r="T76" s="209"/>
      <c r="U76" s="209"/>
      <c r="V76" s="209"/>
      <c r="W76" s="209"/>
    </row>
    <row r="77" spans="1:40" x14ac:dyDescent="0.45">
      <c r="A77" s="545"/>
      <c r="B77" s="321" t="s">
        <v>140</v>
      </c>
      <c r="C77" s="589">
        <v>7</v>
      </c>
      <c r="D77" s="256" t="s">
        <v>111</v>
      </c>
      <c r="E77" s="256"/>
      <c r="F77" s="256"/>
      <c r="G77" s="256"/>
      <c r="H77" s="479"/>
      <c r="I77" s="462"/>
      <c r="J77" s="124"/>
      <c r="K77" s="124"/>
      <c r="L77" s="124"/>
      <c r="M77" s="124"/>
      <c r="N77" s="124"/>
      <c r="O77" s="159"/>
      <c r="P77" s="124"/>
      <c r="Q77" s="209"/>
      <c r="R77" s="209"/>
      <c r="S77" s="209"/>
      <c r="T77" s="209"/>
      <c r="U77" s="209"/>
      <c r="V77" s="209"/>
      <c r="W77" s="209"/>
    </row>
    <row r="78" spans="1:40" x14ac:dyDescent="0.45">
      <c r="A78" s="545"/>
      <c r="B78" s="321" t="s">
        <v>141</v>
      </c>
      <c r="C78" s="589">
        <v>7</v>
      </c>
      <c r="D78" s="256" t="s">
        <v>111</v>
      </c>
      <c r="E78" s="256"/>
      <c r="F78" s="256"/>
      <c r="G78" s="256"/>
      <c r="H78" s="479"/>
      <c r="I78" s="462"/>
      <c r="J78" s="124"/>
      <c r="K78" s="124"/>
      <c r="L78" s="124"/>
      <c r="M78" s="124"/>
      <c r="N78" s="124"/>
      <c r="O78" s="159"/>
      <c r="P78" s="124"/>
      <c r="Q78" s="209"/>
      <c r="R78" s="209"/>
      <c r="S78" s="209"/>
      <c r="T78" s="209"/>
      <c r="U78" s="209"/>
      <c r="V78" s="209"/>
      <c r="W78" s="209"/>
    </row>
    <row r="79" spans="1:40" x14ac:dyDescent="0.45">
      <c r="A79" s="545"/>
      <c r="B79" s="321" t="s">
        <v>132</v>
      </c>
      <c r="C79" s="589">
        <v>25</v>
      </c>
      <c r="D79" s="256" t="s">
        <v>63</v>
      </c>
      <c r="E79" s="256"/>
      <c r="F79" s="256"/>
      <c r="G79" s="256"/>
      <c r="H79" s="479"/>
      <c r="I79" s="462"/>
      <c r="J79" s="124"/>
      <c r="K79" s="124"/>
      <c r="L79" s="124"/>
      <c r="M79" s="553"/>
      <c r="N79" s="124"/>
      <c r="O79" s="159"/>
      <c r="P79" s="124"/>
      <c r="Q79" s="209"/>
      <c r="R79" s="209"/>
      <c r="S79" s="209"/>
      <c r="T79" s="209"/>
      <c r="U79" s="209"/>
      <c r="V79" s="209"/>
      <c r="W79" s="209"/>
    </row>
    <row r="80" spans="1:40" x14ac:dyDescent="0.45">
      <c r="A80" s="879"/>
      <c r="B80" s="321" t="s">
        <v>151</v>
      </c>
      <c r="C80" s="256">
        <v>1</v>
      </c>
      <c r="D80" s="256" t="s">
        <v>22</v>
      </c>
      <c r="E80" s="256"/>
      <c r="F80" s="256"/>
      <c r="G80" s="256"/>
      <c r="H80" s="479"/>
      <c r="I80" s="462"/>
      <c r="M80" s="124"/>
      <c r="N80" s="124"/>
      <c r="O80" s="159"/>
      <c r="P80" s="124"/>
      <c r="Q80" s="209"/>
      <c r="R80" s="209"/>
      <c r="S80" s="209"/>
      <c r="T80" s="209"/>
      <c r="U80" s="209"/>
      <c r="V80" s="209"/>
      <c r="W80" s="209"/>
    </row>
    <row r="81" spans="1:27" x14ac:dyDescent="0.45">
      <c r="A81" s="879"/>
      <c r="B81" s="334"/>
      <c r="C81" s="256" t="s">
        <v>117</v>
      </c>
      <c r="D81" s="256" t="s">
        <v>118</v>
      </c>
      <c r="E81" s="256" t="s">
        <v>119</v>
      </c>
      <c r="F81" s="323" t="s">
        <v>175</v>
      </c>
      <c r="G81" s="256" t="s">
        <v>233</v>
      </c>
      <c r="H81" s="479" t="s">
        <v>232</v>
      </c>
      <c r="I81" s="462"/>
      <c r="K81" s="553"/>
      <c r="L81" s="553"/>
      <c r="M81" s="553"/>
      <c r="N81" s="553"/>
      <c r="O81" s="553"/>
      <c r="P81" s="124"/>
      <c r="Q81" s="209"/>
      <c r="R81" s="209"/>
      <c r="S81" s="209"/>
      <c r="T81" s="209"/>
      <c r="U81" s="209"/>
      <c r="V81" s="209"/>
      <c r="W81" s="209"/>
    </row>
    <row r="82" spans="1:27" x14ac:dyDescent="0.45">
      <c r="A82" s="879"/>
      <c r="B82" s="321" t="s">
        <v>90</v>
      </c>
      <c r="C82" s="329">
        <f>(80.5+16)*1.27*1000000*0.87*0.7*C80</f>
        <v>74635995</v>
      </c>
      <c r="D82" s="329">
        <f>(80.5*1+16*0)*1.27*1000000*0.87*0.7/C75*C80</f>
        <v>6226111.4999999991</v>
      </c>
      <c r="E82" s="329">
        <f>((80.5*0+16*1)*1.27*1000000*0.87*0.7)/C79*C80</f>
        <v>494995.20000000001</v>
      </c>
      <c r="F82" s="877">
        <f>(D82+E82)/($C$74*1000000)</f>
        <v>1.7002816690316693E-2</v>
      </c>
      <c r="G82" s="322">
        <f>D82*C75/($C$74*1000000)</f>
        <v>0.15750595438095438</v>
      </c>
      <c r="H82" s="372">
        <f>E82*$C$79/($C$74*1000000)</f>
        <v>3.1305531305531313E-2</v>
      </c>
      <c r="I82" s="553"/>
      <c r="K82" s="363"/>
      <c r="L82" s="363"/>
      <c r="M82" s="540"/>
      <c r="N82" s="363"/>
      <c r="O82" s="363"/>
      <c r="P82" s="124"/>
      <c r="Q82" s="209"/>
      <c r="R82" s="209"/>
      <c r="S82" s="209"/>
      <c r="T82" s="209"/>
      <c r="U82" s="209"/>
      <c r="V82" s="209"/>
      <c r="W82" s="209"/>
    </row>
    <row r="83" spans="1:27" x14ac:dyDescent="0.45">
      <c r="A83" s="879"/>
      <c r="B83" s="321" t="s">
        <v>30</v>
      </c>
      <c r="C83" s="329">
        <f>(76.8+13)*1.27*1000000*0.87*0.9*C80</f>
        <v>89298017.999999985</v>
      </c>
      <c r="D83" s="329">
        <f>(76.8*1+13*0)*1.27*1000000*0.87*0.9/C76*C80</f>
        <v>10910098.285714285</v>
      </c>
      <c r="E83" s="329">
        <f>((76.8*0+13*1)*1.27*1000000*0.87*0.9)/C79*C80</f>
        <v>517093.20000000007</v>
      </c>
      <c r="F83" s="877">
        <f>(D83+E83)/($C$74*1000000)</f>
        <v>2.8908102607082202E-2</v>
      </c>
      <c r="G83" s="322">
        <f>D83*C76/($C$74*1000000)</f>
        <v>0.19319985034270754</v>
      </c>
      <c r="H83" s="372">
        <f>E83*$C$79/($C$74*1000000)</f>
        <v>3.2703099667385396E-2</v>
      </c>
      <c r="I83" s="553"/>
      <c r="K83" s="363"/>
      <c r="L83" s="363"/>
      <c r="M83" s="540"/>
      <c r="N83" s="363"/>
      <c r="O83" s="363"/>
      <c r="P83" s="124"/>
      <c r="Q83" s="209"/>
      <c r="R83" s="209"/>
      <c r="S83" s="209"/>
      <c r="T83" s="209"/>
      <c r="U83" s="209"/>
      <c r="V83" s="209"/>
      <c r="W83" s="209"/>
    </row>
    <row r="84" spans="1:27" x14ac:dyDescent="0.45">
      <c r="A84" s="879"/>
      <c r="B84" s="321" t="s">
        <v>31</v>
      </c>
      <c r="C84" s="329">
        <f>(110+16.3)*1.27*1000000*0.87*0.9*C80</f>
        <v>125593983</v>
      </c>
      <c r="D84" s="329">
        <f>(110*1+16.3*0.85*0)*1.27*1000000*0.87*0.9/C77*C80</f>
        <v>15626442.857142856</v>
      </c>
      <c r="E84" s="329">
        <f>(110*0+16.3*1)*1.27*1000000*0.87*0.9/C79*C80</f>
        <v>648355.31999999995</v>
      </c>
      <c r="F84" s="877">
        <f>(D84+E84)/($C$74*1000000)</f>
        <v>4.1171405607630107E-2</v>
      </c>
      <c r="G84" s="322">
        <f>D84*C77/($C$74*1000000)</f>
        <v>0.27671853564710713</v>
      </c>
      <c r="H84" s="372">
        <f>E84*$C$79/($C$74*1000000)</f>
        <v>4.1004655736798595E-2</v>
      </c>
      <c r="I84" s="553"/>
      <c r="K84" s="363"/>
      <c r="L84" s="363"/>
      <c r="M84" s="540"/>
      <c r="N84" s="363"/>
      <c r="O84" s="363"/>
      <c r="P84" s="124"/>
      <c r="Q84" s="209"/>
      <c r="R84" s="209"/>
      <c r="S84" s="209"/>
      <c r="T84" s="209"/>
      <c r="U84" s="209"/>
      <c r="V84" s="209"/>
      <c r="W84" s="209"/>
    </row>
    <row r="85" spans="1:27" x14ac:dyDescent="0.45">
      <c r="A85" s="879"/>
      <c r="B85" s="321" t="s">
        <v>32</v>
      </c>
      <c r="C85" s="329">
        <f>(73.5+20)*1.27*1000000*0.87*0.9*0.6*C80</f>
        <v>55786401</v>
      </c>
      <c r="D85" s="329">
        <f>(73.5*1+20*0)*1.27*1000000*0.87*0.9*0.6/C78*C80</f>
        <v>6264783</v>
      </c>
      <c r="E85" s="329">
        <f>(73.5*0+20*1)*1.27*1000000*0.87*0.9*0.6/C79*C80</f>
        <v>477316.8</v>
      </c>
      <c r="F85" s="877">
        <f>(D85+E85)/($C$74*1000000)</f>
        <v>1.7055924288067147E-2</v>
      </c>
      <c r="G85" s="322">
        <f>D85*C78/($C$74*1000000)</f>
        <v>0.11093897656397658</v>
      </c>
      <c r="H85" s="372">
        <f>E85*$C$79/($C$74*1000000)</f>
        <v>3.0187476616048051E-2</v>
      </c>
      <c r="I85" s="553"/>
      <c r="K85" s="363"/>
      <c r="L85" s="363"/>
      <c r="M85" s="540"/>
      <c r="N85" s="363"/>
      <c r="O85" s="363"/>
      <c r="P85" s="124"/>
      <c r="Q85" s="209"/>
      <c r="R85" s="209"/>
      <c r="S85" s="209"/>
      <c r="T85" s="209"/>
      <c r="U85" s="209"/>
      <c r="V85" s="209"/>
      <c r="W85" s="209"/>
    </row>
    <row r="86" spans="1:27" x14ac:dyDescent="0.45">
      <c r="A86" s="879"/>
      <c r="B86" s="373" t="s">
        <v>234</v>
      </c>
      <c r="C86" s="336">
        <f>SUM(C82:C85)/1000000/C74</f>
        <v>0.87356408026050902</v>
      </c>
      <c r="D86" s="324"/>
      <c r="E86" s="337" t="s">
        <v>176</v>
      </c>
      <c r="F86" s="878">
        <f>SUM(F82:F85)</f>
        <v>0.10413824919309614</v>
      </c>
      <c r="G86" s="807">
        <f>SUM(G82:G85)</f>
        <v>0.73836331693474566</v>
      </c>
      <c r="H86" s="821">
        <f>SUM(H82:H85)</f>
        <v>0.13520076332576336</v>
      </c>
      <c r="I86" s="553"/>
      <c r="J86" s="124"/>
      <c r="K86" s="270"/>
      <c r="L86" s="124"/>
      <c r="M86" s="124"/>
      <c r="N86" s="124"/>
      <c r="O86" s="159"/>
      <c r="P86" s="124"/>
      <c r="Q86" s="209"/>
      <c r="R86" s="209"/>
      <c r="S86" s="209"/>
      <c r="T86" s="209"/>
      <c r="U86" s="209"/>
      <c r="V86" s="209"/>
      <c r="W86" s="209"/>
    </row>
    <row r="87" spans="1:27" x14ac:dyDescent="0.45">
      <c r="A87" s="879"/>
      <c r="B87" s="124"/>
      <c r="C87" s="124"/>
      <c r="D87" s="124"/>
      <c r="E87" s="120"/>
      <c r="F87" s="120"/>
      <c r="G87" s="124"/>
      <c r="H87" s="124"/>
      <c r="I87" s="124"/>
      <c r="J87" s="124"/>
      <c r="K87" s="124"/>
      <c r="L87" s="124"/>
      <c r="M87" s="121"/>
      <c r="N87" s="177"/>
      <c r="O87" s="177"/>
      <c r="P87" s="177"/>
      <c r="R87" s="473"/>
      <c r="S87" s="209"/>
      <c r="T87" s="209"/>
      <c r="U87" s="209"/>
      <c r="V87" s="209"/>
      <c r="W87" s="209"/>
    </row>
    <row r="88" spans="1:27" x14ac:dyDescent="0.45">
      <c r="A88" s="879"/>
      <c r="B88" s="713" t="s">
        <v>61</v>
      </c>
      <c r="C88" s="714"/>
      <c r="D88" s="714"/>
      <c r="E88" s="714"/>
      <c r="F88" s="715"/>
      <c r="G88" s="123"/>
      <c r="H88" s="757"/>
      <c r="I88" s="123"/>
      <c r="J88" s="124"/>
      <c r="K88" s="124"/>
      <c r="L88" s="124"/>
      <c r="M88" s="121"/>
      <c r="N88" s="177"/>
      <c r="O88" s="177"/>
      <c r="P88" s="177"/>
      <c r="R88" s="473"/>
      <c r="S88" s="209"/>
      <c r="T88" s="209"/>
      <c r="U88" s="209"/>
      <c r="V88" s="209"/>
      <c r="W88" s="209"/>
    </row>
    <row r="89" spans="1:27" x14ac:dyDescent="0.45">
      <c r="A89" s="545"/>
      <c r="B89" s="651" t="s">
        <v>229</v>
      </c>
      <c r="C89" s="663">
        <v>0.05</v>
      </c>
      <c r="D89" s="1026" t="s">
        <v>22</v>
      </c>
      <c r="E89" s="1026"/>
      <c r="F89" s="1030" t="s">
        <v>366</v>
      </c>
      <c r="G89" s="123"/>
      <c r="H89" s="123"/>
      <c r="I89" s="123"/>
      <c r="J89" s="124"/>
      <c r="K89" s="196"/>
      <c r="L89" s="124"/>
      <c r="M89" s="121"/>
      <c r="N89" s="177"/>
      <c r="O89" s="177"/>
      <c r="P89" s="177"/>
      <c r="R89" s="234"/>
      <c r="S89" s="209"/>
      <c r="T89" s="209"/>
      <c r="U89" s="209"/>
      <c r="V89" s="209"/>
      <c r="W89" s="209"/>
    </row>
    <row r="90" spans="1:27" s="458" customFormat="1" x14ac:dyDescent="0.45">
      <c r="A90" s="545"/>
      <c r="B90" s="651" t="s">
        <v>230</v>
      </c>
      <c r="C90" s="663">
        <v>0.03</v>
      </c>
      <c r="D90" s="1026" t="s">
        <v>22</v>
      </c>
      <c r="E90" s="1026"/>
      <c r="F90" s="1030">
        <v>0</v>
      </c>
      <c r="G90" s="460"/>
      <c r="H90" s="460"/>
      <c r="I90" s="460"/>
      <c r="J90" s="462"/>
      <c r="K90" s="462"/>
      <c r="L90" s="462"/>
      <c r="M90" s="230"/>
      <c r="N90" s="290"/>
      <c r="O90" s="290"/>
      <c r="P90" s="290"/>
      <c r="R90" s="473"/>
      <c r="S90" s="473"/>
      <c r="T90" s="473"/>
      <c r="U90" s="473"/>
      <c r="V90" s="473"/>
      <c r="W90" s="473"/>
    </row>
    <row r="91" spans="1:27" x14ac:dyDescent="0.45">
      <c r="A91" s="545"/>
      <c r="B91" s="651"/>
      <c r="C91" s="663" t="s">
        <v>64</v>
      </c>
      <c r="D91" s="1027" t="s">
        <v>175</v>
      </c>
      <c r="E91" s="663"/>
      <c r="F91" s="663" t="s">
        <v>387</v>
      </c>
      <c r="G91" s="123"/>
      <c r="H91" s="123"/>
      <c r="I91" s="123"/>
      <c r="J91" s="124"/>
      <c r="K91" s="124"/>
      <c r="L91" s="124"/>
      <c r="M91" s="121"/>
      <c r="N91" s="177"/>
      <c r="O91" s="177"/>
      <c r="P91" s="177"/>
      <c r="R91" s="473"/>
      <c r="S91" s="209"/>
      <c r="T91" s="209"/>
      <c r="U91" s="209"/>
      <c r="V91" s="209"/>
      <c r="W91" s="209"/>
    </row>
    <row r="92" spans="1:27" x14ac:dyDescent="0.45">
      <c r="A92" s="545"/>
      <c r="B92" s="651" t="s">
        <v>90</v>
      </c>
      <c r="C92" s="716">
        <f>IF(F90=1,F92,D82*C75*C89+E82*C79*C90)</f>
        <v>3484302.15</v>
      </c>
      <c r="D92" s="1028">
        <f>C92/($C$74*1000000)</f>
        <v>8.8144636582136605E-3</v>
      </c>
      <c r="E92" s="663"/>
      <c r="F92" s="1031">
        <v>3484302.15</v>
      </c>
      <c r="G92" s="213"/>
      <c r="H92" s="213"/>
      <c r="I92" s="123"/>
      <c r="J92" s="124"/>
      <c r="K92" s="124"/>
      <c r="L92" s="124"/>
      <c r="M92" s="121"/>
      <c r="N92" s="177"/>
      <c r="O92" s="177"/>
      <c r="P92" s="177"/>
      <c r="R92" s="298"/>
      <c r="S92" s="209"/>
      <c r="V92" s="209"/>
      <c r="W92" s="234"/>
    </row>
    <row r="93" spans="1:27" s="458" customFormat="1" x14ac:dyDescent="0.45">
      <c r="A93" s="545"/>
      <c r="B93" s="651" t="s">
        <v>30</v>
      </c>
      <c r="C93" s="716">
        <f>IF(F90=1,F93,D83*C76*C89+E83*C79*C90)</f>
        <v>4206354.3000000007</v>
      </c>
      <c r="D93" s="1028">
        <f>C93/($C$74*1000000)</f>
        <v>1.0641085507156939E-2</v>
      </c>
      <c r="E93" s="663"/>
      <c r="F93" s="1031">
        <v>4206354.3000000007</v>
      </c>
      <c r="G93" s="365"/>
      <c r="H93" s="365"/>
      <c r="I93" s="460"/>
      <c r="J93" s="462"/>
      <c r="K93" s="462"/>
      <c r="L93" s="462"/>
      <c r="M93" s="230"/>
      <c r="N93" s="290"/>
      <c r="O93" s="290"/>
      <c r="P93" s="290"/>
      <c r="R93" s="298"/>
      <c r="S93" s="473"/>
      <c r="V93" s="473"/>
      <c r="W93" s="234"/>
    </row>
    <row r="94" spans="1:27" x14ac:dyDescent="0.45">
      <c r="A94" s="545"/>
      <c r="B94" s="651" t="s">
        <v>31</v>
      </c>
      <c r="C94" s="716">
        <f>IF(F90=1,F94,D84*C77*C89+E84*C79*C90)</f>
        <v>5955521.4900000002</v>
      </c>
      <c r="D94" s="1028">
        <f>C94/($C$74*1000000)</f>
        <v>1.5066066454459315E-2</v>
      </c>
      <c r="E94" s="663"/>
      <c r="F94" s="1031">
        <v>5955521.4900000002</v>
      </c>
      <c r="G94" s="123"/>
      <c r="H94" s="123"/>
      <c r="I94" s="123"/>
      <c r="J94" s="124"/>
      <c r="K94" s="124"/>
      <c r="L94" s="124"/>
      <c r="M94" s="121"/>
      <c r="N94" s="177"/>
      <c r="O94" s="177"/>
      <c r="P94" s="177"/>
      <c r="R94" s="822"/>
      <c r="S94" s="209"/>
      <c r="V94" s="473"/>
      <c r="W94" s="234"/>
      <c r="Y94" s="458"/>
      <c r="Z94" s="458"/>
      <c r="AA94" s="212"/>
    </row>
    <row r="95" spans="1:27" x14ac:dyDescent="0.45">
      <c r="A95" s="545"/>
      <c r="B95" s="651" t="s">
        <v>32</v>
      </c>
      <c r="C95" s="716">
        <f>IF(F90=1,F95,D85*C78*C89+E85*C79*C90)</f>
        <v>2550661.6500000004</v>
      </c>
      <c r="D95" s="1028">
        <f>C95/($C$74*1000000)</f>
        <v>6.4525731266802718E-3</v>
      </c>
      <c r="E95" s="663"/>
      <c r="F95" s="1031">
        <v>2550661.6500000004</v>
      </c>
      <c r="G95" s="123"/>
      <c r="H95" s="123"/>
      <c r="I95" s="123"/>
      <c r="J95" s="124"/>
      <c r="K95" s="124"/>
      <c r="L95" s="124"/>
      <c r="M95" s="121"/>
      <c r="N95" s="177"/>
      <c r="O95" s="177"/>
      <c r="P95" s="177"/>
      <c r="R95" s="298"/>
      <c r="S95" s="209"/>
      <c r="V95" s="473"/>
      <c r="W95" s="234"/>
      <c r="Y95" s="458"/>
      <c r="Z95" s="458"/>
      <c r="AA95" s="212"/>
    </row>
    <row r="96" spans="1:27" x14ac:dyDescent="0.45">
      <c r="A96" s="545"/>
      <c r="B96" s="717"/>
      <c r="C96" s="718" t="s">
        <v>176</v>
      </c>
      <c r="D96" s="1029">
        <f>SUM(D92:D95)</f>
        <v>4.0974188746510189E-2</v>
      </c>
      <c r="E96" s="1032"/>
      <c r="F96" s="1033"/>
      <c r="G96" s="123"/>
      <c r="H96" s="123"/>
      <c r="I96" s="123"/>
      <c r="J96" s="124"/>
      <c r="K96" s="124"/>
      <c r="L96" s="124"/>
      <c r="M96" s="121"/>
      <c r="N96" s="177"/>
      <c r="O96" s="177"/>
      <c r="P96" s="177"/>
      <c r="R96" s="535"/>
      <c r="S96" s="540"/>
      <c r="V96" s="473"/>
      <c r="W96" s="234"/>
      <c r="Y96" s="458"/>
      <c r="Z96" s="458"/>
    </row>
    <row r="97" spans="1:26" x14ac:dyDescent="0.45">
      <c r="A97" s="545"/>
      <c r="B97" s="123"/>
      <c r="C97" s="123"/>
      <c r="D97" s="123"/>
      <c r="E97" s="123"/>
      <c r="F97" s="123"/>
      <c r="G97" s="123"/>
      <c r="H97" s="123"/>
      <c r="I97" s="123"/>
      <c r="J97" s="124"/>
      <c r="K97" s="124"/>
      <c r="L97" s="124"/>
      <c r="M97" s="121"/>
      <c r="N97" s="177"/>
      <c r="O97" s="177"/>
      <c r="P97" s="177"/>
      <c r="R97" s="535"/>
      <c r="S97" s="631"/>
      <c r="V97" s="473"/>
      <c r="W97" s="234"/>
      <c r="Y97" s="458"/>
      <c r="Z97" s="458"/>
    </row>
    <row r="98" spans="1:26" x14ac:dyDescent="0.45">
      <c r="A98" s="545"/>
      <c r="B98" s="470" t="s">
        <v>25</v>
      </c>
      <c r="C98" s="471"/>
      <c r="D98" s="488"/>
      <c r="E98" s="488"/>
      <c r="F98" s="488"/>
      <c r="G98" s="494"/>
      <c r="H98" s="488"/>
      <c r="I98" s="472"/>
      <c r="R98" s="535"/>
      <c r="S98" s="631"/>
      <c r="V98" s="473"/>
      <c r="W98" s="234"/>
      <c r="Y98" s="458"/>
      <c r="Z98" s="458"/>
    </row>
    <row r="99" spans="1:26" s="458" customFormat="1" x14ac:dyDescent="0.45">
      <c r="A99" s="545"/>
      <c r="B99" s="467"/>
      <c r="C99" s="477" t="s">
        <v>210</v>
      </c>
      <c r="D99" s="466" t="s">
        <v>194</v>
      </c>
      <c r="E99" s="466" t="s">
        <v>195</v>
      </c>
      <c r="F99" s="586" t="s">
        <v>327</v>
      </c>
      <c r="G99" s="495" t="s">
        <v>200</v>
      </c>
      <c r="H99" s="466" t="s">
        <v>201</v>
      </c>
      <c r="I99" s="469" t="s">
        <v>202</v>
      </c>
      <c r="R99" s="535"/>
      <c r="S99" s="209"/>
      <c r="V99" s="473"/>
      <c r="W99" s="234"/>
    </row>
    <row r="100" spans="1:26" s="458" customFormat="1" x14ac:dyDescent="0.45">
      <c r="A100" s="545"/>
      <c r="B100" s="467" t="s">
        <v>90</v>
      </c>
      <c r="C100" s="532">
        <f>70</f>
        <v>70</v>
      </c>
      <c r="D100" s="532">
        <v>16</v>
      </c>
      <c r="E100" s="532">
        <f>0.05*(C100+D100)</f>
        <v>4.3</v>
      </c>
      <c r="F100" s="477">
        <f>C100*$C$12*$C$15+D100*$C$13*$C$15+E100*$C$14*$C$15</f>
        <v>1937.177825</v>
      </c>
      <c r="G100" s="475">
        <f>F100/$C$73</f>
        <v>4.2929287229733666E-2</v>
      </c>
      <c r="H100" s="468">
        <f>SUM(C100:E100)/$C$74</f>
        <v>0.2284377284377285</v>
      </c>
      <c r="I100" s="496">
        <f>SUM(C100:E100)*4/$C$74</f>
        <v>0.913750913750914</v>
      </c>
      <c r="L100" s="540"/>
      <c r="M100" s="540"/>
      <c r="R100" s="535"/>
      <c r="S100" s="209"/>
      <c r="V100" s="473"/>
      <c r="W100" s="234"/>
    </row>
    <row r="101" spans="1:26" s="458" customFormat="1" x14ac:dyDescent="0.45">
      <c r="A101" s="545"/>
      <c r="B101" s="467" t="s">
        <v>30</v>
      </c>
      <c r="C101" s="532">
        <f>39</f>
        <v>39</v>
      </c>
      <c r="D101" s="532">
        <v>8</v>
      </c>
      <c r="E101" s="532">
        <f>0.05*(C101+D101)</f>
        <v>2.35</v>
      </c>
      <c r="F101" s="477">
        <f>C101*$C$12*$C$15+D101*$C$13*$C$15+E101*$C$14*$C$15</f>
        <v>1052.6654625000001</v>
      </c>
      <c r="G101" s="475">
        <f>F101/$C$73</f>
        <v>2.3327841880743671E-2</v>
      </c>
      <c r="H101" s="468">
        <f>SUM(C101:E101)/$C$74</f>
        <v>0.12484387484387488</v>
      </c>
      <c r="I101" s="496">
        <f>SUM(C101:E101)*4/$C$74</f>
        <v>0.49937549937549952</v>
      </c>
      <c r="K101" s="540"/>
      <c r="L101" s="540"/>
      <c r="M101" s="540"/>
      <c r="R101" s="298"/>
      <c r="S101" s="473"/>
      <c r="V101" s="473"/>
    </row>
    <row r="102" spans="1:26" s="458" customFormat="1" x14ac:dyDescent="0.45">
      <c r="A102" s="545"/>
      <c r="B102" s="467" t="s">
        <v>31</v>
      </c>
      <c r="C102" s="532">
        <f>62/2</f>
        <v>31</v>
      </c>
      <c r="D102" s="532">
        <v>16</v>
      </c>
      <c r="E102" s="532">
        <f>0.05*(C102+D102)</f>
        <v>2.35</v>
      </c>
      <c r="F102" s="477">
        <f>C102*$C$12*$C$15+D102*$C$13*$C$15+E102*$C$14*$C$15</f>
        <v>1117.4314625</v>
      </c>
      <c r="G102" s="475">
        <f>F102/$C$73</f>
        <v>2.4763104137434495E-2</v>
      </c>
      <c r="H102" s="468">
        <f>SUM(C102:E102)/$C$74</f>
        <v>0.12484387484387488</v>
      </c>
      <c r="I102" s="496">
        <f>SUM(C102:E102)*4/$C$74</f>
        <v>0.49937549937549952</v>
      </c>
      <c r="L102" s="540"/>
      <c r="M102" s="540"/>
      <c r="R102" s="535"/>
      <c r="S102" s="540"/>
      <c r="V102" s="209"/>
      <c r="W102" s="209"/>
      <c r="X102" s="210"/>
      <c r="Y102" s="210"/>
      <c r="Z102" s="210"/>
    </row>
    <row r="103" spans="1:26" s="458" customFormat="1" x14ac:dyDescent="0.45">
      <c r="A103" s="545"/>
      <c r="B103" s="467" t="s">
        <v>32</v>
      </c>
      <c r="C103" s="532">
        <f>58/2</f>
        <v>29</v>
      </c>
      <c r="D103" s="532">
        <v>16</v>
      </c>
      <c r="E103" s="532">
        <f>0.05*(C103+D103)</f>
        <v>2.25</v>
      </c>
      <c r="F103" s="477">
        <f>C103*$C$12*$C$15+D103*$C$13*$C$15+E103*$C$14*$C$15</f>
        <v>1075.3931874999998</v>
      </c>
      <c r="G103" s="475">
        <f>F103/$C$73</f>
        <v>2.3831505004496076E-2</v>
      </c>
      <c r="H103" s="468">
        <f>SUM(C103:E103)/$C$74</f>
        <v>0.11953136953136956</v>
      </c>
      <c r="I103" s="496">
        <f>SUM(C103:E103)*4/$C$74</f>
        <v>0.47812547812547823</v>
      </c>
      <c r="L103" s="540"/>
      <c r="M103" s="540"/>
      <c r="R103" s="535"/>
      <c r="S103" s="473"/>
      <c r="W103" s="234"/>
      <c r="Z103" s="210"/>
    </row>
    <row r="104" spans="1:26" s="458" customFormat="1" x14ac:dyDescent="0.45">
      <c r="A104" s="545"/>
      <c r="B104" s="489" t="s">
        <v>3</v>
      </c>
      <c r="C104" s="490">
        <f>SUM(C100:C103)</f>
        <v>169</v>
      </c>
      <c r="D104" s="490">
        <f t="shared" ref="D104:I104" si="3">SUM(D100:D103)</f>
        <v>56</v>
      </c>
      <c r="E104" s="490">
        <f t="shared" si="3"/>
        <v>11.25</v>
      </c>
      <c r="F104" s="491">
        <f t="shared" si="3"/>
        <v>5182.6679374999994</v>
      </c>
      <c r="G104" s="476">
        <f>SUM(G100:G103)</f>
        <v>0.11485173825240791</v>
      </c>
      <c r="H104" s="492">
        <f t="shared" si="3"/>
        <v>0.59765684765684779</v>
      </c>
      <c r="I104" s="493">
        <f t="shared" si="3"/>
        <v>2.3906273906273912</v>
      </c>
      <c r="R104" s="535"/>
      <c r="S104" s="473"/>
      <c r="V104" s="473"/>
      <c r="W104" s="234"/>
      <c r="Z104" s="210"/>
    </row>
    <row r="105" spans="1:26" s="458" customFormat="1" x14ac:dyDescent="0.45">
      <c r="A105" s="545"/>
      <c r="B105" s="462"/>
      <c r="C105" s="290"/>
      <c r="D105" s="290"/>
      <c r="E105" s="290"/>
      <c r="F105" s="501"/>
      <c r="G105" s="295"/>
      <c r="H105" s="502"/>
      <c r="I105" s="502"/>
      <c r="R105" s="535"/>
      <c r="S105" s="473"/>
      <c r="V105" s="209"/>
      <c r="W105" s="209"/>
      <c r="X105" s="210"/>
      <c r="Y105" s="210"/>
      <c r="Z105" s="210"/>
    </row>
    <row r="106" spans="1:26" s="458" customFormat="1" x14ac:dyDescent="0.45">
      <c r="A106" s="545"/>
      <c r="B106" s="926" t="s">
        <v>207</v>
      </c>
      <c r="C106" s="927"/>
      <c r="D106" s="928"/>
      <c r="E106" s="290"/>
      <c r="F106" s="501"/>
      <c r="G106" s="295"/>
      <c r="H106" s="502"/>
      <c r="I106" s="502"/>
      <c r="R106" s="535"/>
      <c r="S106" s="473"/>
      <c r="V106" s="209"/>
      <c r="W106" s="209"/>
      <c r="X106" s="210"/>
      <c r="Y106" s="210"/>
      <c r="Z106" s="210"/>
    </row>
    <row r="107" spans="1:26" s="458" customFormat="1" x14ac:dyDescent="0.45">
      <c r="A107" s="545"/>
      <c r="B107" s="930" t="s">
        <v>204</v>
      </c>
      <c r="C107" s="931">
        <v>625</v>
      </c>
      <c r="D107" s="928" t="s">
        <v>205</v>
      </c>
      <c r="E107" s="290"/>
      <c r="F107" s="501"/>
      <c r="G107" s="295"/>
      <c r="H107" s="502"/>
      <c r="I107" s="502"/>
      <c r="R107" s="298"/>
      <c r="S107" s="473"/>
      <c r="V107" s="209"/>
      <c r="W107" s="209"/>
      <c r="X107" s="210"/>
      <c r="Y107" s="210"/>
      <c r="Z107" s="210"/>
    </row>
    <row r="108" spans="1:26" s="458" customFormat="1" x14ac:dyDescent="0.45">
      <c r="A108" s="545"/>
      <c r="B108" s="672" t="s">
        <v>206</v>
      </c>
      <c r="C108" s="370">
        <f>0.7143*C107+953.57</f>
        <v>1400.0075000000002</v>
      </c>
      <c r="D108" s="683" t="s">
        <v>259</v>
      </c>
      <c r="E108" s="290"/>
      <c r="F108" s="501"/>
      <c r="G108" s="295"/>
      <c r="H108" s="502"/>
      <c r="I108" s="270"/>
      <c r="R108" s="535"/>
      <c r="S108" s="473"/>
      <c r="V108" s="209"/>
      <c r="W108" s="209"/>
      <c r="X108" s="210"/>
      <c r="Y108" s="210"/>
      <c r="Z108" s="210"/>
    </row>
    <row r="109" spans="1:26" s="458" customFormat="1" x14ac:dyDescent="0.45">
      <c r="A109" s="545"/>
      <c r="B109" s="672" t="s">
        <v>347</v>
      </c>
      <c r="C109" s="929">
        <f>C108/C107*C25/1000</f>
        <v>1.3266068333839764E-2</v>
      </c>
      <c r="D109" s="932" t="s">
        <v>138</v>
      </c>
      <c r="E109" s="290"/>
      <c r="G109" s="295"/>
      <c r="H109" s="502"/>
      <c r="I109" s="502"/>
      <c r="R109" s="298"/>
      <c r="S109" s="473"/>
      <c r="V109" s="209"/>
      <c r="W109" s="209"/>
      <c r="X109" s="209"/>
      <c r="Y109" s="210"/>
      <c r="Z109" s="210"/>
    </row>
    <row r="110" spans="1:26" s="540" customFormat="1" x14ac:dyDescent="0.45">
      <c r="A110" s="545"/>
      <c r="B110" s="672" t="s">
        <v>339</v>
      </c>
      <c r="C110" s="669">
        <f>$C$148*$C$149*$C$150</f>
        <v>0.94594500000000004</v>
      </c>
      <c r="D110" s="683" t="s">
        <v>22</v>
      </c>
      <c r="E110" s="703"/>
      <c r="G110" s="740"/>
      <c r="H110" s="502"/>
      <c r="I110" s="502"/>
      <c r="R110" s="298"/>
      <c r="S110" s="631"/>
      <c r="V110" s="631"/>
      <c r="W110" s="631"/>
      <c r="X110" s="631"/>
    </row>
    <row r="111" spans="1:26" s="540" customFormat="1" x14ac:dyDescent="0.45">
      <c r="A111" s="545"/>
      <c r="B111" s="925" t="s">
        <v>206</v>
      </c>
      <c r="C111" s="503">
        <f>C109/C110</f>
        <v>1.4024143405631155E-2</v>
      </c>
      <c r="D111" s="738" t="s">
        <v>138</v>
      </c>
      <c r="E111" s="703"/>
      <c r="G111" s="740"/>
      <c r="H111" s="502"/>
      <c r="I111" s="502"/>
      <c r="R111" s="298"/>
      <c r="S111" s="631"/>
      <c r="V111" s="631"/>
      <c r="W111" s="631"/>
      <c r="X111" s="631"/>
    </row>
    <row r="112" spans="1:26" s="458" customFormat="1" x14ac:dyDescent="0.45">
      <c r="A112" s="545"/>
      <c r="E112" s="290"/>
      <c r="F112" s="501"/>
      <c r="G112" s="295"/>
      <c r="H112" s="502"/>
      <c r="I112" s="502"/>
      <c r="R112" s="535"/>
      <c r="S112" s="473"/>
      <c r="V112" s="209"/>
      <c r="W112" s="209"/>
      <c r="X112" s="209"/>
      <c r="Y112" s="210"/>
      <c r="Z112" s="210"/>
    </row>
    <row r="113" spans="1:40" s="458" customFormat="1" x14ac:dyDescent="0.45">
      <c r="A113" s="545"/>
      <c r="B113" s="366" t="s">
        <v>208</v>
      </c>
      <c r="C113" s="367"/>
      <c r="D113" s="368"/>
      <c r="E113" s="290"/>
      <c r="F113" s="501"/>
      <c r="G113" s="295"/>
      <c r="H113" s="502"/>
      <c r="I113" s="502"/>
      <c r="R113" s="298"/>
      <c r="S113" s="473"/>
      <c r="V113" s="209"/>
      <c r="W113" s="209"/>
      <c r="X113" s="209"/>
      <c r="Y113" s="210"/>
      <c r="Z113" s="210"/>
    </row>
    <row r="114" spans="1:40" s="458" customFormat="1" x14ac:dyDescent="0.45">
      <c r="A114" s="545"/>
      <c r="B114" s="505" t="s">
        <v>212</v>
      </c>
      <c r="C114" s="367">
        <v>0.9</v>
      </c>
      <c r="D114" s="368" t="s">
        <v>211</v>
      </c>
      <c r="E114" s="290"/>
      <c r="F114" s="501"/>
      <c r="G114" s="740"/>
      <c r="H114" s="639"/>
      <c r="I114" s="502"/>
      <c r="R114" s="230"/>
      <c r="S114" s="473"/>
      <c r="T114" s="298"/>
      <c r="U114" s="209"/>
      <c r="V114" s="209"/>
      <c r="W114" s="209"/>
      <c r="X114" s="209"/>
      <c r="Y114" s="210"/>
      <c r="Z114" s="210"/>
    </row>
    <row r="115" spans="1:40" s="458" customFormat="1" x14ac:dyDescent="0.45">
      <c r="A115" s="545"/>
      <c r="B115" s="506" t="s">
        <v>213</v>
      </c>
      <c r="C115" s="369">
        <v>12</v>
      </c>
      <c r="D115" s="595" t="s">
        <v>214</v>
      </c>
      <c r="E115" s="290"/>
      <c r="F115" s="501"/>
      <c r="G115" s="740"/>
      <c r="H115" s="639"/>
      <c r="I115" s="502"/>
      <c r="R115" s="230"/>
      <c r="S115" s="209"/>
      <c r="T115" s="209"/>
      <c r="U115" s="209"/>
      <c r="V115" s="209"/>
      <c r="W115" s="209"/>
      <c r="X115" s="209"/>
      <c r="Y115" s="210"/>
      <c r="Z115" s="210"/>
    </row>
    <row r="116" spans="1:40" s="458" customFormat="1" x14ac:dyDescent="0.45">
      <c r="A116" s="545"/>
      <c r="B116" s="580" t="s">
        <v>216</v>
      </c>
      <c r="C116" s="369">
        <v>210</v>
      </c>
      <c r="D116" s="595" t="s">
        <v>215</v>
      </c>
      <c r="E116" s="290"/>
      <c r="F116" s="501"/>
      <c r="G116" s="295"/>
      <c r="H116" s="502"/>
      <c r="I116" s="502"/>
      <c r="R116" s="394"/>
      <c r="S116" s="473"/>
      <c r="T116" s="473"/>
      <c r="U116" s="473"/>
      <c r="V116" s="473"/>
      <c r="W116" s="473"/>
      <c r="X116" s="473"/>
    </row>
    <row r="117" spans="1:40" s="458" customFormat="1" x14ac:dyDescent="0.45">
      <c r="A117" s="545"/>
      <c r="B117" s="580" t="s">
        <v>222</v>
      </c>
      <c r="C117" s="369">
        <f>156*1000/C116/60</f>
        <v>12.380952380952381</v>
      </c>
      <c r="D117" s="595" t="s">
        <v>218</v>
      </c>
      <c r="E117" s="290"/>
      <c r="F117" s="740"/>
      <c r="G117" s="295"/>
      <c r="H117" s="502"/>
      <c r="I117" s="502"/>
      <c r="R117" s="462"/>
      <c r="S117" s="473"/>
      <c r="T117" s="473"/>
      <c r="U117" s="473"/>
      <c r="V117" s="473"/>
      <c r="W117" s="473"/>
    </row>
    <row r="118" spans="1:40" s="458" customFormat="1" x14ac:dyDescent="0.45">
      <c r="A118" s="545"/>
      <c r="B118" s="580" t="s">
        <v>225</v>
      </c>
      <c r="C118" s="369">
        <f>C115*C117*60*60/1000*C114</f>
        <v>481.37142857142874</v>
      </c>
      <c r="D118" s="595" t="s">
        <v>1</v>
      </c>
      <c r="E118" s="290"/>
      <c r="F118" s="501"/>
      <c r="G118" s="295"/>
      <c r="H118" s="502"/>
      <c r="I118" s="502"/>
      <c r="R118" s="473"/>
      <c r="S118" s="473"/>
      <c r="T118" s="473"/>
      <c r="U118" s="473"/>
      <c r="V118" s="473"/>
      <c r="W118" s="473"/>
    </row>
    <row r="119" spans="1:40" s="458" customFormat="1" x14ac:dyDescent="0.45">
      <c r="A119" s="545"/>
      <c r="B119" s="580" t="s">
        <v>219</v>
      </c>
      <c r="C119" s="369">
        <v>1.73</v>
      </c>
      <c r="D119" s="595" t="s">
        <v>217</v>
      </c>
      <c r="E119" s="290"/>
      <c r="F119" s="501"/>
      <c r="G119" s="295"/>
      <c r="H119" s="502"/>
      <c r="I119" s="502"/>
      <c r="R119" s="473"/>
      <c r="S119" s="473"/>
      <c r="T119" s="473"/>
      <c r="U119" s="473"/>
      <c r="V119" s="473"/>
      <c r="W119" s="473"/>
    </row>
    <row r="120" spans="1:40" s="458" customFormat="1" x14ac:dyDescent="0.45">
      <c r="A120" s="545"/>
      <c r="B120" s="580" t="s">
        <v>221</v>
      </c>
      <c r="C120" s="369">
        <v>130</v>
      </c>
      <c r="D120" s="595" t="s">
        <v>220</v>
      </c>
      <c r="E120" s="290"/>
      <c r="F120" s="501"/>
      <c r="G120" s="295"/>
      <c r="H120" s="502"/>
      <c r="I120" s="502"/>
      <c r="R120" s="473"/>
      <c r="S120" s="473"/>
      <c r="T120" s="473"/>
      <c r="U120" s="473"/>
      <c r="V120" s="473"/>
      <c r="W120" s="473"/>
    </row>
    <row r="121" spans="1:40" s="458" customFormat="1" x14ac:dyDescent="0.45">
      <c r="A121" s="545"/>
      <c r="B121" s="506" t="s">
        <v>223</v>
      </c>
      <c r="C121" s="946">
        <f>C119*1000000/(C120+C9)</f>
        <v>5580.6451612903229</v>
      </c>
      <c r="D121" s="947" t="s">
        <v>224</v>
      </c>
      <c r="E121" s="290"/>
      <c r="F121" s="501"/>
      <c r="G121" s="295"/>
      <c r="H121" s="502"/>
      <c r="I121" s="867"/>
      <c r="Z121" s="473"/>
      <c r="AA121" s="473"/>
      <c r="AB121" s="461"/>
      <c r="AC121" s="473"/>
      <c r="AD121" s="473"/>
      <c r="AE121" s="473"/>
      <c r="AF121" s="473"/>
      <c r="AG121" s="473"/>
      <c r="AH121" s="473"/>
      <c r="AI121" s="473"/>
      <c r="AJ121" s="473"/>
      <c r="AK121" s="473"/>
      <c r="AL121" s="473"/>
      <c r="AM121" s="473"/>
      <c r="AN121" s="473"/>
    </row>
    <row r="122" spans="1:40" s="458" customFormat="1" x14ac:dyDescent="0.45">
      <c r="A122" s="545"/>
      <c r="B122" s="580" t="s">
        <v>346</v>
      </c>
      <c r="C122" s="945">
        <f>C118/C121</f>
        <v>8.6257308009909189E-2</v>
      </c>
      <c r="D122" s="947" t="s">
        <v>226</v>
      </c>
      <c r="E122" s="290"/>
      <c r="F122" s="508"/>
      <c r="G122" s="295"/>
      <c r="H122" s="502"/>
      <c r="I122" s="502"/>
      <c r="Z122" s="473"/>
      <c r="AA122" s="473"/>
      <c r="AB122" s="461"/>
      <c r="AC122" s="473"/>
      <c r="AD122" s="473"/>
      <c r="AE122" s="473"/>
      <c r="AF122" s="473"/>
      <c r="AG122" s="473"/>
      <c r="AH122" s="473"/>
      <c r="AI122" s="473"/>
      <c r="AJ122" s="473"/>
      <c r="AK122" s="473"/>
      <c r="AL122" s="473"/>
      <c r="AM122" s="473"/>
      <c r="AN122" s="473"/>
    </row>
    <row r="123" spans="1:40" s="540" customFormat="1" x14ac:dyDescent="0.45">
      <c r="A123" s="545"/>
      <c r="B123" s="580" t="s">
        <v>339</v>
      </c>
      <c r="C123" s="578">
        <f>$C$148*$C$149*$C$150</f>
        <v>0.94594500000000004</v>
      </c>
      <c r="D123" s="595" t="s">
        <v>22</v>
      </c>
      <c r="E123" s="703"/>
      <c r="F123" s="508"/>
      <c r="G123" s="740"/>
      <c r="H123" s="502"/>
      <c r="I123" s="502"/>
      <c r="Z123" s="631"/>
      <c r="AA123" s="631"/>
      <c r="AB123" s="461"/>
      <c r="AC123" s="631"/>
      <c r="AD123" s="631"/>
      <c r="AE123" s="631"/>
      <c r="AF123" s="631"/>
      <c r="AG123" s="631"/>
      <c r="AH123" s="631"/>
      <c r="AI123" s="631"/>
      <c r="AJ123" s="631"/>
      <c r="AK123" s="631"/>
      <c r="AL123" s="631"/>
      <c r="AM123" s="631"/>
      <c r="AN123" s="631"/>
    </row>
    <row r="124" spans="1:40" s="540" customFormat="1" x14ac:dyDescent="0.45">
      <c r="A124" s="545"/>
      <c r="B124" s="504" t="s">
        <v>340</v>
      </c>
      <c r="C124" s="510">
        <f>C122/C123</f>
        <v>9.118638822543508E-2</v>
      </c>
      <c r="D124" s="507" t="s">
        <v>226</v>
      </c>
      <c r="E124" s="703"/>
      <c r="F124" s="508"/>
      <c r="G124" s="740"/>
      <c r="H124" s="502"/>
      <c r="I124" s="502"/>
      <c r="Z124" s="631"/>
      <c r="AA124" s="631"/>
      <c r="AB124" s="461"/>
      <c r="AC124" s="631"/>
      <c r="AD124" s="631"/>
      <c r="AE124" s="631"/>
      <c r="AF124" s="631"/>
      <c r="AG124" s="631"/>
      <c r="AH124" s="631"/>
      <c r="AI124" s="631"/>
      <c r="AJ124" s="631"/>
      <c r="AK124" s="631"/>
      <c r="AL124" s="631"/>
      <c r="AM124" s="631"/>
      <c r="AN124" s="631"/>
    </row>
    <row r="125" spans="1:40" s="458" customFormat="1" x14ac:dyDescent="0.45">
      <c r="A125" s="545"/>
      <c r="B125" s="511" t="s">
        <v>227</v>
      </c>
      <c r="C125" s="512">
        <f>C115*C117*60*60/C121</f>
        <v>95.841453344343535</v>
      </c>
      <c r="D125" s="513" t="s">
        <v>228</v>
      </c>
      <c r="E125" s="290"/>
      <c r="F125" s="501"/>
      <c r="H125" s="502"/>
      <c r="I125" s="502"/>
      <c r="Z125" s="473"/>
      <c r="AA125" s="473"/>
      <c r="AB125" s="461"/>
      <c r="AC125" s="473"/>
      <c r="AD125" s="473"/>
      <c r="AE125" s="473"/>
      <c r="AF125" s="473"/>
      <c r="AG125" s="473"/>
      <c r="AH125" s="473"/>
      <c r="AI125" s="473"/>
      <c r="AJ125" s="473"/>
      <c r="AK125" s="473"/>
      <c r="AL125" s="473"/>
      <c r="AM125" s="473"/>
      <c r="AN125" s="473"/>
    </row>
    <row r="126" spans="1:40" s="458" customFormat="1" x14ac:dyDescent="0.45">
      <c r="A126" s="545"/>
      <c r="E126" s="290"/>
      <c r="F126" s="501"/>
      <c r="G126" s="295"/>
      <c r="H126" s="502"/>
      <c r="I126" s="502"/>
      <c r="Z126" s="473"/>
      <c r="AA126" s="473"/>
      <c r="AB126" s="461"/>
      <c r="AC126" s="473"/>
      <c r="AD126" s="473"/>
      <c r="AE126" s="473"/>
      <c r="AF126" s="473"/>
      <c r="AG126" s="473"/>
      <c r="AH126" s="473"/>
      <c r="AI126" s="473"/>
      <c r="AJ126" s="473"/>
      <c r="AK126" s="473"/>
      <c r="AL126" s="473"/>
      <c r="AM126" s="473"/>
      <c r="AN126" s="473"/>
    </row>
    <row r="127" spans="1:40" s="458" customFormat="1" x14ac:dyDescent="0.45">
      <c r="A127" s="545"/>
      <c r="B127" s="938" t="s">
        <v>209</v>
      </c>
      <c r="C127" s="933"/>
      <c r="D127" s="934"/>
      <c r="E127" s="290"/>
      <c r="F127" s="501"/>
      <c r="G127" s="295"/>
      <c r="H127" s="502"/>
      <c r="I127" s="502"/>
      <c r="Z127" s="473"/>
      <c r="AA127" s="473"/>
      <c r="AB127" s="461"/>
      <c r="AC127" s="473"/>
      <c r="AD127" s="473"/>
      <c r="AE127" s="996"/>
      <c r="AF127" s="996"/>
      <c r="AG127" s="996"/>
      <c r="AH127" s="473"/>
      <c r="AI127" s="473"/>
      <c r="AJ127" s="473"/>
      <c r="AK127" s="473"/>
      <c r="AL127" s="473"/>
      <c r="AM127" s="473"/>
      <c r="AN127" s="473"/>
    </row>
    <row r="128" spans="1:40" s="540" customFormat="1" x14ac:dyDescent="0.45">
      <c r="A128" s="545"/>
      <c r="B128" s="939" t="s">
        <v>262</v>
      </c>
      <c r="C128" s="940">
        <v>0.13700000000000001</v>
      </c>
      <c r="D128" s="941" t="s">
        <v>260</v>
      </c>
      <c r="E128" s="703"/>
      <c r="F128" s="501"/>
      <c r="G128" s="740"/>
      <c r="H128" s="502"/>
      <c r="I128" s="502"/>
      <c r="Z128" s="631"/>
      <c r="AA128" s="631"/>
      <c r="AB128" s="461"/>
      <c r="AC128" s="631"/>
      <c r="AD128" s="631"/>
      <c r="AE128" s="996"/>
      <c r="AF128" s="1043"/>
      <c r="AG128" s="996"/>
      <c r="AH128" s="631"/>
      <c r="AI128" s="631"/>
      <c r="AJ128" s="631"/>
      <c r="AK128" s="631"/>
      <c r="AL128" s="631"/>
      <c r="AM128" s="631"/>
      <c r="AN128" s="631"/>
    </row>
    <row r="129" spans="1:40" s="540" customFormat="1" x14ac:dyDescent="0.45">
      <c r="A129" s="545"/>
      <c r="B129" s="824" t="s">
        <v>261</v>
      </c>
      <c r="C129" s="823">
        <v>0.9</v>
      </c>
      <c r="D129" s="825" t="s">
        <v>12</v>
      </c>
      <c r="E129" s="703"/>
      <c r="F129" s="501"/>
      <c r="G129" s="740"/>
      <c r="H129" s="502"/>
      <c r="I129" s="502"/>
      <c r="Z129" s="631"/>
      <c r="AA129" s="631"/>
      <c r="AB129" s="461"/>
      <c r="AC129" s="631"/>
      <c r="AD129" s="631"/>
      <c r="AE129" s="996"/>
      <c r="AF129" s="1043"/>
      <c r="AG129" s="996"/>
      <c r="AH129" s="631"/>
      <c r="AI129" s="631"/>
      <c r="AJ129" s="631"/>
      <c r="AK129" s="631"/>
      <c r="AL129" s="631"/>
      <c r="AM129" s="631"/>
      <c r="AN129" s="631"/>
    </row>
    <row r="130" spans="1:40" s="458" customFormat="1" x14ac:dyDescent="0.45">
      <c r="A130" s="545"/>
      <c r="B130" s="915" t="s">
        <v>346</v>
      </c>
      <c r="C130" s="823">
        <f>C128*C129</f>
        <v>0.12330000000000001</v>
      </c>
      <c r="D130" s="935" t="s">
        <v>226</v>
      </c>
      <c r="E130" s="290"/>
      <c r="F130" s="866"/>
      <c r="G130" s="534"/>
      <c r="H130" s="639"/>
      <c r="I130" s="502"/>
      <c r="Z130" s="473"/>
      <c r="AA130" s="473"/>
      <c r="AB130" s="461"/>
      <c r="AC130" s="473"/>
      <c r="AD130" s="473"/>
      <c r="AE130" s="996"/>
      <c r="AF130" s="1043"/>
      <c r="AG130" s="996"/>
      <c r="AH130" s="473"/>
      <c r="AI130" s="473"/>
      <c r="AJ130" s="473"/>
      <c r="AK130" s="473"/>
      <c r="AL130" s="473"/>
      <c r="AM130" s="473"/>
      <c r="AN130" s="473"/>
    </row>
    <row r="131" spans="1:40" s="540" customFormat="1" x14ac:dyDescent="0.45">
      <c r="A131" s="545"/>
      <c r="B131" s="915" t="s">
        <v>339</v>
      </c>
      <c r="C131" s="662">
        <f>$C$148*$C$149*$C$150</f>
        <v>0.94594500000000004</v>
      </c>
      <c r="D131" s="916" t="s">
        <v>22</v>
      </c>
      <c r="E131" s="703"/>
      <c r="F131" s="866"/>
      <c r="G131" s="534"/>
      <c r="H131" s="639"/>
      <c r="I131" s="502"/>
      <c r="Z131" s="631"/>
      <c r="AA131" s="631"/>
      <c r="AB131" s="461"/>
      <c r="AC131" s="631"/>
      <c r="AD131" s="631"/>
      <c r="AE131" s="996"/>
      <c r="AF131" s="1043"/>
      <c r="AG131" s="996"/>
      <c r="AH131" s="631"/>
      <c r="AI131" s="631"/>
      <c r="AJ131" s="631"/>
      <c r="AK131" s="631"/>
      <c r="AL131" s="631"/>
      <c r="AM131" s="631"/>
      <c r="AN131" s="631"/>
    </row>
    <row r="132" spans="1:40" s="540" customFormat="1" x14ac:dyDescent="0.45">
      <c r="A132" s="545"/>
      <c r="B132" s="680" t="s">
        <v>341</v>
      </c>
      <c r="C132" s="681">
        <f>C130/C131</f>
        <v>0.13034584463155893</v>
      </c>
      <c r="D132" s="682" t="s">
        <v>226</v>
      </c>
      <c r="E132" s="703"/>
      <c r="F132" s="866"/>
      <c r="G132" s="534"/>
      <c r="H132" s="639"/>
      <c r="I132" s="502"/>
      <c r="Z132" s="631"/>
      <c r="AA132" s="631"/>
      <c r="AB132" s="461"/>
      <c r="AC132" s="631"/>
      <c r="AD132" s="631"/>
      <c r="AE132" s="533"/>
      <c r="AF132" s="1043"/>
      <c r="AG132" s="996"/>
      <c r="AH132" s="631"/>
      <c r="AI132" s="631"/>
      <c r="AJ132" s="631"/>
      <c r="AK132" s="631"/>
      <c r="AL132" s="631"/>
      <c r="AM132" s="631"/>
      <c r="AN132" s="631"/>
    </row>
    <row r="133" spans="1:40" s="458" customFormat="1" x14ac:dyDescent="0.45">
      <c r="A133" s="545"/>
      <c r="E133" s="290"/>
      <c r="F133" s="703"/>
      <c r="G133" s="534"/>
      <c r="H133" s="639"/>
      <c r="I133" s="502"/>
      <c r="Z133" s="473"/>
      <c r="AA133" s="473"/>
      <c r="AB133" s="461"/>
      <c r="AC133" s="473"/>
      <c r="AD133" s="473"/>
      <c r="AE133" s="533"/>
      <c r="AF133" s="1043"/>
      <c r="AG133" s="996"/>
      <c r="AH133" s="473"/>
      <c r="AI133" s="473"/>
      <c r="AJ133" s="473"/>
      <c r="AK133" s="473"/>
      <c r="AL133" s="473"/>
      <c r="AM133" s="473"/>
      <c r="AN133" s="473"/>
    </row>
    <row r="134" spans="1:40" x14ac:dyDescent="0.45">
      <c r="A134" s="545"/>
      <c r="B134" s="599" t="s">
        <v>20</v>
      </c>
      <c r="C134" s="600"/>
      <c r="D134" s="978"/>
      <c r="E134" s="601"/>
      <c r="F134" s="995"/>
      <c r="G134" s="995"/>
      <c r="H134" s="540"/>
      <c r="Z134" s="209"/>
      <c r="AA134" s="209"/>
      <c r="AB134" s="209"/>
      <c r="AC134" s="209"/>
      <c r="AD134" s="209"/>
      <c r="AE134" s="533"/>
      <c r="AF134" s="1043"/>
      <c r="AG134" s="996"/>
      <c r="AH134" s="209"/>
      <c r="AI134" s="209"/>
      <c r="AJ134" s="209"/>
      <c r="AK134" s="209"/>
      <c r="AL134" s="209"/>
      <c r="AM134" s="209"/>
      <c r="AN134" s="209"/>
    </row>
    <row r="135" spans="1:40" x14ac:dyDescent="0.45">
      <c r="A135" s="545"/>
      <c r="B135" s="955" t="s">
        <v>62</v>
      </c>
      <c r="C135" s="937">
        <v>13.6</v>
      </c>
      <c r="D135" s="953" t="s">
        <v>0</v>
      </c>
      <c r="E135" s="598"/>
      <c r="F135" s="995"/>
      <c r="G135" s="995"/>
      <c r="Z135" s="209"/>
      <c r="AA135" s="209"/>
      <c r="AB135" s="209"/>
      <c r="AC135" s="209"/>
      <c r="AD135" s="209"/>
      <c r="AE135" s="1044"/>
      <c r="AF135" s="1043"/>
      <c r="AG135" s="996"/>
      <c r="AH135" s="209"/>
      <c r="AI135" s="209"/>
      <c r="AJ135" s="209"/>
      <c r="AK135" s="209"/>
      <c r="AL135" s="209"/>
      <c r="AM135" s="209"/>
      <c r="AN135" s="209"/>
    </row>
    <row r="136" spans="1:40" x14ac:dyDescent="0.45">
      <c r="A136" s="545"/>
      <c r="B136" s="576" t="s">
        <v>236</v>
      </c>
      <c r="C136" s="776">
        <v>25.9</v>
      </c>
      <c r="D136" s="585" t="s">
        <v>53</v>
      </c>
      <c r="E136" s="598"/>
      <c r="F136" s="995"/>
      <c r="G136" s="995"/>
      <c r="Z136" s="209"/>
      <c r="AA136" s="209"/>
      <c r="AB136" s="209"/>
      <c r="AC136" s="209"/>
      <c r="AD136" s="209"/>
      <c r="AE136" s="533"/>
      <c r="AF136" s="1043"/>
      <c r="AG136" s="996"/>
      <c r="AH136" s="209"/>
      <c r="AI136" s="209"/>
      <c r="AJ136" s="209"/>
      <c r="AK136" s="209"/>
      <c r="AL136" s="209"/>
      <c r="AM136" s="209"/>
      <c r="AN136" s="209"/>
    </row>
    <row r="137" spans="1:40" x14ac:dyDescent="0.45">
      <c r="A137" s="545"/>
      <c r="B137" s="576" t="s">
        <v>101</v>
      </c>
      <c r="C137" s="666">
        <v>0.2</v>
      </c>
      <c r="D137" s="585" t="s">
        <v>235</v>
      </c>
      <c r="E137" s="598"/>
      <c r="F137" s="639"/>
      <c r="G137" s="995"/>
      <c r="Z137" s="209"/>
      <c r="AA137" s="209"/>
      <c r="AB137" s="209"/>
      <c r="AC137" s="209"/>
      <c r="AD137" s="209"/>
      <c r="AE137" s="533"/>
      <c r="AF137" s="1043"/>
      <c r="AG137" s="996"/>
      <c r="AH137" s="209"/>
      <c r="AI137" s="209"/>
      <c r="AJ137" s="209"/>
      <c r="AK137" s="209"/>
      <c r="AL137" s="209"/>
      <c r="AM137" s="209"/>
      <c r="AN137" s="209"/>
    </row>
    <row r="138" spans="1:40" x14ac:dyDescent="0.45">
      <c r="A138" s="545"/>
      <c r="B138" s="576" t="s">
        <v>102</v>
      </c>
      <c r="C138" s="666">
        <v>0.34</v>
      </c>
      <c r="D138" s="585" t="s">
        <v>235</v>
      </c>
      <c r="E138" s="956"/>
      <c r="F138" s="995"/>
      <c r="G138" s="995"/>
      <c r="Z138" s="209"/>
      <c r="AA138" s="209"/>
      <c r="AB138" s="209"/>
      <c r="AC138" s="209"/>
      <c r="AD138" s="209"/>
      <c r="AE138" s="533"/>
      <c r="AF138" s="1043"/>
      <c r="AG138" s="996"/>
      <c r="AH138" s="209"/>
      <c r="AI138" s="209"/>
      <c r="AJ138" s="209"/>
      <c r="AK138" s="209"/>
      <c r="AL138" s="209"/>
      <c r="AM138" s="209"/>
      <c r="AN138" s="209"/>
    </row>
    <row r="139" spans="1:40" x14ac:dyDescent="0.45">
      <c r="A139" s="545"/>
      <c r="B139" s="576" t="s">
        <v>103</v>
      </c>
      <c r="C139" s="666">
        <v>0.05</v>
      </c>
      <c r="D139" s="585" t="s">
        <v>235</v>
      </c>
      <c r="E139" s="956"/>
      <c r="F139" s="995"/>
      <c r="G139" s="995"/>
      <c r="Z139" s="209"/>
      <c r="AA139" s="209"/>
      <c r="AB139" s="209"/>
      <c r="AC139" s="209"/>
      <c r="AD139" s="209"/>
      <c r="AE139" s="533"/>
      <c r="AF139" s="1043"/>
      <c r="AG139" s="996"/>
      <c r="AH139" s="209"/>
      <c r="AI139" s="209"/>
      <c r="AJ139" s="209"/>
      <c r="AK139" s="209"/>
      <c r="AL139" s="209"/>
      <c r="AM139" s="209"/>
      <c r="AN139" s="209"/>
    </row>
    <row r="140" spans="1:40" s="540" customFormat="1" x14ac:dyDescent="0.45">
      <c r="A140" s="545"/>
      <c r="B140" s="576"/>
      <c r="C140" s="585" t="s">
        <v>345</v>
      </c>
      <c r="D140" s="585" t="s">
        <v>342</v>
      </c>
      <c r="E140" s="687" t="s">
        <v>171</v>
      </c>
      <c r="F140" s="995"/>
      <c r="G140" s="995"/>
      <c r="Z140" s="631"/>
      <c r="AA140" s="631"/>
      <c r="AB140" s="631"/>
      <c r="AC140" s="631"/>
      <c r="AD140" s="631"/>
      <c r="AE140" s="533"/>
      <c r="AF140" s="1043"/>
      <c r="AG140" s="996"/>
      <c r="AH140" s="631"/>
      <c r="AI140" s="631"/>
      <c r="AJ140" s="631"/>
      <c r="AK140" s="631"/>
      <c r="AL140" s="631"/>
      <c r="AM140" s="631"/>
      <c r="AN140" s="631"/>
    </row>
    <row r="141" spans="1:40" s="458" customFormat="1" x14ac:dyDescent="0.45">
      <c r="A141" s="545"/>
      <c r="B141" s="686" t="s">
        <v>281</v>
      </c>
      <c r="C141" s="951">
        <f>C136*C25/1000*C16</f>
        <v>1.0568439634439635E-2</v>
      </c>
      <c r="D141" s="951">
        <f>$C$148*$C$149*$C$150</f>
        <v>0.94594500000000004</v>
      </c>
      <c r="E141" s="948">
        <f>C141/D141</f>
        <v>1.1172361643054971E-2</v>
      </c>
      <c r="F141" s="995"/>
      <c r="G141" s="995"/>
      <c r="Z141" s="473"/>
      <c r="AA141" s="473"/>
      <c r="AB141" s="473"/>
      <c r="AC141" s="473"/>
      <c r="AD141" s="473"/>
      <c r="AE141" s="1044"/>
      <c r="AF141" s="1043"/>
      <c r="AG141" s="996"/>
      <c r="AH141" s="473"/>
      <c r="AI141" s="473"/>
      <c r="AJ141" s="473"/>
      <c r="AK141" s="473"/>
      <c r="AL141" s="473"/>
      <c r="AM141" s="473"/>
      <c r="AN141" s="473"/>
    </row>
    <row r="142" spans="1:40" x14ac:dyDescent="0.45">
      <c r="A142" s="545"/>
      <c r="B142" s="686" t="s">
        <v>54</v>
      </c>
      <c r="C142" s="951">
        <f>C16*C137*(C135/C8)</f>
        <v>1.2662702702702703E-2</v>
      </c>
      <c r="D142" s="951">
        <f>$C$148*$C$149*$C$150</f>
        <v>0.94594500000000004</v>
      </c>
      <c r="E142" s="948">
        <f>C142/D142</f>
        <v>1.3386299100584814E-2</v>
      </c>
      <c r="F142" s="995"/>
      <c r="G142" s="995"/>
      <c r="Z142" s="209"/>
      <c r="AA142" s="209"/>
      <c r="AB142" s="209"/>
      <c r="AC142" s="209"/>
      <c r="AD142" s="209"/>
      <c r="AE142" s="533"/>
      <c r="AF142" s="1043"/>
      <c r="AI142" s="209"/>
      <c r="AJ142" s="209"/>
      <c r="AK142" s="209"/>
      <c r="AL142" s="209"/>
      <c r="AM142" s="209"/>
      <c r="AN142" s="209"/>
    </row>
    <row r="143" spans="1:40" x14ac:dyDescent="0.45">
      <c r="A143" s="545"/>
      <c r="B143" s="686" t="s">
        <v>56</v>
      </c>
      <c r="C143" s="951">
        <f>C16*C138*(C135/C8)</f>
        <v>2.1526594594594595E-2</v>
      </c>
      <c r="D143" s="951">
        <f>$C$149*$C$150</f>
        <v>0.97019999999999995</v>
      </c>
      <c r="E143" s="948">
        <f>C143/D143</f>
        <v>2.2187790759219332E-2</v>
      </c>
      <c r="F143" s="995"/>
      <c r="G143" s="995"/>
      <c r="Z143" s="209"/>
      <c r="AA143" s="209"/>
      <c r="AB143" s="209"/>
      <c r="AC143" s="209"/>
      <c r="AD143" s="209"/>
      <c r="AE143" s="533"/>
      <c r="AF143" s="1043"/>
      <c r="AI143" s="209"/>
      <c r="AJ143" s="209"/>
      <c r="AK143" s="209"/>
      <c r="AL143" s="209"/>
      <c r="AM143" s="209"/>
      <c r="AN143" s="209"/>
    </row>
    <row r="144" spans="1:40" x14ac:dyDescent="0.45">
      <c r="A144" s="545"/>
      <c r="B144" s="686" t="s">
        <v>65</v>
      </c>
      <c r="C144" s="951">
        <f>C16*C139*(C135/C8)</f>
        <v>3.1656756756756757E-3</v>
      </c>
      <c r="D144" s="951">
        <f>$C$150</f>
        <v>0.99</v>
      </c>
      <c r="E144" s="948">
        <f>C144/D144</f>
        <v>3.1976521976521976E-3</v>
      </c>
      <c r="F144" s="995"/>
      <c r="G144" s="995"/>
      <c r="AA144" s="209"/>
      <c r="AB144" s="209"/>
      <c r="AC144" s="209"/>
      <c r="AD144" s="209"/>
      <c r="AE144" s="533"/>
      <c r="AF144" s="1043"/>
      <c r="AI144" s="209"/>
      <c r="AJ144" s="209"/>
      <c r="AK144" s="209"/>
      <c r="AL144" s="209"/>
      <c r="AM144" s="209"/>
      <c r="AN144" s="209"/>
    </row>
    <row r="145" spans="1:40" x14ac:dyDescent="0.45">
      <c r="A145" s="545"/>
      <c r="B145" s="632" t="s">
        <v>55</v>
      </c>
      <c r="C145" s="952"/>
      <c r="D145" s="954"/>
      <c r="E145" s="982">
        <f>SUM(E141:E144)</f>
        <v>4.9944103700511312E-2</v>
      </c>
      <c r="F145" s="995"/>
      <c r="G145" s="995"/>
      <c r="AA145" s="209"/>
      <c r="AB145" s="209"/>
      <c r="AC145" s="209"/>
      <c r="AD145" s="209"/>
      <c r="AE145" s="996"/>
      <c r="AF145" s="1043"/>
      <c r="AI145" s="209"/>
      <c r="AJ145" s="209"/>
      <c r="AK145" s="209"/>
      <c r="AL145" s="209"/>
      <c r="AM145" s="209"/>
      <c r="AN145" s="209"/>
    </row>
    <row r="146" spans="1:40" x14ac:dyDescent="0.45">
      <c r="A146" s="545"/>
      <c r="E146" s="949"/>
      <c r="F146" s="212"/>
      <c r="AA146" s="209"/>
      <c r="AB146" s="209"/>
      <c r="AC146" s="209"/>
      <c r="AD146" s="209"/>
      <c r="AE146" s="533"/>
      <c r="AF146" s="1043"/>
      <c r="AG146" s="996"/>
      <c r="AH146" s="209"/>
      <c r="AI146" s="209"/>
      <c r="AJ146" s="209"/>
      <c r="AK146" s="209"/>
      <c r="AL146" s="209"/>
      <c r="AM146" s="209"/>
      <c r="AN146" s="209"/>
    </row>
    <row r="147" spans="1:40" x14ac:dyDescent="0.45">
      <c r="A147" s="545"/>
      <c r="B147" s="612" t="s">
        <v>26</v>
      </c>
      <c r="C147" s="150"/>
      <c r="D147" s="151"/>
      <c r="E147" s="950"/>
      <c r="F147" s="550"/>
      <c r="AA147" s="209"/>
      <c r="AB147" s="209"/>
      <c r="AC147" s="209"/>
      <c r="AD147" s="209"/>
      <c r="AE147" s="1044"/>
      <c r="AF147" s="1043"/>
      <c r="AG147" s="996"/>
      <c r="AH147" s="209"/>
      <c r="AI147" s="209"/>
      <c r="AJ147" s="209"/>
      <c r="AK147" s="209"/>
      <c r="AL147" s="209"/>
      <c r="AM147" s="209"/>
      <c r="AN147" s="209"/>
    </row>
    <row r="148" spans="1:40" x14ac:dyDescent="0.45">
      <c r="A148" s="545"/>
      <c r="B148" s="968" t="s">
        <v>58</v>
      </c>
      <c r="C148" s="983">
        <f>0.975/1</f>
        <v>0.97499999999999998</v>
      </c>
      <c r="D148" s="984" t="s">
        <v>22</v>
      </c>
      <c r="F148" s="548"/>
      <c r="AA148" s="209"/>
      <c r="AB148" s="209"/>
      <c r="AC148" s="209"/>
      <c r="AD148" s="209"/>
      <c r="AE148" s="996"/>
      <c r="AF148" s="996"/>
      <c r="AG148" s="996"/>
      <c r="AH148" s="209"/>
      <c r="AI148" s="209"/>
      <c r="AJ148" s="209"/>
      <c r="AK148" s="209"/>
      <c r="AL148" s="209"/>
      <c r="AM148" s="209"/>
      <c r="AN148" s="209"/>
    </row>
    <row r="149" spans="1:40" x14ac:dyDescent="0.45">
      <c r="A149" s="545"/>
      <c r="B149" s="591" t="s">
        <v>59</v>
      </c>
      <c r="C149" s="611">
        <f>0.98/1</f>
        <v>0.98</v>
      </c>
      <c r="D149" s="610" t="s">
        <v>22</v>
      </c>
      <c r="F149" s="548"/>
      <c r="AA149" s="209"/>
      <c r="AB149" s="209"/>
      <c r="AC149" s="209"/>
      <c r="AD149" s="209"/>
      <c r="AG149" s="209"/>
      <c r="AH149" s="209"/>
      <c r="AI149" s="209"/>
      <c r="AJ149" s="209"/>
      <c r="AK149" s="209"/>
      <c r="AL149" s="209"/>
      <c r="AM149" s="209"/>
      <c r="AN149" s="209"/>
    </row>
    <row r="150" spans="1:40" x14ac:dyDescent="0.45">
      <c r="A150" s="545"/>
      <c r="B150" s="591" t="s">
        <v>60</v>
      </c>
      <c r="C150" s="611">
        <f>0.99/1</f>
        <v>0.99</v>
      </c>
      <c r="D150" s="610" t="s">
        <v>22</v>
      </c>
      <c r="F150" s="548"/>
      <c r="AA150" s="209"/>
      <c r="AB150" s="209"/>
      <c r="AC150" s="209"/>
      <c r="AD150" s="209"/>
      <c r="AG150" s="996"/>
      <c r="AH150" s="209"/>
      <c r="AI150" s="209"/>
      <c r="AJ150" s="209"/>
      <c r="AK150" s="209"/>
      <c r="AL150" s="209"/>
      <c r="AM150" s="209"/>
      <c r="AN150" s="209"/>
    </row>
    <row r="151" spans="1:40" s="458" customFormat="1" x14ac:dyDescent="0.45">
      <c r="A151" s="545"/>
      <c r="B151" s="985" t="s">
        <v>192</v>
      </c>
      <c r="C151" s="986">
        <f>C148*C149*C150</f>
        <v>0.94594500000000004</v>
      </c>
      <c r="D151" s="987" t="s">
        <v>22</v>
      </c>
      <c r="AA151" s="473"/>
      <c r="AB151" s="473"/>
      <c r="AC151" s="473"/>
      <c r="AD151" s="473"/>
      <c r="AE151" s="473"/>
      <c r="AF151" s="473"/>
      <c r="AG151" s="996"/>
      <c r="AH151" s="209"/>
      <c r="AI151" s="473"/>
      <c r="AJ151" s="473"/>
      <c r="AK151" s="473"/>
      <c r="AL151" s="473"/>
      <c r="AM151" s="473"/>
      <c r="AN151" s="473"/>
    </row>
    <row r="152" spans="1:40" x14ac:dyDescent="0.45">
      <c r="A152" s="545"/>
      <c r="AA152" s="209"/>
      <c r="AB152" s="209"/>
      <c r="AC152" s="209"/>
      <c r="AD152" s="209"/>
      <c r="AE152" s="209"/>
      <c r="AF152" s="209"/>
      <c r="AG152" s="996"/>
      <c r="AH152" s="209"/>
      <c r="AI152" s="209"/>
      <c r="AJ152" s="209"/>
      <c r="AK152" s="209"/>
      <c r="AL152" s="209"/>
      <c r="AM152" s="209"/>
      <c r="AN152" s="209"/>
    </row>
    <row r="153" spans="1:40" x14ac:dyDescent="0.45">
      <c r="A153" s="545"/>
      <c r="B153" s="198" t="s">
        <v>21</v>
      </c>
      <c r="C153" s="199"/>
      <c r="D153" s="200"/>
      <c r="AA153" s="209"/>
      <c r="AB153" s="209"/>
      <c r="AC153" s="209"/>
      <c r="AD153" s="209"/>
      <c r="AE153" s="209"/>
      <c r="AF153" s="209"/>
      <c r="AG153" s="996"/>
      <c r="AH153" s="209"/>
      <c r="AI153" s="209"/>
      <c r="AJ153" s="209"/>
      <c r="AK153" s="209"/>
      <c r="AL153" s="209"/>
      <c r="AM153" s="209"/>
      <c r="AN153" s="209"/>
    </row>
    <row r="154" spans="1:40" x14ac:dyDescent="0.45">
      <c r="A154" s="545"/>
      <c r="B154" s="959" t="s">
        <v>92</v>
      </c>
      <c r="C154" s="960">
        <f>0.15</f>
        <v>0.15</v>
      </c>
      <c r="D154" s="961" t="s">
        <v>23</v>
      </c>
      <c r="AA154" s="209"/>
      <c r="AB154" s="209"/>
      <c r="AC154" s="209"/>
      <c r="AD154" s="209"/>
      <c r="AE154" s="209"/>
      <c r="AF154" s="209"/>
      <c r="AG154" s="209"/>
      <c r="AH154" s="209"/>
      <c r="AI154" s="209"/>
      <c r="AJ154" s="209"/>
      <c r="AK154" s="209"/>
      <c r="AL154" s="209"/>
      <c r="AM154" s="209"/>
      <c r="AN154" s="209"/>
    </row>
    <row r="155" spans="1:40" x14ac:dyDescent="0.45">
      <c r="A155" s="545"/>
      <c r="B155" s="778" t="s">
        <v>21</v>
      </c>
      <c r="C155" s="777">
        <f>3*C154*C57</f>
        <v>0.88593977528089884</v>
      </c>
      <c r="D155" s="779" t="s">
        <v>98</v>
      </c>
      <c r="AA155" s="209"/>
      <c r="AB155" s="209"/>
      <c r="AC155" s="209"/>
      <c r="AD155" s="209"/>
      <c r="AE155" s="209"/>
      <c r="AF155" s="209"/>
      <c r="AG155" s="209"/>
      <c r="AH155" s="209"/>
      <c r="AI155" s="209"/>
      <c r="AJ155" s="209"/>
      <c r="AK155" s="209"/>
      <c r="AL155" s="209"/>
      <c r="AM155" s="209"/>
      <c r="AN155" s="209"/>
    </row>
    <row r="156" spans="1:40" x14ac:dyDescent="0.45">
      <c r="A156" s="545"/>
      <c r="B156" s="584" t="s">
        <v>344</v>
      </c>
      <c r="C156" s="777">
        <f>C155/C58</f>
        <v>3.0405405405405403E-3</v>
      </c>
      <c r="D156" s="779" t="s">
        <v>138</v>
      </c>
      <c r="AA156" s="209"/>
      <c r="AB156" s="209"/>
      <c r="AC156" s="209"/>
      <c r="AD156" s="209"/>
      <c r="AE156" s="209"/>
      <c r="AF156" s="209"/>
      <c r="AG156" s="209"/>
      <c r="AH156" s="209"/>
      <c r="AI156" s="209"/>
      <c r="AJ156" s="209"/>
      <c r="AK156" s="209"/>
      <c r="AL156" s="209"/>
      <c r="AM156" s="209"/>
      <c r="AN156" s="209"/>
    </row>
    <row r="157" spans="1:40" s="540" customFormat="1" x14ac:dyDescent="0.45">
      <c r="A157" s="545"/>
      <c r="B157" s="778" t="s">
        <v>339</v>
      </c>
      <c r="C157" s="777">
        <f>$C$150</f>
        <v>0.99</v>
      </c>
      <c r="D157" s="779" t="s">
        <v>22</v>
      </c>
      <c r="AA157" s="631"/>
      <c r="AB157" s="631"/>
      <c r="AC157" s="631"/>
      <c r="AD157" s="631"/>
      <c r="AE157" s="631"/>
      <c r="AF157" s="631"/>
      <c r="AG157" s="631"/>
      <c r="AH157" s="631"/>
      <c r="AI157" s="631"/>
      <c r="AJ157" s="631"/>
      <c r="AK157" s="631"/>
      <c r="AL157" s="631"/>
      <c r="AM157" s="631"/>
      <c r="AN157" s="631"/>
    </row>
    <row r="158" spans="1:40" s="540" customFormat="1" x14ac:dyDescent="0.45">
      <c r="A158" s="545"/>
      <c r="B158" s="633" t="s">
        <v>99</v>
      </c>
      <c r="C158" s="634">
        <f>C156/C157</f>
        <v>3.0712530712530711E-3</v>
      </c>
      <c r="D158" s="635" t="s">
        <v>138</v>
      </c>
      <c r="AA158" s="631"/>
      <c r="AB158" s="631"/>
      <c r="AC158" s="631"/>
      <c r="AD158" s="631"/>
      <c r="AE158" s="631"/>
      <c r="AF158" s="631"/>
      <c r="AG158" s="631"/>
      <c r="AH158" s="631"/>
      <c r="AI158" s="631"/>
      <c r="AJ158" s="631"/>
      <c r="AK158" s="631"/>
      <c r="AL158" s="631"/>
      <c r="AM158" s="631"/>
      <c r="AN158" s="631"/>
    </row>
    <row r="159" spans="1:40" x14ac:dyDescent="0.45">
      <c r="A159" s="545"/>
      <c r="B159" s="120"/>
      <c r="C159" s="190"/>
      <c r="D159" s="120"/>
      <c r="AA159" s="209"/>
      <c r="AB159" s="209"/>
      <c r="AC159" s="209"/>
      <c r="AD159" s="209"/>
      <c r="AE159" s="209"/>
      <c r="AF159" s="209"/>
      <c r="AG159" s="209"/>
      <c r="AH159" s="209"/>
      <c r="AI159" s="209"/>
      <c r="AJ159" s="209"/>
      <c r="AK159" s="209"/>
      <c r="AL159" s="209"/>
      <c r="AM159" s="209"/>
      <c r="AN159" s="209"/>
    </row>
    <row r="160" spans="1:40" x14ac:dyDescent="0.45">
      <c r="A160" s="545"/>
      <c r="B160" s="973" t="s">
        <v>29</v>
      </c>
      <c r="C160" s="974"/>
      <c r="D160" s="975"/>
      <c r="AA160" s="209"/>
      <c r="AB160" s="209"/>
      <c r="AC160" s="209"/>
      <c r="AD160" s="209"/>
      <c r="AE160" s="209"/>
      <c r="AF160" s="209"/>
      <c r="AG160" s="209"/>
      <c r="AH160" s="209"/>
      <c r="AI160" s="209"/>
      <c r="AJ160" s="209"/>
      <c r="AK160" s="209"/>
      <c r="AL160" s="209"/>
      <c r="AM160" s="209"/>
      <c r="AN160" s="209"/>
    </row>
    <row r="161" spans="1:40" x14ac:dyDescent="0.45">
      <c r="A161" s="545"/>
      <c r="B161" s="804" t="s">
        <v>112</v>
      </c>
      <c r="C161" s="805">
        <f>1.1*1000</f>
        <v>1100</v>
      </c>
      <c r="D161" s="806" t="s">
        <v>12</v>
      </c>
      <c r="AA161" s="209"/>
      <c r="AB161" s="209"/>
      <c r="AC161" s="209"/>
      <c r="AD161" s="209"/>
      <c r="AE161" s="209"/>
      <c r="AF161" s="209"/>
      <c r="AG161" s="209"/>
      <c r="AH161" s="209"/>
      <c r="AI161" s="209"/>
      <c r="AJ161" s="209"/>
      <c r="AK161" s="209"/>
      <c r="AL161" s="209"/>
      <c r="AM161" s="209"/>
      <c r="AN161" s="209"/>
    </row>
    <row r="162" spans="1:40" x14ac:dyDescent="0.45">
      <c r="A162" s="545"/>
      <c r="B162" s="751" t="s">
        <v>113</v>
      </c>
      <c r="C162" s="803">
        <v>0.22500000000000001</v>
      </c>
      <c r="D162" s="799" t="s">
        <v>85</v>
      </c>
      <c r="AA162" s="209"/>
      <c r="AB162" s="209"/>
      <c r="AC162" s="209"/>
      <c r="AD162" s="209"/>
      <c r="AE162" s="209"/>
      <c r="AF162" s="209"/>
      <c r="AG162" s="209"/>
      <c r="AH162" s="209"/>
      <c r="AI162" s="209"/>
      <c r="AJ162" s="209"/>
      <c r="AK162" s="209"/>
      <c r="AL162" s="209"/>
      <c r="AM162" s="209"/>
      <c r="AN162" s="209"/>
    </row>
    <row r="163" spans="1:40" x14ac:dyDescent="0.45">
      <c r="A163" s="545"/>
      <c r="B163" s="751" t="s">
        <v>112</v>
      </c>
      <c r="C163" s="958">
        <f>C161*C162/1000</f>
        <v>0.2475</v>
      </c>
      <c r="D163" s="799" t="s">
        <v>16</v>
      </c>
      <c r="AA163" s="209"/>
      <c r="AB163" s="209"/>
      <c r="AC163" s="209"/>
      <c r="AD163" s="209"/>
      <c r="AE163" s="209"/>
      <c r="AF163" s="209"/>
      <c r="AG163" s="209"/>
      <c r="AH163" s="209"/>
      <c r="AI163" s="209"/>
      <c r="AJ163" s="209"/>
      <c r="AK163" s="209"/>
      <c r="AL163" s="209"/>
      <c r="AM163" s="209"/>
      <c r="AN163" s="209"/>
    </row>
    <row r="164" spans="1:40" x14ac:dyDescent="0.45">
      <c r="A164" s="545"/>
      <c r="B164" s="751" t="s">
        <v>114</v>
      </c>
      <c r="C164" s="803">
        <v>50</v>
      </c>
      <c r="D164" s="799" t="s">
        <v>12</v>
      </c>
      <c r="AA164" s="209"/>
      <c r="AB164" s="209"/>
      <c r="AC164" s="209"/>
      <c r="AD164" s="209"/>
      <c r="AE164" s="209"/>
      <c r="AF164" s="209"/>
      <c r="AG164" s="209"/>
      <c r="AH164" s="209"/>
      <c r="AI164" s="209"/>
      <c r="AJ164" s="209"/>
      <c r="AK164" s="209"/>
      <c r="AL164" s="209"/>
      <c r="AM164" s="209"/>
      <c r="AN164" s="209"/>
    </row>
    <row r="165" spans="1:40" x14ac:dyDescent="0.45">
      <c r="A165" s="545"/>
      <c r="B165" s="751" t="s">
        <v>115</v>
      </c>
      <c r="C165" s="803">
        <v>1.4</v>
      </c>
      <c r="D165" s="799" t="s">
        <v>85</v>
      </c>
      <c r="AA165" s="209"/>
      <c r="AB165" s="209"/>
      <c r="AC165" s="209"/>
      <c r="AD165" s="209"/>
      <c r="AE165" s="209"/>
      <c r="AF165" s="209"/>
      <c r="AG165" s="209"/>
      <c r="AH165" s="209"/>
      <c r="AI165" s="209"/>
      <c r="AJ165" s="209"/>
      <c r="AK165" s="209"/>
      <c r="AL165" s="209"/>
      <c r="AM165" s="209"/>
      <c r="AN165" s="209"/>
    </row>
    <row r="166" spans="1:40" x14ac:dyDescent="0.45">
      <c r="A166" s="545"/>
      <c r="B166" s="972" t="s">
        <v>114</v>
      </c>
      <c r="C166" s="958">
        <f>C164*C165/1000</f>
        <v>7.0000000000000007E-2</v>
      </c>
      <c r="D166" s="799" t="s">
        <v>16</v>
      </c>
      <c r="AA166" s="209"/>
      <c r="AB166" s="209"/>
      <c r="AC166" s="209"/>
      <c r="AD166" s="209"/>
      <c r="AE166" s="209"/>
      <c r="AF166" s="209"/>
      <c r="AG166" s="209"/>
      <c r="AH166" s="209"/>
      <c r="AI166" s="209"/>
      <c r="AJ166" s="209"/>
      <c r="AK166" s="209"/>
      <c r="AL166" s="209"/>
      <c r="AM166" s="209"/>
      <c r="AN166" s="209"/>
    </row>
    <row r="167" spans="1:40" x14ac:dyDescent="0.45">
      <c r="A167" s="545"/>
      <c r="B167" s="751" t="s">
        <v>343</v>
      </c>
      <c r="C167" s="958">
        <f>C163+C166</f>
        <v>0.3175</v>
      </c>
      <c r="D167" s="799" t="s">
        <v>16</v>
      </c>
      <c r="AA167" s="209"/>
      <c r="AB167" s="209"/>
      <c r="AC167" s="209"/>
      <c r="AD167" s="209"/>
      <c r="AE167" s="209"/>
      <c r="AF167" s="209"/>
      <c r="AG167" s="209"/>
      <c r="AH167" s="209"/>
      <c r="AI167" s="209"/>
      <c r="AJ167" s="209"/>
      <c r="AK167" s="209"/>
      <c r="AL167" s="209"/>
      <c r="AM167" s="209"/>
      <c r="AN167" s="209"/>
    </row>
    <row r="168" spans="1:40" s="540" customFormat="1" x14ac:dyDescent="0.45">
      <c r="A168" s="545"/>
      <c r="B168" s="972" t="s">
        <v>339</v>
      </c>
      <c r="C168" s="749">
        <f>$C$149*$C$150</f>
        <v>0.97019999999999995</v>
      </c>
      <c r="D168" s="976" t="s">
        <v>22</v>
      </c>
      <c r="AA168" s="631"/>
      <c r="AB168" s="631"/>
      <c r="AC168" s="631"/>
      <c r="AD168" s="631"/>
      <c r="AE168" s="631"/>
      <c r="AF168" s="631"/>
      <c r="AG168" s="631"/>
      <c r="AH168" s="631"/>
      <c r="AI168" s="631"/>
      <c r="AJ168" s="631"/>
      <c r="AK168" s="631"/>
      <c r="AL168" s="631"/>
      <c r="AM168" s="631"/>
      <c r="AN168" s="631"/>
    </row>
    <row r="169" spans="1:40" s="540" customFormat="1" x14ac:dyDescent="0.45">
      <c r="A169" s="545"/>
      <c r="B169" s="942" t="s">
        <v>86</v>
      </c>
      <c r="C169" s="943">
        <f>C167/C168</f>
        <v>0.32725211296639872</v>
      </c>
      <c r="D169" s="944" t="s">
        <v>16</v>
      </c>
      <c r="AA169" s="631"/>
      <c r="AB169" s="631"/>
      <c r="AC169" s="631"/>
      <c r="AD169" s="631"/>
      <c r="AE169" s="631"/>
      <c r="AF169" s="631"/>
      <c r="AG169" s="631"/>
      <c r="AH169" s="631"/>
      <c r="AI169" s="631"/>
      <c r="AJ169" s="631"/>
      <c r="AK169" s="631"/>
      <c r="AL169" s="631"/>
      <c r="AM169" s="631"/>
      <c r="AN169" s="631"/>
    </row>
    <row r="170" spans="1:40" x14ac:dyDescent="0.45">
      <c r="A170" s="545"/>
      <c r="H170" s="540"/>
      <c r="AA170" s="209"/>
      <c r="AB170" s="209"/>
      <c r="AC170" s="209"/>
      <c r="AD170" s="209"/>
      <c r="AE170" s="209"/>
      <c r="AF170" s="209"/>
      <c r="AG170" s="209"/>
      <c r="AH170" s="209"/>
      <c r="AI170" s="209"/>
      <c r="AJ170" s="209"/>
      <c r="AK170" s="209"/>
      <c r="AL170" s="209"/>
      <c r="AM170" s="209"/>
      <c r="AN170" s="209"/>
    </row>
    <row r="171" spans="1:40" x14ac:dyDescent="0.45">
      <c r="A171" s="545"/>
      <c r="B171" s="963" t="s">
        <v>162</v>
      </c>
      <c r="C171" s="964"/>
      <c r="D171" s="965"/>
      <c r="AA171" s="209"/>
      <c r="AB171" s="209"/>
      <c r="AC171" s="209"/>
      <c r="AD171" s="209"/>
      <c r="AE171" s="209"/>
      <c r="AF171" s="209"/>
      <c r="AG171" s="209"/>
      <c r="AH171" s="209"/>
      <c r="AI171" s="209"/>
      <c r="AJ171" s="209"/>
      <c r="AK171" s="209"/>
      <c r="AL171" s="209"/>
      <c r="AM171" s="209"/>
      <c r="AN171" s="209"/>
    </row>
    <row r="172" spans="1:40" x14ac:dyDescent="0.45">
      <c r="A172" s="545"/>
      <c r="B172" s="966" t="s">
        <v>104</v>
      </c>
      <c r="C172" s="964">
        <v>4</v>
      </c>
      <c r="D172" s="967" t="s">
        <v>108</v>
      </c>
      <c r="H172" s="540"/>
      <c r="AA172" s="209"/>
      <c r="AB172" s="209"/>
      <c r="AC172" s="209"/>
      <c r="AD172" s="209"/>
      <c r="AE172" s="209"/>
      <c r="AF172" s="209"/>
      <c r="AG172" s="209"/>
      <c r="AH172" s="209"/>
      <c r="AI172" s="209"/>
      <c r="AJ172" s="209"/>
      <c r="AK172" s="209"/>
      <c r="AL172" s="209"/>
      <c r="AM172" s="209"/>
      <c r="AN172" s="209"/>
    </row>
    <row r="173" spans="1:40" x14ac:dyDescent="0.45">
      <c r="A173" s="545"/>
      <c r="B173" s="382" t="s">
        <v>105</v>
      </c>
      <c r="C173" s="389">
        <v>8000</v>
      </c>
      <c r="D173" s="390" t="s">
        <v>106</v>
      </c>
      <c r="AA173" s="209"/>
      <c r="AB173" s="209"/>
      <c r="AC173" s="209"/>
      <c r="AD173" s="209"/>
      <c r="AE173" s="209"/>
      <c r="AF173" s="209"/>
      <c r="AG173" s="209"/>
      <c r="AH173" s="209"/>
      <c r="AI173" s="209"/>
      <c r="AJ173" s="209"/>
      <c r="AK173" s="209"/>
      <c r="AL173" s="209"/>
      <c r="AM173" s="209"/>
      <c r="AN173" s="209"/>
    </row>
    <row r="174" spans="1:40" x14ac:dyDescent="0.45">
      <c r="A174" s="545"/>
      <c r="B174" s="382" t="s">
        <v>107</v>
      </c>
      <c r="C174" s="389">
        <v>70</v>
      </c>
      <c r="D174" s="390" t="s">
        <v>397</v>
      </c>
      <c r="H174" s="540"/>
      <c r="J174" s="540"/>
      <c r="AA174" s="209"/>
      <c r="AB174" s="209"/>
      <c r="AC174" s="209"/>
      <c r="AD174" s="209"/>
      <c r="AE174" s="209"/>
      <c r="AF174" s="209"/>
      <c r="AG174" s="209"/>
      <c r="AH174" s="209"/>
      <c r="AI174" s="209"/>
      <c r="AJ174" s="209"/>
      <c r="AK174" s="209"/>
      <c r="AL174" s="209"/>
      <c r="AM174" s="209"/>
      <c r="AN174" s="209"/>
    </row>
    <row r="175" spans="1:40" x14ac:dyDescent="0.45">
      <c r="A175" s="545"/>
      <c r="B175" s="382" t="s">
        <v>350</v>
      </c>
      <c r="C175" s="389">
        <f>C174*C172/C173</f>
        <v>3.5000000000000003E-2</v>
      </c>
      <c r="D175" s="390" t="s">
        <v>16</v>
      </c>
      <c r="N175" s="124"/>
      <c r="O175" s="124"/>
      <c r="P175" s="124"/>
      <c r="Q175" s="124"/>
      <c r="R175" s="124"/>
      <c r="S175" s="124"/>
      <c r="T175" s="124"/>
      <c r="U175" s="124"/>
      <c r="V175" s="124"/>
      <c r="W175" s="124"/>
      <c r="X175" s="124"/>
      <c r="Y175" s="124"/>
      <c r="AA175" s="209"/>
      <c r="AB175" s="209"/>
      <c r="AC175" s="209"/>
      <c r="AD175" s="209"/>
      <c r="AE175" s="209"/>
      <c r="AF175" s="209"/>
      <c r="AG175" s="209"/>
      <c r="AH175" s="209"/>
      <c r="AI175" s="209"/>
      <c r="AJ175" s="209"/>
      <c r="AK175" s="209"/>
      <c r="AL175" s="209"/>
      <c r="AM175" s="209"/>
      <c r="AN175" s="209"/>
    </row>
    <row r="176" spans="1:40" s="540" customFormat="1" x14ac:dyDescent="0.45">
      <c r="A176" s="545"/>
      <c r="B176" s="969" t="s">
        <v>339</v>
      </c>
      <c r="C176" s="381">
        <f>$C$149*$C$150</f>
        <v>0.97019999999999995</v>
      </c>
      <c r="D176" s="390" t="s">
        <v>22</v>
      </c>
      <c r="N176" s="553"/>
      <c r="O176" s="553"/>
      <c r="P176" s="553"/>
      <c r="Q176" s="553"/>
      <c r="R176" s="553"/>
      <c r="S176" s="553"/>
      <c r="T176" s="553"/>
      <c r="U176" s="553"/>
      <c r="V176" s="553"/>
      <c r="W176" s="553"/>
      <c r="X176" s="553"/>
      <c r="Y176" s="553"/>
      <c r="AA176" s="631"/>
      <c r="AB176" s="631"/>
      <c r="AC176" s="631"/>
      <c r="AD176" s="631"/>
      <c r="AE176" s="631"/>
      <c r="AF176" s="631"/>
      <c r="AG176" s="631"/>
      <c r="AH176" s="631"/>
      <c r="AI176" s="631"/>
      <c r="AJ176" s="631"/>
      <c r="AK176" s="631"/>
      <c r="AL176" s="631"/>
      <c r="AM176" s="631"/>
      <c r="AN176" s="631"/>
    </row>
    <row r="177" spans="1:40" s="540" customFormat="1" x14ac:dyDescent="0.45">
      <c r="A177" s="545"/>
      <c r="B177" s="962" t="s">
        <v>107</v>
      </c>
      <c r="C177" s="970">
        <f>C175/C176</f>
        <v>3.6075036075036079E-2</v>
      </c>
      <c r="D177" s="971" t="s">
        <v>16</v>
      </c>
      <c r="N177" s="553"/>
      <c r="O177" s="553"/>
      <c r="P177" s="553"/>
      <c r="Q177" s="553"/>
      <c r="R177" s="553"/>
      <c r="S177" s="553"/>
      <c r="T177" s="553"/>
      <c r="U177" s="553"/>
      <c r="V177" s="553"/>
      <c r="W177" s="553"/>
      <c r="X177" s="553"/>
      <c r="Y177" s="553"/>
      <c r="AA177" s="631"/>
      <c r="AB177" s="631"/>
      <c r="AC177" s="631"/>
      <c r="AD177" s="631"/>
      <c r="AE177" s="631"/>
      <c r="AF177" s="631"/>
      <c r="AG177" s="631"/>
      <c r="AH177" s="631"/>
      <c r="AI177" s="631"/>
      <c r="AJ177" s="631"/>
      <c r="AK177" s="631"/>
      <c r="AL177" s="631"/>
      <c r="AM177" s="631"/>
      <c r="AN177" s="631"/>
    </row>
    <row r="178" spans="1:40" x14ac:dyDescent="0.45">
      <c r="A178" s="545"/>
      <c r="N178" s="124"/>
      <c r="O178" s="124"/>
      <c r="P178" s="124"/>
      <c r="Q178" s="124"/>
      <c r="R178" s="124"/>
      <c r="S178" s="124"/>
      <c r="T178" s="124"/>
      <c r="U178" s="124"/>
      <c r="V178" s="124"/>
      <c r="W178" s="124"/>
      <c r="X178" s="124"/>
      <c r="Y178" s="124"/>
      <c r="AA178" s="209"/>
      <c r="AB178" s="209"/>
      <c r="AC178" s="209"/>
      <c r="AD178" s="209"/>
      <c r="AE178" s="209"/>
      <c r="AF178" s="209"/>
      <c r="AG178" s="209"/>
      <c r="AH178" s="209"/>
      <c r="AI178" s="209"/>
      <c r="AJ178" s="209"/>
      <c r="AK178" s="209"/>
      <c r="AL178" s="209"/>
      <c r="AM178" s="209"/>
      <c r="AN178" s="209"/>
    </row>
    <row r="179" spans="1:40" x14ac:dyDescent="0.45">
      <c r="A179" s="545"/>
      <c r="B179" s="623" t="s">
        <v>144</v>
      </c>
      <c r="C179" s="624"/>
      <c r="D179" s="624"/>
      <c r="E179" s="624"/>
      <c r="F179" s="267"/>
      <c r="G179" s="124"/>
      <c r="H179" s="124"/>
      <c r="I179" s="124"/>
      <c r="J179" s="124"/>
      <c r="N179" s="124"/>
      <c r="O179" s="124"/>
      <c r="P179" s="124"/>
      <c r="Q179" s="124"/>
      <c r="R179" s="124"/>
      <c r="S179" s="124"/>
      <c r="T179" s="124"/>
      <c r="U179" s="124"/>
      <c r="V179" s="124"/>
      <c r="W179" s="124"/>
      <c r="X179" s="124"/>
      <c r="Y179" s="124"/>
      <c r="AA179" s="209"/>
      <c r="AB179" s="209"/>
      <c r="AC179" s="209"/>
      <c r="AD179" s="209"/>
      <c r="AE179" s="209"/>
      <c r="AF179" s="209"/>
      <c r="AG179" s="209"/>
      <c r="AH179" s="209"/>
      <c r="AI179" s="209"/>
      <c r="AJ179" s="209"/>
      <c r="AK179" s="209"/>
      <c r="AL179" s="209"/>
      <c r="AM179" s="209"/>
      <c r="AN179" s="209"/>
    </row>
    <row r="180" spans="1:40" x14ac:dyDescent="0.45">
      <c r="A180" s="545"/>
      <c r="B180" s="618"/>
      <c r="C180" s="819" t="s">
        <v>161</v>
      </c>
      <c r="D180" s="620" t="s">
        <v>351</v>
      </c>
      <c r="E180" s="620" t="s">
        <v>342</v>
      </c>
      <c r="F180" s="979" t="s">
        <v>171</v>
      </c>
      <c r="G180" s="124"/>
      <c r="H180" s="124"/>
      <c r="I180" s="124"/>
      <c r="J180" s="124"/>
      <c r="N180" s="124"/>
      <c r="O180" s="124"/>
      <c r="P180" s="219"/>
      <c r="Q180" s="124"/>
      <c r="R180" s="124"/>
      <c r="S180" s="219"/>
      <c r="T180" s="124"/>
      <c r="U180" s="124"/>
      <c r="V180" s="220"/>
      <c r="W180" s="124"/>
      <c r="X180" s="124"/>
      <c r="Y180" s="124"/>
      <c r="Z180" s="209"/>
      <c r="AA180" s="209"/>
      <c r="AB180" s="209"/>
      <c r="AC180" s="209"/>
      <c r="AD180" s="209"/>
      <c r="AE180" s="209"/>
      <c r="AF180" s="209"/>
      <c r="AG180" s="209"/>
      <c r="AH180" s="209"/>
      <c r="AI180" s="209"/>
      <c r="AJ180" s="209"/>
      <c r="AK180" s="209"/>
      <c r="AL180" s="209"/>
      <c r="AM180" s="209"/>
      <c r="AN180" s="209"/>
    </row>
    <row r="181" spans="1:40" x14ac:dyDescent="0.45">
      <c r="A181" s="545"/>
      <c r="B181" s="618" t="s">
        <v>7</v>
      </c>
      <c r="C181" s="620">
        <v>2.8</v>
      </c>
      <c r="D181" s="616">
        <f>C181*(C57*2+2)/C58</f>
        <v>5.7057007698033332E-2</v>
      </c>
      <c r="E181" s="616">
        <f>$C$150</f>
        <v>0.99</v>
      </c>
      <c r="F181" s="980">
        <f>D181/E181</f>
        <v>5.7633341109124582E-2</v>
      </c>
      <c r="G181" s="124"/>
      <c r="H181" s="124"/>
      <c r="I181" s="124"/>
      <c r="J181" s="124"/>
      <c r="N181" s="124"/>
      <c r="O181" s="124"/>
      <c r="P181" s="221"/>
      <c r="Q181" s="124"/>
      <c r="R181" s="124"/>
      <c r="S181" s="221"/>
      <c r="T181" s="124"/>
      <c r="U181" s="124"/>
      <c r="V181" s="220"/>
      <c r="W181" s="124"/>
      <c r="X181" s="124"/>
      <c r="Y181" s="124"/>
      <c r="Z181" s="209"/>
      <c r="AA181" s="209"/>
      <c r="AB181" s="209"/>
      <c r="AC181" s="209"/>
      <c r="AD181" s="209"/>
      <c r="AE181" s="209"/>
      <c r="AF181" s="209"/>
      <c r="AG181" s="209"/>
      <c r="AH181" s="209"/>
      <c r="AI181" s="209"/>
      <c r="AJ181" s="209"/>
      <c r="AK181" s="209"/>
      <c r="AL181" s="209"/>
      <c r="AM181" s="209"/>
      <c r="AN181" s="209"/>
    </row>
    <row r="182" spans="1:40" x14ac:dyDescent="0.45">
      <c r="A182" s="545"/>
      <c r="B182" s="618"/>
      <c r="C182" s="819" t="s">
        <v>159</v>
      </c>
      <c r="D182" s="620" t="s">
        <v>351</v>
      </c>
      <c r="E182" s="616"/>
      <c r="F182" s="980" t="s">
        <v>171</v>
      </c>
      <c r="G182" s="124"/>
      <c r="H182" s="124"/>
      <c r="I182" s="124"/>
      <c r="J182" s="124"/>
      <c r="N182" s="124"/>
      <c r="O182" s="124"/>
      <c r="P182" s="221"/>
      <c r="Q182" s="124"/>
      <c r="R182" s="124"/>
      <c r="S182" s="221"/>
      <c r="T182" s="124"/>
      <c r="U182" s="124"/>
      <c r="V182" s="220"/>
      <c r="W182" s="124"/>
      <c r="X182" s="124"/>
      <c r="Y182" s="124"/>
      <c r="Z182" s="209"/>
      <c r="AA182" s="209"/>
      <c r="AB182" s="209"/>
      <c r="AC182" s="209"/>
      <c r="AD182" s="209"/>
      <c r="AE182" s="209"/>
      <c r="AF182" s="209"/>
      <c r="AG182" s="209"/>
      <c r="AH182" s="209"/>
      <c r="AI182" s="209"/>
      <c r="AJ182" s="209"/>
      <c r="AK182" s="209"/>
      <c r="AL182" s="209"/>
      <c r="AM182" s="209"/>
      <c r="AN182" s="209"/>
    </row>
    <row r="183" spans="1:40" x14ac:dyDescent="0.45">
      <c r="A183" s="545"/>
      <c r="B183" s="618" t="s">
        <v>87</v>
      </c>
      <c r="C183" s="620">
        <v>7</v>
      </c>
      <c r="D183" s="616">
        <f>C183*$C$57/$C$58</f>
        <v>4.7297297297297293E-2</v>
      </c>
      <c r="E183" s="616">
        <f>$C$150</f>
        <v>0.99</v>
      </c>
      <c r="F183" s="980">
        <f>D183/E183</f>
        <v>4.777504777504777E-2</v>
      </c>
      <c r="G183" s="124"/>
      <c r="H183" s="124"/>
      <c r="I183" s="124"/>
      <c r="J183" s="124"/>
      <c r="L183" s="119"/>
      <c r="N183" s="124"/>
      <c r="O183" s="124"/>
      <c r="P183" s="221"/>
      <c r="Q183" s="124"/>
      <c r="R183" s="124"/>
      <c r="S183" s="221"/>
      <c r="T183" s="124"/>
      <c r="U183" s="124"/>
      <c r="V183" s="220"/>
      <c r="W183" s="124"/>
      <c r="X183" s="124"/>
      <c r="Y183" s="124"/>
      <c r="Z183" s="209"/>
      <c r="AA183" s="209"/>
      <c r="AB183" s="209"/>
      <c r="AC183" s="209"/>
      <c r="AD183" s="209"/>
      <c r="AE183" s="209"/>
      <c r="AF183" s="209"/>
      <c r="AG183" s="209"/>
      <c r="AH183" s="209"/>
      <c r="AI183" s="209"/>
      <c r="AJ183" s="209"/>
      <c r="AK183" s="209"/>
      <c r="AL183" s="209"/>
      <c r="AM183" s="209"/>
      <c r="AN183" s="209"/>
    </row>
    <row r="184" spans="1:40" x14ac:dyDescent="0.45">
      <c r="A184" s="545"/>
      <c r="B184" s="618" t="s">
        <v>6</v>
      </c>
      <c r="C184" s="620">
        <v>2.5</v>
      </c>
      <c r="D184" s="616">
        <f>C184*$C$57*2/$C$58</f>
        <v>3.3783783783783779E-2</v>
      </c>
      <c r="E184" s="616">
        <f>$C$150</f>
        <v>0.99</v>
      </c>
      <c r="F184" s="980">
        <f>D184/E184</f>
        <v>3.412503412503412E-2</v>
      </c>
      <c r="G184" s="124"/>
      <c r="H184" s="124"/>
      <c r="I184" s="124"/>
      <c r="J184" s="124"/>
      <c r="L184" s="119"/>
      <c r="N184" s="124"/>
      <c r="O184" s="124"/>
      <c r="P184" s="221"/>
      <c r="Q184" s="124"/>
      <c r="R184" s="124"/>
      <c r="S184" s="221"/>
      <c r="T184" s="124"/>
      <c r="U184" s="124"/>
      <c r="V184" s="220"/>
      <c r="W184" s="124"/>
      <c r="X184" s="124"/>
      <c r="Y184" s="124"/>
      <c r="Z184" s="209"/>
      <c r="AA184" s="209"/>
      <c r="AB184" s="209"/>
      <c r="AC184" s="209"/>
      <c r="AD184" s="209"/>
      <c r="AE184" s="209"/>
      <c r="AF184" s="209"/>
      <c r="AG184" s="209"/>
      <c r="AH184" s="209"/>
      <c r="AI184" s="209"/>
      <c r="AJ184" s="209"/>
      <c r="AK184" s="209"/>
      <c r="AL184" s="209"/>
      <c r="AM184" s="209"/>
      <c r="AN184" s="209"/>
    </row>
    <row r="185" spans="1:40" x14ac:dyDescent="0.45">
      <c r="A185" s="545"/>
      <c r="B185" s="618" t="s">
        <v>10</v>
      </c>
      <c r="C185" s="620">
        <v>7.3</v>
      </c>
      <c r="D185" s="616">
        <f>C185*$C$57/$C$58</f>
        <v>4.932432432432432E-2</v>
      </c>
      <c r="E185" s="616">
        <f>$C$150</f>
        <v>0.99</v>
      </c>
      <c r="F185" s="980">
        <f>D185/E185</f>
        <v>4.9822549822549821E-2</v>
      </c>
      <c r="G185" s="124"/>
      <c r="H185" s="124"/>
      <c r="I185" s="124"/>
      <c r="J185" s="124"/>
      <c r="L185" s="119"/>
      <c r="N185" s="124"/>
      <c r="O185" s="124"/>
      <c r="P185" s="219"/>
      <c r="Q185" s="124"/>
      <c r="R185" s="124"/>
      <c r="S185" s="219"/>
      <c r="T185" s="124"/>
      <c r="U185" s="124"/>
      <c r="V185" s="220"/>
      <c r="W185" s="124"/>
      <c r="X185" s="124"/>
      <c r="Y185" s="124"/>
      <c r="Z185" s="209"/>
      <c r="AA185" s="209"/>
      <c r="AB185" s="209"/>
      <c r="AC185" s="209"/>
      <c r="AD185" s="209"/>
      <c r="AE185" s="209"/>
      <c r="AF185" s="209"/>
      <c r="AG185" s="209"/>
      <c r="AH185" s="209"/>
      <c r="AI185" s="209"/>
      <c r="AJ185" s="209"/>
      <c r="AK185" s="209"/>
      <c r="AL185" s="209"/>
      <c r="AM185" s="209"/>
      <c r="AN185" s="209"/>
    </row>
    <row r="186" spans="1:40" x14ac:dyDescent="0.45">
      <c r="A186" s="545"/>
      <c r="B186" s="618" t="s">
        <v>9</v>
      </c>
      <c r="C186" s="620">
        <v>4.7</v>
      </c>
      <c r="D186" s="616">
        <f>C186*$C$57/$C$58</f>
        <v>3.1756756756756752E-2</v>
      </c>
      <c r="E186" s="616">
        <f>$C$150</f>
        <v>0.99</v>
      </c>
      <c r="F186" s="980">
        <f>D186/E186</f>
        <v>3.207753207753207E-2</v>
      </c>
      <c r="G186" s="124"/>
      <c r="H186" s="124"/>
      <c r="I186" s="121"/>
      <c r="J186" s="124"/>
      <c r="L186" s="119"/>
      <c r="N186" s="124"/>
      <c r="O186" s="124"/>
      <c r="P186" s="219"/>
      <c r="Q186" s="124"/>
      <c r="R186" s="124"/>
      <c r="S186" s="219"/>
      <c r="T186" s="124"/>
      <c r="U186" s="124"/>
      <c r="V186" s="220"/>
      <c r="W186" s="124"/>
      <c r="X186" s="124"/>
      <c r="Y186" s="124"/>
      <c r="Z186" s="209"/>
      <c r="AA186" s="209"/>
      <c r="AB186" s="209"/>
      <c r="AC186" s="209"/>
      <c r="AD186" s="209"/>
      <c r="AE186" s="209"/>
      <c r="AF186" s="209"/>
      <c r="AG186" s="209"/>
      <c r="AH186" s="209"/>
      <c r="AI186" s="209"/>
      <c r="AJ186" s="209"/>
      <c r="AK186" s="209"/>
      <c r="AL186" s="209"/>
      <c r="AM186" s="209"/>
      <c r="AN186" s="209"/>
    </row>
    <row r="187" spans="1:40" x14ac:dyDescent="0.45">
      <c r="A187" s="545"/>
      <c r="B187" s="618"/>
      <c r="C187" s="819" t="s">
        <v>160</v>
      </c>
      <c r="D187" s="620" t="s">
        <v>351</v>
      </c>
      <c r="E187" s="620"/>
      <c r="F187" s="980" t="s">
        <v>171</v>
      </c>
      <c r="G187" s="124"/>
      <c r="H187" s="124"/>
      <c r="I187" s="124"/>
      <c r="J187" s="124"/>
      <c r="L187" s="119"/>
      <c r="N187" s="124"/>
      <c r="O187" s="124"/>
      <c r="P187" s="221"/>
      <c r="Q187" s="124"/>
      <c r="R187" s="124"/>
      <c r="S187" s="221"/>
      <c r="T187" s="124"/>
      <c r="U187" s="124"/>
      <c r="V187" s="220"/>
      <c r="W187" s="124"/>
      <c r="X187" s="124"/>
      <c r="Y187" s="124"/>
      <c r="Z187" s="209"/>
      <c r="AA187" s="209"/>
      <c r="AB187" s="209"/>
      <c r="AC187" s="209"/>
      <c r="AD187" s="209"/>
      <c r="AE187" s="209"/>
      <c r="AF187" s="209"/>
      <c r="AG187" s="209"/>
      <c r="AH187" s="209"/>
      <c r="AI187" s="209"/>
      <c r="AJ187" s="209"/>
      <c r="AK187" s="209"/>
      <c r="AL187" s="209"/>
      <c r="AM187" s="209"/>
      <c r="AN187" s="209"/>
    </row>
    <row r="188" spans="1:40" x14ac:dyDescent="0.45">
      <c r="A188" s="545"/>
      <c r="B188" s="621" t="s">
        <v>8</v>
      </c>
      <c r="C188" s="622">
        <v>7.2</v>
      </c>
      <c r="D188" s="977">
        <f>C188/C58</f>
        <v>2.4710361248822785E-2</v>
      </c>
      <c r="E188" s="977">
        <f>$C$150</f>
        <v>0.99</v>
      </c>
      <c r="F188" s="981">
        <f>D188/E188</f>
        <v>2.4959960857396754E-2</v>
      </c>
      <c r="G188" s="124"/>
      <c r="H188" s="124"/>
      <c r="I188" s="124"/>
      <c r="J188" s="124"/>
      <c r="L188" s="119"/>
      <c r="N188" s="124"/>
      <c r="O188" s="124"/>
      <c r="P188" s="221"/>
      <c r="Q188" s="124"/>
      <c r="R188" s="124"/>
      <c r="S188" s="221"/>
      <c r="T188" s="124"/>
      <c r="U188" s="220"/>
      <c r="V188" s="220"/>
      <c r="W188" s="124"/>
      <c r="X188" s="124"/>
      <c r="Y188" s="124"/>
      <c r="Z188" s="209"/>
      <c r="AA188" s="209"/>
      <c r="AB188" s="209"/>
      <c r="AC188" s="209"/>
      <c r="AD188" s="209"/>
      <c r="AE188" s="209"/>
      <c r="AF188" s="209"/>
      <c r="AG188" s="209"/>
      <c r="AH188" s="209"/>
      <c r="AI188" s="209"/>
      <c r="AJ188" s="209"/>
      <c r="AK188" s="209"/>
      <c r="AL188" s="209"/>
      <c r="AM188" s="209"/>
      <c r="AN188" s="209"/>
    </row>
    <row r="189" spans="1:40" x14ac:dyDescent="0.45">
      <c r="A189" s="545"/>
      <c r="N189" s="124"/>
      <c r="O189" s="124"/>
      <c r="P189" s="124"/>
      <c r="Q189" s="124"/>
      <c r="R189" s="124"/>
      <c r="S189" s="124"/>
      <c r="T189" s="124"/>
      <c r="U189" s="124"/>
      <c r="V189" s="124"/>
      <c r="W189" s="124"/>
      <c r="X189" s="124"/>
      <c r="Y189" s="124"/>
      <c r="Z189" s="209"/>
      <c r="AA189" s="209"/>
      <c r="AB189" s="209"/>
      <c r="AC189" s="209"/>
      <c r="AD189" s="209"/>
      <c r="AE189" s="209"/>
      <c r="AF189" s="209"/>
      <c r="AG189" s="209"/>
      <c r="AH189" s="209"/>
      <c r="AI189" s="209"/>
      <c r="AJ189" s="209"/>
      <c r="AK189" s="209"/>
      <c r="AL189" s="209"/>
      <c r="AM189" s="209"/>
      <c r="AN189" s="209"/>
    </row>
    <row r="190" spans="1:40" x14ac:dyDescent="0.45">
      <c r="A190" s="545"/>
      <c r="B190" s="279" t="s">
        <v>43</v>
      </c>
      <c r="C190" s="168"/>
      <c r="D190" s="169"/>
      <c r="N190" s="124"/>
      <c r="O190" s="124"/>
      <c r="P190" s="124"/>
      <c r="Q190" s="124"/>
      <c r="R190" s="124"/>
      <c r="S190" s="124"/>
      <c r="T190" s="124"/>
      <c r="U190" s="124"/>
      <c r="V190" s="124"/>
      <c r="W190" s="124"/>
      <c r="X190" s="124"/>
      <c r="Y190" s="124"/>
      <c r="Z190" s="209"/>
      <c r="AA190" s="209"/>
      <c r="AB190" s="209"/>
      <c r="AC190" s="209"/>
      <c r="AD190" s="209"/>
      <c r="AE190" s="209"/>
      <c r="AF190" s="209"/>
      <c r="AG190" s="209"/>
      <c r="AH190" s="209"/>
      <c r="AI190" s="209"/>
      <c r="AJ190" s="209"/>
      <c r="AK190" s="209"/>
      <c r="AL190" s="209"/>
      <c r="AM190" s="209"/>
      <c r="AN190" s="209"/>
    </row>
    <row r="191" spans="1:40" x14ac:dyDescent="0.45">
      <c r="A191" s="545"/>
      <c r="B191" s="165" t="s">
        <v>46</v>
      </c>
      <c r="C191" s="170">
        <f>280*504*$C$8/14.4</f>
        <v>145040</v>
      </c>
      <c r="D191" s="171" t="s">
        <v>100</v>
      </c>
      <c r="N191" s="124"/>
      <c r="O191" s="124"/>
      <c r="P191" s="124"/>
      <c r="Q191" s="124"/>
      <c r="R191" s="124"/>
      <c r="S191" s="124"/>
      <c r="T191" s="124"/>
      <c r="U191" s="124"/>
      <c r="V191" s="124"/>
      <c r="W191" s="124"/>
      <c r="X191" s="124"/>
      <c r="Y191" s="124"/>
      <c r="Z191" s="209"/>
      <c r="AA191" s="209"/>
      <c r="AB191" s="209"/>
      <c r="AC191" s="209"/>
      <c r="AD191" s="209"/>
      <c r="AE191" s="209"/>
      <c r="AF191" s="209"/>
      <c r="AG191" s="209"/>
      <c r="AH191" s="209"/>
      <c r="AI191" s="209"/>
      <c r="AJ191" s="209"/>
      <c r="AK191" s="209"/>
      <c r="AL191" s="209"/>
      <c r="AM191" s="209"/>
      <c r="AN191" s="209"/>
    </row>
    <row r="192" spans="1:40" x14ac:dyDescent="0.45">
      <c r="A192" s="545"/>
      <c r="B192" s="165" t="s">
        <v>43</v>
      </c>
      <c r="C192" s="167">
        <f>C17</f>
        <v>0</v>
      </c>
      <c r="D192" s="171" t="s">
        <v>44</v>
      </c>
      <c r="Z192" s="209"/>
      <c r="AA192" s="209"/>
      <c r="AB192" s="209"/>
      <c r="AC192" s="209"/>
      <c r="AD192" s="209"/>
      <c r="AE192" s="209"/>
      <c r="AF192" s="209"/>
      <c r="AG192" s="209"/>
      <c r="AH192" s="209"/>
      <c r="AI192" s="209"/>
      <c r="AJ192" s="209"/>
      <c r="AK192" s="209"/>
      <c r="AL192" s="209"/>
      <c r="AM192" s="209"/>
      <c r="AN192" s="209"/>
    </row>
    <row r="193" spans="1:40" x14ac:dyDescent="0.45">
      <c r="A193" s="545"/>
      <c r="B193" s="172" t="s">
        <v>2</v>
      </c>
      <c r="C193" s="175">
        <f>C192/C191</f>
        <v>0</v>
      </c>
      <c r="D193" s="284" t="s">
        <v>138</v>
      </c>
      <c r="Z193" s="209"/>
      <c r="AA193" s="209"/>
      <c r="AB193" s="209"/>
      <c r="AC193" s="209"/>
      <c r="AD193" s="209"/>
      <c r="AE193" s="209"/>
      <c r="AF193" s="209"/>
      <c r="AG193" s="209"/>
      <c r="AH193" s="209"/>
      <c r="AI193" s="209"/>
      <c r="AJ193" s="209"/>
      <c r="AK193" s="209"/>
      <c r="AL193" s="209"/>
      <c r="AM193" s="209"/>
      <c r="AN193" s="209"/>
    </row>
    <row r="194" spans="1:40" x14ac:dyDescent="0.45">
      <c r="A194" s="227"/>
      <c r="Z194" s="209"/>
      <c r="AA194" s="209"/>
      <c r="AB194" s="209"/>
      <c r="AC194" s="209"/>
      <c r="AD194" s="209"/>
      <c r="AE194" s="209"/>
      <c r="AF194" s="209"/>
      <c r="AG194" s="209"/>
      <c r="AH194" s="209"/>
      <c r="AI194" s="209"/>
      <c r="AJ194" s="209"/>
      <c r="AK194" s="209"/>
      <c r="AL194" s="209"/>
      <c r="AM194" s="209"/>
      <c r="AN194" s="209"/>
    </row>
    <row r="195" spans="1:40" s="129" customFormat="1" ht="28.5" x14ac:dyDescent="0.85">
      <c r="A195" s="305"/>
      <c r="B195" s="161" t="s">
        <v>163</v>
      </c>
      <c r="G195" s="162"/>
    </row>
    <row r="196" spans="1:40" x14ac:dyDescent="0.45">
      <c r="A196" s="227"/>
      <c r="N196" s="209"/>
      <c r="Z196" s="209"/>
      <c r="AA196" s="209"/>
      <c r="AB196" s="209"/>
      <c r="AC196" s="209"/>
      <c r="AD196" s="209"/>
      <c r="AE196" s="209"/>
      <c r="AF196" s="209"/>
      <c r="AG196" s="209"/>
      <c r="AH196" s="209"/>
      <c r="AI196" s="209"/>
      <c r="AJ196" s="209"/>
      <c r="AK196" s="209"/>
      <c r="AL196" s="209"/>
      <c r="AM196" s="209"/>
      <c r="AN196" s="209"/>
    </row>
    <row r="197" spans="1:40" x14ac:dyDescent="0.45">
      <c r="A197" s="210"/>
      <c r="B197" s="1034" t="s">
        <v>127</v>
      </c>
      <c r="C197" s="350"/>
      <c r="D197" s="350"/>
      <c r="E197" s="350"/>
      <c r="F197" s="350"/>
      <c r="G197" s="350"/>
      <c r="H197" s="350"/>
      <c r="I197" s="350"/>
      <c r="J197" s="350"/>
      <c r="K197" s="350"/>
      <c r="L197" s="350"/>
      <c r="M197" s="350"/>
      <c r="N197" s="350"/>
      <c r="O197" s="350"/>
      <c r="P197" s="350"/>
      <c r="Q197" s="350"/>
      <c r="R197" s="350"/>
      <c r="S197" s="350"/>
      <c r="T197" s="350"/>
      <c r="U197" s="350"/>
      <c r="V197" s="350"/>
      <c r="W197" s="350"/>
      <c r="X197" s="1035"/>
    </row>
    <row r="198" spans="1:40" x14ac:dyDescent="0.45">
      <c r="A198" s="210"/>
      <c r="B198" s="344" t="s">
        <v>147</v>
      </c>
      <c r="C198" s="347">
        <f>C74</f>
        <v>395.29372235294107</v>
      </c>
      <c r="D198" s="345" t="s">
        <v>18</v>
      </c>
      <c r="E198" s="345"/>
      <c r="F198" s="345"/>
      <c r="G198" s="345"/>
      <c r="H198" s="345"/>
      <c r="I198" s="345"/>
      <c r="J198" s="345"/>
      <c r="K198" s="352"/>
      <c r="L198" s="345"/>
      <c r="M198" s="345"/>
      <c r="N198" s="345"/>
      <c r="O198" s="345"/>
      <c r="P198" s="345"/>
      <c r="Q198" s="345"/>
      <c r="R198" s="345"/>
      <c r="S198" s="345"/>
      <c r="T198" s="345"/>
      <c r="U198" s="345"/>
      <c r="V198" s="345"/>
      <c r="W198" s="345"/>
      <c r="X198" s="346"/>
    </row>
    <row r="199" spans="1:40" x14ac:dyDescent="0.45">
      <c r="A199" s="210"/>
      <c r="B199" s="344" t="s">
        <v>168</v>
      </c>
      <c r="C199" s="351">
        <v>2.1999999999999999E-2</v>
      </c>
      <c r="D199" s="345" t="s">
        <v>0</v>
      </c>
      <c r="E199" s="345"/>
      <c r="F199" s="345"/>
      <c r="G199" s="345"/>
      <c r="H199" s="345"/>
      <c r="I199" s="345"/>
      <c r="J199" s="345"/>
      <c r="K199" s="352"/>
      <c r="L199" s="345"/>
      <c r="M199" s="345"/>
      <c r="N199" s="345"/>
      <c r="O199" s="345"/>
      <c r="P199" s="345"/>
      <c r="Q199" s="345"/>
      <c r="R199" s="345"/>
      <c r="S199" s="345"/>
      <c r="T199" s="345"/>
      <c r="U199" s="345"/>
      <c r="V199" s="345"/>
      <c r="W199" s="345"/>
      <c r="X199" s="346"/>
    </row>
    <row r="200" spans="1:40" s="458" customFormat="1" x14ac:dyDescent="0.45">
      <c r="B200" s="344" t="s">
        <v>167</v>
      </c>
      <c r="C200" s="351">
        <v>2.1999999999999999E-2</v>
      </c>
      <c r="D200" s="345" t="s">
        <v>0</v>
      </c>
      <c r="E200" s="345"/>
      <c r="F200" s="345"/>
      <c r="G200" s="345"/>
      <c r="H200" s="345"/>
      <c r="I200" s="345"/>
      <c r="J200" s="345"/>
      <c r="K200" s="352"/>
      <c r="L200" s="345"/>
      <c r="M200" s="345"/>
      <c r="N200" s="345"/>
      <c r="O200" s="345"/>
      <c r="P200" s="345"/>
      <c r="Q200" s="345"/>
      <c r="R200" s="345"/>
      <c r="S200" s="345"/>
      <c r="T200" s="345"/>
      <c r="U200" s="345"/>
      <c r="V200" s="345"/>
      <c r="W200" s="345"/>
      <c r="X200" s="346"/>
    </row>
    <row r="201" spans="1:40" x14ac:dyDescent="0.45">
      <c r="A201" s="210"/>
      <c r="B201" s="344" t="s">
        <v>154</v>
      </c>
      <c r="C201" s="371">
        <f>10%*1</f>
        <v>0.1</v>
      </c>
      <c r="D201" s="345" t="s">
        <v>0</v>
      </c>
      <c r="E201" s="345"/>
      <c r="F201" s="345"/>
      <c r="G201" s="345"/>
      <c r="H201" s="345"/>
      <c r="I201" s="345"/>
      <c r="J201" s="345"/>
      <c r="K201" s="345"/>
      <c r="L201" s="345"/>
      <c r="M201" s="345"/>
      <c r="N201" s="345"/>
      <c r="O201" s="345"/>
      <c r="P201" s="345"/>
      <c r="Q201" s="345"/>
      <c r="R201" s="345"/>
      <c r="S201" s="345"/>
      <c r="T201" s="345"/>
      <c r="U201" s="345"/>
      <c r="V201" s="345"/>
      <c r="W201" s="345"/>
      <c r="X201" s="346"/>
    </row>
    <row r="202" spans="1:40" x14ac:dyDescent="0.45">
      <c r="A202" s="210"/>
      <c r="B202" s="344" t="s">
        <v>148</v>
      </c>
      <c r="C202" s="351">
        <f>27.9%*1</f>
        <v>0.27899999999999997</v>
      </c>
      <c r="D202" s="345" t="s">
        <v>0</v>
      </c>
      <c r="E202" s="345"/>
      <c r="F202" s="345"/>
      <c r="G202" s="345"/>
      <c r="H202" s="345"/>
      <c r="I202" s="345"/>
      <c r="J202" s="345"/>
      <c r="K202" s="345"/>
      <c r="L202" s="345"/>
      <c r="M202" s="345"/>
      <c r="N202" s="345"/>
      <c r="O202" s="345"/>
      <c r="P202" s="345"/>
      <c r="Q202" s="345"/>
      <c r="R202" s="345"/>
      <c r="S202" s="345"/>
      <c r="T202" s="345"/>
      <c r="U202" s="345"/>
      <c r="V202" s="345"/>
      <c r="W202" s="345"/>
      <c r="X202" s="346"/>
    </row>
    <row r="203" spans="1:40" x14ac:dyDescent="0.45">
      <c r="A203" s="210"/>
      <c r="B203" s="344" t="s">
        <v>145</v>
      </c>
      <c r="C203" s="371">
        <v>9.4E-2</v>
      </c>
      <c r="D203" s="345" t="s">
        <v>136</v>
      </c>
      <c r="E203" s="345"/>
      <c r="F203" s="345"/>
      <c r="G203" s="345"/>
      <c r="H203" s="345"/>
      <c r="I203" s="345"/>
      <c r="J203" s="345"/>
      <c r="K203" s="345"/>
      <c r="L203" s="345"/>
      <c r="M203" s="345"/>
      <c r="N203" s="345"/>
      <c r="O203" s="345"/>
      <c r="P203" s="345"/>
      <c r="Q203" s="345"/>
      <c r="R203" s="345"/>
      <c r="S203" s="345"/>
      <c r="T203" s="345"/>
      <c r="U203" s="345"/>
      <c r="V203" s="345"/>
      <c r="W203" s="345"/>
      <c r="X203" s="346"/>
    </row>
    <row r="204" spans="1:40" x14ac:dyDescent="0.45">
      <c r="A204" s="210"/>
      <c r="B204" s="344" t="s">
        <v>133</v>
      </c>
      <c r="C204" s="371">
        <v>1.0999999999999999E-2</v>
      </c>
      <c r="D204" s="345" t="s">
        <v>136</v>
      </c>
      <c r="E204" s="345"/>
      <c r="F204" s="345"/>
      <c r="G204" s="345"/>
      <c r="H204" s="345"/>
      <c r="I204" s="345"/>
      <c r="J204" s="345"/>
      <c r="K204" s="345"/>
      <c r="L204" s="345"/>
      <c r="M204" s="345"/>
      <c r="N204" s="345"/>
      <c r="O204" s="345"/>
      <c r="P204" s="345"/>
      <c r="Q204" s="345"/>
      <c r="R204" s="345"/>
      <c r="S204" s="345"/>
      <c r="T204" s="345"/>
      <c r="U204" s="345"/>
      <c r="V204" s="345"/>
      <c r="W204" s="345"/>
      <c r="X204" s="346"/>
      <c r="Y204" s="995"/>
      <c r="Z204" s="995"/>
    </row>
    <row r="205" spans="1:40" x14ac:dyDescent="0.45">
      <c r="A205" s="210"/>
      <c r="B205" s="344" t="s">
        <v>153</v>
      </c>
      <c r="C205" s="347">
        <v>3</v>
      </c>
      <c r="D205" s="345" t="s">
        <v>152</v>
      </c>
      <c r="E205" s="345"/>
      <c r="F205" s="345"/>
      <c r="G205" s="345"/>
      <c r="H205" s="376"/>
      <c r="I205" s="345"/>
      <c r="J205" s="345"/>
      <c r="K205" s="347"/>
      <c r="L205" s="345"/>
      <c r="M205" s="345"/>
      <c r="N205" s="345"/>
      <c r="O205" s="345"/>
      <c r="P205" s="345"/>
      <c r="Q205" s="345"/>
      <c r="R205" s="345"/>
      <c r="S205" s="345"/>
      <c r="T205" s="345"/>
      <c r="U205" s="345"/>
      <c r="V205" s="345"/>
      <c r="W205" s="345"/>
      <c r="X205" s="346"/>
      <c r="Y205" s="995"/>
      <c r="Z205" s="995"/>
    </row>
    <row r="206" spans="1:40" x14ac:dyDescent="0.45">
      <c r="A206" s="210"/>
      <c r="B206" s="357" t="s">
        <v>378</v>
      </c>
      <c r="C206" s="360">
        <f>SUM(C217,C246,C275,C304)</f>
        <v>1.1075021004859051</v>
      </c>
      <c r="D206" s="348" t="s">
        <v>138</v>
      </c>
      <c r="E206" s="345"/>
      <c r="F206" s="345"/>
      <c r="G206" s="345"/>
      <c r="H206" s="345"/>
      <c r="I206" s="345"/>
      <c r="J206" s="345"/>
      <c r="K206" s="347"/>
      <c r="L206" s="345"/>
      <c r="M206" s="345"/>
      <c r="N206" s="345"/>
      <c r="O206" s="345"/>
      <c r="P206" s="345"/>
      <c r="Q206" s="345"/>
      <c r="R206" s="345"/>
      <c r="S206" s="345"/>
      <c r="T206" s="345"/>
      <c r="U206" s="345"/>
      <c r="V206" s="345"/>
      <c r="W206" s="345"/>
      <c r="X206" s="346"/>
      <c r="Y206" s="995"/>
      <c r="Z206" s="995"/>
    </row>
    <row r="207" spans="1:40" x14ac:dyDescent="0.45">
      <c r="A207" s="210"/>
      <c r="B207" s="357" t="s">
        <v>390</v>
      </c>
      <c r="C207" s="989">
        <f>D378</f>
        <v>0.16818152745557924</v>
      </c>
      <c r="D207" s="348" t="s">
        <v>0</v>
      </c>
      <c r="E207" s="345"/>
      <c r="F207" s="345"/>
      <c r="G207" s="371"/>
      <c r="H207" s="345"/>
      <c r="I207" s="345"/>
      <c r="J207" s="345"/>
      <c r="K207" s="347"/>
      <c r="L207" s="345"/>
      <c r="M207" s="345"/>
      <c r="N207" s="345"/>
      <c r="O207" s="345"/>
      <c r="P207" s="345"/>
      <c r="Q207" s="345"/>
      <c r="R207" s="345"/>
      <c r="S207" s="345"/>
      <c r="T207" s="347"/>
      <c r="U207" s="345"/>
      <c r="V207" s="345"/>
      <c r="W207" s="345"/>
      <c r="X207" s="346"/>
      <c r="Y207" s="995"/>
      <c r="Z207" s="995"/>
    </row>
    <row r="208" spans="1:40" x14ac:dyDescent="0.45">
      <c r="A208" s="210"/>
      <c r="B208" s="357" t="s">
        <v>277</v>
      </c>
      <c r="C208" s="358">
        <f>D379</f>
        <v>3.5315002511693921E-2</v>
      </c>
      <c r="D208" s="348" t="s">
        <v>0</v>
      </c>
      <c r="E208" s="345"/>
      <c r="F208" s="345"/>
      <c r="G208" s="345"/>
      <c r="H208" s="345"/>
      <c r="I208" s="345"/>
      <c r="J208" s="345"/>
      <c r="K208" s="347"/>
      <c r="L208" s="345"/>
      <c r="M208" s="345"/>
      <c r="N208" s="345"/>
      <c r="O208" s="345"/>
      <c r="P208" s="345"/>
      <c r="Q208" s="345"/>
      <c r="R208" s="345"/>
      <c r="S208" s="345"/>
      <c r="T208" s="345"/>
      <c r="U208" s="345"/>
      <c r="V208" s="345"/>
      <c r="W208" s="345"/>
      <c r="X208" s="346"/>
      <c r="Y208" s="995"/>
      <c r="Z208" s="995"/>
    </row>
    <row r="209" spans="1:26" x14ac:dyDescent="0.45">
      <c r="A209" s="210"/>
      <c r="B209" s="357" t="s">
        <v>134</v>
      </c>
      <c r="C209" s="358">
        <f>X239</f>
        <v>0.10000000000000009</v>
      </c>
      <c r="D209" s="348" t="s">
        <v>0</v>
      </c>
      <c r="E209" s="345"/>
      <c r="F209" s="345"/>
      <c r="G209" s="345"/>
      <c r="H209" s="345"/>
      <c r="I209" s="345"/>
      <c r="J209" s="345"/>
      <c r="K209" s="345"/>
      <c r="L209" s="345"/>
      <c r="M209" s="345"/>
      <c r="N209" s="345"/>
      <c r="O209" s="345"/>
      <c r="P209" s="345"/>
      <c r="Q209" s="345"/>
      <c r="R209" s="345"/>
      <c r="S209" s="345"/>
      <c r="T209" s="345"/>
      <c r="U209" s="345"/>
      <c r="V209" s="345"/>
      <c r="W209" s="345"/>
      <c r="X209" s="346"/>
      <c r="Y209" s="995"/>
      <c r="Z209" s="995"/>
    </row>
    <row r="210" spans="1:26" s="540" customFormat="1" x14ac:dyDescent="0.45">
      <c r="B210" s="357" t="s">
        <v>146</v>
      </c>
      <c r="C210" s="349">
        <f>-1*SUM(U217,U246,U275,U304)</f>
        <v>345314397</v>
      </c>
      <c r="D210" s="348" t="s">
        <v>1</v>
      </c>
      <c r="E210" s="345"/>
      <c r="F210" s="345"/>
      <c r="G210" s="345"/>
      <c r="H210" s="345"/>
      <c r="I210" s="345"/>
      <c r="J210" s="345"/>
      <c r="K210" s="345"/>
      <c r="L210" s="345"/>
      <c r="M210" s="345"/>
      <c r="N210" s="345"/>
      <c r="O210" s="345"/>
      <c r="P210" s="345"/>
      <c r="Q210" s="345"/>
      <c r="R210" s="345"/>
      <c r="S210" s="345"/>
      <c r="T210" s="345"/>
      <c r="U210" s="376"/>
      <c r="V210" s="345"/>
      <c r="W210" s="345"/>
      <c r="X210" s="346"/>
      <c r="Y210" s="995"/>
      <c r="Z210" s="995"/>
    </row>
    <row r="211" spans="1:26" s="540" customFormat="1" x14ac:dyDescent="0.45">
      <c r="B211" s="357"/>
      <c r="C211" s="345"/>
      <c r="D211" s="358"/>
      <c r="E211" s="345"/>
      <c r="F211" s="348"/>
      <c r="G211" s="345"/>
      <c r="H211" s="345"/>
      <c r="I211" s="345"/>
      <c r="J211" s="345"/>
      <c r="K211" s="345"/>
      <c r="L211" s="345"/>
      <c r="M211" s="345"/>
      <c r="N211" s="345"/>
      <c r="O211" s="345"/>
      <c r="P211" s="345"/>
      <c r="Q211" s="345"/>
      <c r="R211" s="345"/>
      <c r="S211" s="345"/>
      <c r="T211" s="345"/>
      <c r="U211" s="345"/>
      <c r="V211" s="345"/>
      <c r="W211" s="345"/>
      <c r="X211" s="346"/>
      <c r="Y211" s="995"/>
      <c r="Z211" s="995"/>
    </row>
    <row r="212" spans="1:26" s="540" customFormat="1" x14ac:dyDescent="0.45">
      <c r="B212" s="357" t="s">
        <v>90</v>
      </c>
      <c r="C212" s="345"/>
      <c r="D212" s="358"/>
      <c r="E212" s="345"/>
      <c r="F212" s="348"/>
      <c r="G212" s="345"/>
      <c r="H212" s="345"/>
      <c r="I212" s="345"/>
      <c r="J212" s="345"/>
      <c r="K212" s="345"/>
      <c r="L212" s="345"/>
      <c r="M212" s="345"/>
      <c r="N212" s="345"/>
      <c r="O212" s="345"/>
      <c r="P212" s="345"/>
      <c r="Q212" s="345"/>
      <c r="R212" s="345"/>
      <c r="S212" s="345"/>
      <c r="T212" s="345"/>
      <c r="U212" s="345"/>
      <c r="V212" s="345"/>
      <c r="W212" s="345"/>
      <c r="X212" s="346"/>
      <c r="Y212" s="995"/>
      <c r="Z212" s="995"/>
    </row>
    <row r="213" spans="1:26" s="540" customFormat="1" x14ac:dyDescent="0.45">
      <c r="B213" s="344" t="s">
        <v>268</v>
      </c>
      <c r="C213" s="832">
        <f>$D$82*$C$75</f>
        <v>62261114.999999993</v>
      </c>
      <c r="D213" s="345" t="s">
        <v>1</v>
      </c>
      <c r="E213" s="345"/>
      <c r="F213" s="345"/>
      <c r="G213" s="345"/>
      <c r="H213" s="345"/>
      <c r="I213" s="345"/>
      <c r="J213" s="347"/>
      <c r="K213" s="345"/>
      <c r="L213" s="345"/>
      <c r="M213" s="345"/>
      <c r="N213" s="345"/>
      <c r="O213" s="345"/>
      <c r="P213" s="345"/>
      <c r="Q213" s="345"/>
      <c r="R213" s="345"/>
      <c r="S213" s="345"/>
      <c r="T213" s="345"/>
      <c r="U213" s="345"/>
      <c r="V213" s="345"/>
      <c r="W213" s="345"/>
      <c r="X213" s="346"/>
      <c r="Y213" s="995"/>
      <c r="Z213" s="995"/>
    </row>
    <row r="214" spans="1:26" s="540" customFormat="1" x14ac:dyDescent="0.45">
      <c r="A214" s="550"/>
      <c r="B214" s="344" t="s">
        <v>269</v>
      </c>
      <c r="C214" s="832">
        <f>$E$82*$C$79</f>
        <v>12374880</v>
      </c>
      <c r="D214" s="345" t="s">
        <v>1</v>
      </c>
      <c r="E214" s="345"/>
      <c r="F214" s="345"/>
      <c r="G214" s="347"/>
      <c r="H214" s="345"/>
      <c r="I214" s="345"/>
      <c r="J214" s="345"/>
      <c r="K214" s="345"/>
      <c r="L214" s="345"/>
      <c r="M214" s="345"/>
      <c r="N214" s="345"/>
      <c r="O214" s="345"/>
      <c r="P214" s="345"/>
      <c r="Q214" s="345"/>
      <c r="R214" s="345"/>
      <c r="S214" s="345"/>
      <c r="T214" s="345"/>
      <c r="U214" s="345"/>
      <c r="V214" s="345"/>
      <c r="W214" s="345"/>
      <c r="X214" s="346"/>
      <c r="Y214" s="995"/>
      <c r="Z214" s="995"/>
    </row>
    <row r="215" spans="1:26" s="540" customFormat="1" x14ac:dyDescent="0.45">
      <c r="A215" s="550"/>
      <c r="B215" s="829"/>
      <c r="C215" s="345"/>
      <c r="D215" s="358"/>
      <c r="E215" s="345"/>
      <c r="F215" s="348"/>
      <c r="G215" s="345"/>
      <c r="H215" s="345"/>
      <c r="I215" s="345"/>
      <c r="J215" s="345"/>
      <c r="K215" s="345"/>
      <c r="L215" s="345"/>
      <c r="M215" s="345"/>
      <c r="N215" s="345"/>
      <c r="O215" s="345"/>
      <c r="P215" s="345"/>
      <c r="Q215" s="345"/>
      <c r="R215" s="345"/>
      <c r="S215" s="345"/>
      <c r="T215" s="345"/>
      <c r="U215" s="345"/>
      <c r="V215" s="345"/>
      <c r="W215" s="345"/>
      <c r="X215" s="346"/>
      <c r="Y215" s="995"/>
      <c r="Z215" s="995"/>
    </row>
    <row r="216" spans="1:26" x14ac:dyDescent="0.45">
      <c r="A216" s="550"/>
      <c r="B216" s="354" t="s">
        <v>27</v>
      </c>
      <c r="C216" s="1040" t="s">
        <v>379</v>
      </c>
      <c r="D216" s="355" t="s">
        <v>128</v>
      </c>
      <c r="E216" s="355" t="s">
        <v>380</v>
      </c>
      <c r="F216" s="355" t="s">
        <v>245</v>
      </c>
      <c r="G216" s="355" t="s">
        <v>367</v>
      </c>
      <c r="H216" s="355" t="s">
        <v>368</v>
      </c>
      <c r="I216" s="355" t="s">
        <v>369</v>
      </c>
      <c r="J216" s="355" t="s">
        <v>370</v>
      </c>
      <c r="K216" s="355" t="s">
        <v>131</v>
      </c>
      <c r="L216" s="355" t="s">
        <v>130</v>
      </c>
      <c r="M216" s="355" t="s">
        <v>129</v>
      </c>
      <c r="N216" s="355" t="s">
        <v>374</v>
      </c>
      <c r="O216" s="355" t="s">
        <v>124</v>
      </c>
      <c r="P216" s="355" t="s">
        <v>125</v>
      </c>
      <c r="Q216" s="355" t="s">
        <v>126</v>
      </c>
      <c r="R216" s="355" t="s">
        <v>155</v>
      </c>
      <c r="S216" s="355" t="s">
        <v>157</v>
      </c>
      <c r="T216" s="355" t="s">
        <v>156</v>
      </c>
      <c r="U216" s="345" t="s">
        <v>280</v>
      </c>
      <c r="V216" s="355" t="s">
        <v>375</v>
      </c>
      <c r="W216" s="355" t="s">
        <v>373</v>
      </c>
      <c r="X216" s="835" t="s">
        <v>164</v>
      </c>
      <c r="Y216" s="995"/>
      <c r="Z216" s="995"/>
    </row>
    <row r="217" spans="1:26" x14ac:dyDescent="0.45">
      <c r="A217" s="550"/>
      <c r="B217" s="359">
        <v>0</v>
      </c>
      <c r="C217" s="1039">
        <v>0.31935861337521498</v>
      </c>
      <c r="D217" s="375">
        <v>0</v>
      </c>
      <c r="E217" s="833">
        <f>SUM(I30,IF(C80=0,0,(D92+L32*D92/(D92+D93))*E32),(G100+L33*G100/(G100+G101))*E33,I36,(E141+L34*E141/(E141+E142))*E34)</f>
        <v>0.25460986217766829</v>
      </c>
      <c r="F217" s="375">
        <v>0</v>
      </c>
      <c r="G217" s="345">
        <v>0</v>
      </c>
      <c r="H217" s="376">
        <f t="shared" ref="H217:H237" si="4">IF(D217&gt;0,-1*G217*$C$213,0)</f>
        <v>0</v>
      </c>
      <c r="I217" s="376">
        <v>0</v>
      </c>
      <c r="J217" s="376">
        <v>0</v>
      </c>
      <c r="K217" s="379">
        <f t="shared" ref="K217:K237" si="5">D217+F217+H217+J217</f>
        <v>0</v>
      </c>
      <c r="L217" s="375">
        <f t="shared" ref="L217:L237" si="6">IF(F217&lt;&gt;0,-1*($C$203+$C$204)*D217,0)</f>
        <v>0</v>
      </c>
      <c r="M217" s="375">
        <f>K217+L217</f>
        <v>0</v>
      </c>
      <c r="N217" s="376">
        <f t="shared" ref="N217:N237" si="7">IF(V217&gt;0,V217-W217,0)</f>
        <v>0</v>
      </c>
      <c r="O217" s="347">
        <v>0</v>
      </c>
      <c r="P217" s="347">
        <v>0</v>
      </c>
      <c r="Q217" s="347">
        <v>0</v>
      </c>
      <c r="R217" s="376">
        <f>IF(M217&gt;0,-1*(M217+N217)*$C$202,0)</f>
        <v>0</v>
      </c>
      <c r="S217" s="375">
        <f t="shared" ref="S217:S237" si="8">IF(B217=$C$75,0,$C$205/12*(D218+F218+L218))</f>
        <v>3152749.1737162201</v>
      </c>
      <c r="T217" s="375">
        <f>S217</f>
        <v>3152749.1737162201</v>
      </c>
      <c r="U217" s="375">
        <f>-1*(C213+C214)</f>
        <v>-74635995</v>
      </c>
      <c r="V217" s="376">
        <v>0</v>
      </c>
      <c r="W217" s="347">
        <f>IF(B217&gt;$C$75,0,$C$214+SUM($J$217:J217))</f>
        <v>12374880</v>
      </c>
      <c r="X217" s="836">
        <f>-T217+U217</f>
        <v>-77788744.173716217</v>
      </c>
      <c r="Y217" s="995"/>
      <c r="Z217" s="995"/>
    </row>
    <row r="218" spans="1:26" x14ac:dyDescent="0.45">
      <c r="A218" s="550"/>
      <c r="B218" s="344">
        <v>1</v>
      </c>
      <c r="C218" s="1038">
        <f t="shared" ref="C218:C237" si="9">IF(B218&gt;$C$75,0,$C$217*(1+$C$199)^B218)</f>
        <v>0.32638450286946974</v>
      </c>
      <c r="D218" s="376">
        <f t="shared" ref="D218:D237" si="10">C218*$C$198*1000000</f>
        <v>129017745.05758686</v>
      </c>
      <c r="E218" s="1038">
        <f t="shared" ref="E218:E237" si="11">IF(B218&gt;$C$75,0,$E$217*(1+$C$200)^B218)</f>
        <v>0.26021127914557701</v>
      </c>
      <c r="F218" s="376">
        <f t="shared" ref="F218:F237" si="12">-1*E218*$C$198*1000000</f>
        <v>-102859885.13167536</v>
      </c>
      <c r="G218" s="345">
        <v>0.1429</v>
      </c>
      <c r="H218" s="376">
        <f t="shared" si="4"/>
        <v>-8897113.3334999997</v>
      </c>
      <c r="I218" s="345">
        <v>1.391E-2</v>
      </c>
      <c r="J218" s="376">
        <f t="shared" ref="J218:J237" si="13">IF(D218&gt;0,-1*$C$214*I218,0)</f>
        <v>-172134.5808</v>
      </c>
      <c r="K218" s="377">
        <f t="shared" si="5"/>
        <v>17088612.011611503</v>
      </c>
      <c r="L218" s="376">
        <f t="shared" si="6"/>
        <v>-13546863.231046621</v>
      </c>
      <c r="M218" s="376">
        <f t="shared" ref="M218:M237" si="14">K218+L218</f>
        <v>3541748.7805648819</v>
      </c>
      <c r="N218" s="376">
        <f t="shared" si="7"/>
        <v>0</v>
      </c>
      <c r="O218" s="347">
        <f t="shared" ref="O218:O237" si="15">IF(M218&lt;0,M218*-1,0)</f>
        <v>0</v>
      </c>
      <c r="P218" s="347">
        <f t="shared" ref="P218:P237" si="16">P217+O218-Q218</f>
        <v>0</v>
      </c>
      <c r="Q218" s="347">
        <f t="shared" ref="Q218:Q237" si="17">IF(B218=$C$75+1,O218,IF(AND(M218&gt;0, P217&gt;0), MIN(M218,P217),0))</f>
        <v>0</v>
      </c>
      <c r="R218" s="376">
        <f t="shared" ref="R218:R237" si="18">IF(M218&gt;0,-1*(M218+N218-Q218)*$C$202,0)</f>
        <v>-988147.90977760195</v>
      </c>
      <c r="S218" s="376">
        <f t="shared" si="8"/>
        <v>3222109.6555379736</v>
      </c>
      <c r="T218" s="376">
        <f t="shared" ref="T218:T237" si="19">(S218-S217)</f>
        <v>69360.48182175355</v>
      </c>
      <c r="U218" s="376"/>
      <c r="V218" s="376">
        <f t="shared" ref="V218:V237" si="20">IF(B218=$C$75,$C$214*(1-1/$C$79*B218),0)</f>
        <v>0</v>
      </c>
      <c r="W218" s="347">
        <f>IF(B218&gt;$C$75,0,$C$214+SUM($J$217:J218))</f>
        <v>12202745.419199999</v>
      </c>
      <c r="X218" s="378">
        <f t="shared" ref="X218:X237" si="21">M218+R218-1*(H218+J218)-T218+U218+V218</f>
        <v>11553488.303265527</v>
      </c>
      <c r="Y218" s="995"/>
      <c r="Z218" s="995"/>
    </row>
    <row r="219" spans="1:26" x14ac:dyDescent="0.45">
      <c r="A219" s="550"/>
      <c r="B219" s="344">
        <v>2</v>
      </c>
      <c r="C219" s="1038">
        <f t="shared" si="9"/>
        <v>0.33356496193259805</v>
      </c>
      <c r="D219" s="376">
        <f t="shared" si="10"/>
        <v>131856135.44885376</v>
      </c>
      <c r="E219" s="1038">
        <f t="shared" si="11"/>
        <v>0.26593592728677967</v>
      </c>
      <c r="F219" s="376">
        <f t="shared" si="12"/>
        <v>-105122802.60457222</v>
      </c>
      <c r="G219" s="345">
        <v>0.24490000000000001</v>
      </c>
      <c r="H219" s="376">
        <f t="shared" si="4"/>
        <v>-15247747.063499998</v>
      </c>
      <c r="I219" s="345">
        <v>2.564E-2</v>
      </c>
      <c r="J219" s="376">
        <f t="shared" si="13"/>
        <v>-317291.92320000002</v>
      </c>
      <c r="K219" s="377">
        <f t="shared" si="5"/>
        <v>11168293.857581541</v>
      </c>
      <c r="L219" s="376">
        <f t="shared" si="6"/>
        <v>-13844894.222129645</v>
      </c>
      <c r="M219" s="376">
        <f t="shared" si="14"/>
        <v>-2676600.3645481039</v>
      </c>
      <c r="N219" s="376">
        <f t="shared" si="7"/>
        <v>0</v>
      </c>
      <c r="O219" s="347">
        <f t="shared" si="15"/>
        <v>2676600.3645481039</v>
      </c>
      <c r="P219" s="347">
        <f t="shared" si="16"/>
        <v>2676600.3645481039</v>
      </c>
      <c r="Q219" s="347">
        <f t="shared" si="17"/>
        <v>0</v>
      </c>
      <c r="R219" s="376">
        <f t="shared" si="18"/>
        <v>0</v>
      </c>
      <c r="S219" s="376">
        <f t="shared" si="8"/>
        <v>3292996.0679598101</v>
      </c>
      <c r="T219" s="376">
        <f t="shared" si="19"/>
        <v>70886.412421836518</v>
      </c>
      <c r="U219" s="376"/>
      <c r="V219" s="376">
        <f t="shared" si="20"/>
        <v>0</v>
      </c>
      <c r="W219" s="347">
        <f>IF(B219&gt;$C$75,0,$C$214+SUM($J$217:J219))</f>
        <v>11885453.495999999</v>
      </c>
      <c r="X219" s="378">
        <f t="shared" si="21"/>
        <v>12817552.209730059</v>
      </c>
      <c r="Y219" s="995"/>
      <c r="Z219" s="995"/>
    </row>
    <row r="220" spans="1:26" x14ac:dyDescent="0.45">
      <c r="A220" s="550"/>
      <c r="B220" s="344">
        <v>3</v>
      </c>
      <c r="C220" s="1038">
        <f t="shared" si="9"/>
        <v>0.34090339109511519</v>
      </c>
      <c r="D220" s="376">
        <f t="shared" si="10"/>
        <v>134756970.42872855</v>
      </c>
      <c r="E220" s="1038">
        <f t="shared" si="11"/>
        <v>0.27178651768708884</v>
      </c>
      <c r="F220" s="376">
        <f t="shared" si="12"/>
        <v>-107435504.26187281</v>
      </c>
      <c r="G220" s="345">
        <v>0.1749</v>
      </c>
      <c r="H220" s="376">
        <f t="shared" si="4"/>
        <v>-10889469.013499999</v>
      </c>
      <c r="I220" s="345">
        <v>2.564E-2</v>
      </c>
      <c r="J220" s="376">
        <f t="shared" si="13"/>
        <v>-317291.92320000002</v>
      </c>
      <c r="K220" s="377">
        <f t="shared" si="5"/>
        <v>16114705.230155738</v>
      </c>
      <c r="L220" s="376">
        <f t="shared" si="6"/>
        <v>-14149481.895016497</v>
      </c>
      <c r="M220" s="376">
        <f t="shared" si="14"/>
        <v>1965223.3351392411</v>
      </c>
      <c r="N220" s="376">
        <f t="shared" si="7"/>
        <v>0</v>
      </c>
      <c r="O220" s="347">
        <f t="shared" si="15"/>
        <v>0</v>
      </c>
      <c r="P220" s="347">
        <f t="shared" si="16"/>
        <v>711377.02940886281</v>
      </c>
      <c r="Q220" s="347">
        <f t="shared" si="17"/>
        <v>1965223.3351392411</v>
      </c>
      <c r="R220" s="376">
        <f t="shared" si="18"/>
        <v>0</v>
      </c>
      <c r="S220" s="376">
        <f t="shared" si="8"/>
        <v>3365441.981454934</v>
      </c>
      <c r="T220" s="376">
        <f t="shared" si="19"/>
        <v>72445.913495123852</v>
      </c>
      <c r="U220" s="376"/>
      <c r="V220" s="376">
        <f t="shared" si="20"/>
        <v>0</v>
      </c>
      <c r="W220" s="347">
        <f>IF(B220&gt;$C$75,0,$C$214+SUM($J$217:J220))</f>
        <v>11568161.572799999</v>
      </c>
      <c r="X220" s="378">
        <f t="shared" si="21"/>
        <v>13099538.358344117</v>
      </c>
      <c r="Y220" s="995"/>
      <c r="Z220" s="995"/>
    </row>
    <row r="221" spans="1:26" x14ac:dyDescent="0.45">
      <c r="A221" s="550"/>
      <c r="B221" s="344">
        <v>4</v>
      </c>
      <c r="C221" s="1038">
        <f t="shared" si="9"/>
        <v>0.34840326569920776</v>
      </c>
      <c r="D221" s="376">
        <f t="shared" si="10"/>
        <v>137721623.7781606</v>
      </c>
      <c r="E221" s="1038">
        <f t="shared" si="11"/>
        <v>0.27776582107620479</v>
      </c>
      <c r="F221" s="376">
        <f t="shared" si="12"/>
        <v>-109799085.355634</v>
      </c>
      <c r="G221" s="345">
        <v>0.1249</v>
      </c>
      <c r="H221" s="376">
        <f t="shared" si="4"/>
        <v>-7776413.2634999985</v>
      </c>
      <c r="I221" s="345">
        <v>2.564E-2</v>
      </c>
      <c r="J221" s="376">
        <f t="shared" si="13"/>
        <v>-317291.92320000002</v>
      </c>
      <c r="K221" s="377">
        <f t="shared" si="5"/>
        <v>19828833.2358266</v>
      </c>
      <c r="L221" s="376">
        <f t="shared" si="6"/>
        <v>-14460770.496706862</v>
      </c>
      <c r="M221" s="376">
        <f t="shared" si="14"/>
        <v>5368062.7391197383</v>
      </c>
      <c r="N221" s="376">
        <f t="shared" si="7"/>
        <v>0</v>
      </c>
      <c r="O221" s="347">
        <f t="shared" si="15"/>
        <v>0</v>
      </c>
      <c r="P221" s="347">
        <f t="shared" si="16"/>
        <v>0</v>
      </c>
      <c r="Q221" s="347">
        <f t="shared" si="17"/>
        <v>711377.02940886281</v>
      </c>
      <c r="R221" s="376">
        <f t="shared" si="18"/>
        <v>-1299215.313009334</v>
      </c>
      <c r="S221" s="376">
        <f t="shared" si="8"/>
        <v>3439481.7050469341</v>
      </c>
      <c r="T221" s="376">
        <f t="shared" si="19"/>
        <v>74039.723592000082</v>
      </c>
      <c r="U221" s="376"/>
      <c r="V221" s="376">
        <f t="shared" si="20"/>
        <v>0</v>
      </c>
      <c r="W221" s="347">
        <f>IF(B221&gt;$C$75,0,$C$214+SUM($J$217:J221))</f>
        <v>11250869.649599999</v>
      </c>
      <c r="X221" s="378">
        <f t="shared" si="21"/>
        <v>12088512.889218403</v>
      </c>
      <c r="Y221" s="995"/>
      <c r="Z221" s="995"/>
    </row>
    <row r="222" spans="1:26" x14ac:dyDescent="0.45">
      <c r="A222" s="550"/>
      <c r="B222" s="344">
        <v>5</v>
      </c>
      <c r="C222" s="1038">
        <f t="shared" si="9"/>
        <v>0.35606813754459032</v>
      </c>
      <c r="D222" s="376">
        <f t="shared" si="10"/>
        <v>140751499.5012801</v>
      </c>
      <c r="E222" s="1038">
        <f t="shared" si="11"/>
        <v>0.2838766691398813</v>
      </c>
      <c r="F222" s="376">
        <f t="shared" si="12"/>
        <v>-112214665.23345795</v>
      </c>
      <c r="G222" s="345">
        <v>8.9300000000000004E-2</v>
      </c>
      <c r="H222" s="376">
        <f t="shared" si="4"/>
        <v>-5559917.5694999993</v>
      </c>
      <c r="I222" s="345">
        <v>2.564E-2</v>
      </c>
      <c r="J222" s="376">
        <f t="shared" si="13"/>
        <v>-317291.92320000002</v>
      </c>
      <c r="K222" s="377">
        <f t="shared" si="5"/>
        <v>22659624.775122147</v>
      </c>
      <c r="L222" s="376">
        <f t="shared" si="6"/>
        <v>-14778907.44763441</v>
      </c>
      <c r="M222" s="376">
        <f t="shared" si="14"/>
        <v>7880717.3274877369</v>
      </c>
      <c r="N222" s="376">
        <f t="shared" si="7"/>
        <v>0</v>
      </c>
      <c r="O222" s="347">
        <f t="shared" si="15"/>
        <v>0</v>
      </c>
      <c r="P222" s="347">
        <f t="shared" si="16"/>
        <v>0</v>
      </c>
      <c r="Q222" s="347">
        <f t="shared" si="17"/>
        <v>0</v>
      </c>
      <c r="R222" s="376">
        <f t="shared" si="18"/>
        <v>-2198720.1343690786</v>
      </c>
      <c r="S222" s="376">
        <f t="shared" si="8"/>
        <v>3515150.3025579737</v>
      </c>
      <c r="T222" s="376">
        <f t="shared" si="19"/>
        <v>75668.597511039581</v>
      </c>
      <c r="U222" s="376"/>
      <c r="V222" s="376">
        <f t="shared" si="20"/>
        <v>0</v>
      </c>
      <c r="W222" s="347">
        <f>IF(B222&gt;$C$75,0,$C$214+SUM($J$217:J222))</f>
        <v>10933577.726399999</v>
      </c>
      <c r="X222" s="378">
        <f t="shared" si="21"/>
        <v>11483538.088307617</v>
      </c>
      <c r="Y222" s="995"/>
      <c r="Z222" s="995"/>
    </row>
    <row r="223" spans="1:26" x14ac:dyDescent="0.45">
      <c r="A223" s="550"/>
      <c r="B223" s="344">
        <v>6</v>
      </c>
      <c r="C223" s="1038">
        <f t="shared" si="9"/>
        <v>0.36390163657057129</v>
      </c>
      <c r="D223" s="376">
        <f t="shared" si="10"/>
        <v>143848032.49030828</v>
      </c>
      <c r="E223" s="1038">
        <f t="shared" si="11"/>
        <v>0.29012195586095868</v>
      </c>
      <c r="F223" s="376">
        <f t="shared" si="12"/>
        <v>-114683387.86859402</v>
      </c>
      <c r="G223" s="345">
        <v>8.9200000000000002E-2</v>
      </c>
      <c r="H223" s="376">
        <f t="shared" si="4"/>
        <v>-5553691.4579999996</v>
      </c>
      <c r="I223" s="345">
        <v>2.564E-2</v>
      </c>
      <c r="J223" s="376">
        <f t="shared" si="13"/>
        <v>-317291.92320000002</v>
      </c>
      <c r="K223" s="377">
        <f t="shared" si="5"/>
        <v>23293661.240514264</v>
      </c>
      <c r="L223" s="376">
        <f t="shared" si="6"/>
        <v>-15104043.41148237</v>
      </c>
      <c r="M223" s="376">
        <f t="shared" si="14"/>
        <v>8189617.829031894</v>
      </c>
      <c r="N223" s="376">
        <f t="shared" si="7"/>
        <v>0</v>
      </c>
      <c r="O223" s="347">
        <f t="shared" si="15"/>
        <v>0</v>
      </c>
      <c r="P223" s="347">
        <f t="shared" si="16"/>
        <v>0</v>
      </c>
      <c r="Q223" s="347">
        <f t="shared" si="17"/>
        <v>0</v>
      </c>
      <c r="R223" s="376">
        <f t="shared" si="18"/>
        <v>-2284903.3742998983</v>
      </c>
      <c r="S223" s="376">
        <f t="shared" si="8"/>
        <v>3592483.6092142458</v>
      </c>
      <c r="T223" s="376">
        <f t="shared" si="19"/>
        <v>77333.306656272151</v>
      </c>
      <c r="U223" s="376"/>
      <c r="V223" s="376">
        <f t="shared" si="20"/>
        <v>0</v>
      </c>
      <c r="W223" s="347">
        <f>IF(B223&gt;$C$75,0,$C$214+SUM($J$217:J223))</f>
        <v>10616285.803199999</v>
      </c>
      <c r="X223" s="378">
        <f t="shared" si="21"/>
        <v>11698364.529275723</v>
      </c>
      <c r="Y223" s="995"/>
      <c r="Z223" s="995"/>
    </row>
    <row r="224" spans="1:26" x14ac:dyDescent="0.45">
      <c r="A224" s="550"/>
      <c r="B224" s="344">
        <v>7</v>
      </c>
      <c r="C224" s="1038">
        <f t="shared" si="9"/>
        <v>0.37190747257512385</v>
      </c>
      <c r="D224" s="376">
        <f t="shared" si="10"/>
        <v>147012689.20509505</v>
      </c>
      <c r="E224" s="1038">
        <f t="shared" si="11"/>
        <v>0.29650463888989975</v>
      </c>
      <c r="F224" s="376">
        <f t="shared" si="12"/>
        <v>-117206422.40170309</v>
      </c>
      <c r="G224" s="345">
        <v>8.9300000000000004E-2</v>
      </c>
      <c r="H224" s="376">
        <f t="shared" si="4"/>
        <v>-5559917.5694999993</v>
      </c>
      <c r="I224" s="345">
        <v>2.564E-2</v>
      </c>
      <c r="J224" s="376">
        <f t="shared" si="13"/>
        <v>-317291.92320000002</v>
      </c>
      <c r="K224" s="377">
        <f t="shared" si="5"/>
        <v>23929057.310691964</v>
      </c>
      <c r="L224" s="376">
        <f t="shared" si="6"/>
        <v>-15436332.36653498</v>
      </c>
      <c r="M224" s="376">
        <f t="shared" si="14"/>
        <v>8492724.9441569839</v>
      </c>
      <c r="N224" s="376">
        <f t="shared" si="7"/>
        <v>0</v>
      </c>
      <c r="O224" s="347">
        <f t="shared" si="15"/>
        <v>0</v>
      </c>
      <c r="P224" s="347">
        <f t="shared" si="16"/>
        <v>0</v>
      </c>
      <c r="Q224" s="347">
        <f t="shared" si="17"/>
        <v>0</v>
      </c>
      <c r="R224" s="376">
        <f t="shared" si="18"/>
        <v>-2369470.2594197984</v>
      </c>
      <c r="S224" s="376">
        <f t="shared" si="8"/>
        <v>3671518.2486169585</v>
      </c>
      <c r="T224" s="376">
        <f t="shared" si="19"/>
        <v>79034.639402712695</v>
      </c>
      <c r="U224" s="376"/>
      <c r="V224" s="376">
        <f t="shared" si="20"/>
        <v>0</v>
      </c>
      <c r="W224" s="347">
        <f>IF(B224&gt;$C$75,0,$C$214+SUM($J$217:J224))</f>
        <v>10298993.879999999</v>
      </c>
      <c r="X224" s="378">
        <f t="shared" si="21"/>
        <v>11921429.538034473</v>
      </c>
      <c r="Y224" s="995"/>
      <c r="Z224" s="995"/>
    </row>
    <row r="225" spans="1:26" x14ac:dyDescent="0.45">
      <c r="A225" s="550"/>
      <c r="B225" s="344">
        <v>8</v>
      </c>
      <c r="C225" s="1038">
        <f t="shared" si="9"/>
        <v>0.38008943697177666</v>
      </c>
      <c r="D225" s="376">
        <f t="shared" si="10"/>
        <v>150246968.36760718</v>
      </c>
      <c r="E225" s="1038">
        <f t="shared" si="11"/>
        <v>0.30302774094547763</v>
      </c>
      <c r="F225" s="376">
        <f t="shared" si="12"/>
        <v>-119784963.69454059</v>
      </c>
      <c r="G225" s="345">
        <v>4.4600000000000001E-2</v>
      </c>
      <c r="H225" s="376">
        <f t="shared" si="4"/>
        <v>-2776845.7289999998</v>
      </c>
      <c r="I225" s="345">
        <v>2.564E-2</v>
      </c>
      <c r="J225" s="376">
        <f t="shared" si="13"/>
        <v>-317291.92320000002</v>
      </c>
      <c r="K225" s="377">
        <f t="shared" si="5"/>
        <v>27367867.020866588</v>
      </c>
      <c r="L225" s="376">
        <f t="shared" si="6"/>
        <v>-15775931.678598752</v>
      </c>
      <c r="M225" s="376">
        <f t="shared" si="14"/>
        <v>11591935.342267836</v>
      </c>
      <c r="N225" s="376">
        <f t="shared" si="7"/>
        <v>0</v>
      </c>
      <c r="O225" s="347">
        <f t="shared" si="15"/>
        <v>0</v>
      </c>
      <c r="P225" s="347">
        <f t="shared" si="16"/>
        <v>0</v>
      </c>
      <c r="Q225" s="347">
        <f t="shared" si="17"/>
        <v>0</v>
      </c>
      <c r="R225" s="376">
        <f t="shared" si="18"/>
        <v>-3234149.9604927259</v>
      </c>
      <c r="S225" s="376">
        <f t="shared" si="8"/>
        <v>3752291.6500865314</v>
      </c>
      <c r="T225" s="376">
        <f t="shared" si="19"/>
        <v>80773.401469572913</v>
      </c>
      <c r="U225" s="376"/>
      <c r="V225" s="376">
        <f t="shared" si="20"/>
        <v>0</v>
      </c>
      <c r="W225" s="347">
        <f>IF(B225&gt;$C$75,0,$C$214+SUM($J$217:J225))</f>
        <v>9981701.9567999989</v>
      </c>
      <c r="X225" s="378">
        <f t="shared" si="21"/>
        <v>11371149.632505536</v>
      </c>
      <c r="Y225" s="995"/>
      <c r="Z225" s="995"/>
    </row>
    <row r="226" spans="1:26" x14ac:dyDescent="0.45">
      <c r="A226" s="550"/>
      <c r="B226" s="344">
        <v>9</v>
      </c>
      <c r="C226" s="1038">
        <f t="shared" si="9"/>
        <v>0.3884514045851557</v>
      </c>
      <c r="D226" s="376">
        <f t="shared" si="10"/>
        <v>153552401.67169452</v>
      </c>
      <c r="E226" s="1038">
        <f t="shared" si="11"/>
        <v>0.30969435124627809</v>
      </c>
      <c r="F226" s="376">
        <f t="shared" si="12"/>
        <v>-122420232.89582047</v>
      </c>
      <c r="G226" s="345">
        <v>0</v>
      </c>
      <c r="H226" s="376">
        <f t="shared" si="4"/>
        <v>0</v>
      </c>
      <c r="I226" s="345">
        <v>2.564E-2</v>
      </c>
      <c r="J226" s="376">
        <f t="shared" si="13"/>
        <v>-317291.92320000002</v>
      </c>
      <c r="K226" s="377">
        <f t="shared" si="5"/>
        <v>30814876.852674048</v>
      </c>
      <c r="L226" s="376">
        <f t="shared" si="6"/>
        <v>-16123002.175527923</v>
      </c>
      <c r="M226" s="376">
        <f t="shared" si="14"/>
        <v>14691874.677146126</v>
      </c>
      <c r="N226" s="376">
        <f t="shared" si="7"/>
        <v>0</v>
      </c>
      <c r="O226" s="347">
        <f t="shared" si="15"/>
        <v>0</v>
      </c>
      <c r="P226" s="347">
        <f t="shared" si="16"/>
        <v>0</v>
      </c>
      <c r="Q226" s="347">
        <f t="shared" si="17"/>
        <v>0</v>
      </c>
      <c r="R226" s="376">
        <f t="shared" si="18"/>
        <v>-4099033.0349237686</v>
      </c>
      <c r="S226" s="376">
        <f t="shared" si="8"/>
        <v>3834842.0663884357</v>
      </c>
      <c r="T226" s="376">
        <f t="shared" si="19"/>
        <v>82550.416301904246</v>
      </c>
      <c r="U226" s="376"/>
      <c r="V226" s="376">
        <f t="shared" si="20"/>
        <v>0</v>
      </c>
      <c r="W226" s="347">
        <f>IF(B226&gt;$C$75,0,$C$214+SUM($J$217:J226))</f>
        <v>9664410.0335999988</v>
      </c>
      <c r="X226" s="378">
        <f t="shared" si="21"/>
        <v>10827583.149120452</v>
      </c>
      <c r="Y226" s="995"/>
      <c r="Z226" s="995"/>
    </row>
    <row r="227" spans="1:26" x14ac:dyDescent="0.45">
      <c r="A227" s="550"/>
      <c r="B227" s="344">
        <v>10</v>
      </c>
      <c r="C227" s="1038">
        <f t="shared" si="9"/>
        <v>0.39699733548602911</v>
      </c>
      <c r="D227" s="376">
        <f>C227*$C$198*1000000</f>
        <v>156930554.50847179</v>
      </c>
      <c r="E227" s="1038">
        <f t="shared" si="11"/>
        <v>0.31650762697369622</v>
      </c>
      <c r="F227" s="376">
        <f t="shared" si="12"/>
        <v>-125113478.01952851</v>
      </c>
      <c r="G227" s="345">
        <v>0</v>
      </c>
      <c r="H227" s="376">
        <f t="shared" si="4"/>
        <v>0</v>
      </c>
      <c r="I227" s="345">
        <v>2.564E-2</v>
      </c>
      <c r="J227" s="376">
        <f t="shared" si="13"/>
        <v>-317291.92320000002</v>
      </c>
      <c r="K227" s="377">
        <f t="shared" si="5"/>
        <v>31499784.565743279</v>
      </c>
      <c r="L227" s="376">
        <f t="shared" si="6"/>
        <v>-16477708.223389536</v>
      </c>
      <c r="M227" s="376">
        <f t="shared" si="14"/>
        <v>15022076.342353743</v>
      </c>
      <c r="N227" s="376">
        <f t="shared" si="7"/>
        <v>-1922190.1103999987</v>
      </c>
      <c r="O227" s="347">
        <f t="shared" si="15"/>
        <v>0</v>
      </c>
      <c r="P227" s="347">
        <f t="shared" si="16"/>
        <v>0</v>
      </c>
      <c r="Q227" s="347">
        <f t="shared" si="17"/>
        <v>0</v>
      </c>
      <c r="R227" s="376">
        <f t="shared" si="18"/>
        <v>-3654868.2587150941</v>
      </c>
      <c r="S227" s="376">
        <f t="shared" si="8"/>
        <v>0</v>
      </c>
      <c r="T227" s="376">
        <f t="shared" si="19"/>
        <v>-3834842.0663884357</v>
      </c>
      <c r="U227" s="376"/>
      <c r="V227" s="376">
        <f t="shared" si="20"/>
        <v>7424928</v>
      </c>
      <c r="W227" s="347">
        <f>IF(B227&gt;$C$75,0,$C$214+SUM($J$217:J227))</f>
        <v>9347118.1103999987</v>
      </c>
      <c r="X227" s="378">
        <f t="shared" si="21"/>
        <v>22944270.073227085</v>
      </c>
      <c r="Y227" s="995"/>
      <c r="Z227" s="995"/>
    </row>
    <row r="228" spans="1:26" x14ac:dyDescent="0.45">
      <c r="A228" s="550"/>
      <c r="B228" s="344">
        <v>11</v>
      </c>
      <c r="C228" s="1038">
        <f t="shared" si="9"/>
        <v>0</v>
      </c>
      <c r="D228" s="376">
        <f t="shared" si="10"/>
        <v>0</v>
      </c>
      <c r="E228" s="1038">
        <f t="shared" si="11"/>
        <v>0</v>
      </c>
      <c r="F228" s="376">
        <f t="shared" si="12"/>
        <v>0</v>
      </c>
      <c r="G228" s="345">
        <v>0</v>
      </c>
      <c r="H228" s="376">
        <f t="shared" si="4"/>
        <v>0</v>
      </c>
      <c r="I228" s="345">
        <v>2.564E-2</v>
      </c>
      <c r="J228" s="376">
        <f t="shared" si="13"/>
        <v>0</v>
      </c>
      <c r="K228" s="377">
        <f t="shared" si="5"/>
        <v>0</v>
      </c>
      <c r="L228" s="376">
        <f t="shared" si="6"/>
        <v>0</v>
      </c>
      <c r="M228" s="376">
        <f t="shared" si="14"/>
        <v>0</v>
      </c>
      <c r="N228" s="376">
        <f t="shared" si="7"/>
        <v>0</v>
      </c>
      <c r="O228" s="347">
        <f t="shared" si="15"/>
        <v>0</v>
      </c>
      <c r="P228" s="347">
        <f t="shared" si="16"/>
        <v>0</v>
      </c>
      <c r="Q228" s="347">
        <f t="shared" si="17"/>
        <v>0</v>
      </c>
      <c r="R228" s="376">
        <f t="shared" si="18"/>
        <v>0</v>
      </c>
      <c r="S228" s="376">
        <f t="shared" si="8"/>
        <v>0</v>
      </c>
      <c r="T228" s="376">
        <f t="shared" si="19"/>
        <v>0</v>
      </c>
      <c r="U228" s="376"/>
      <c r="V228" s="376">
        <f t="shared" si="20"/>
        <v>0</v>
      </c>
      <c r="W228" s="347">
        <f>IF(B228&gt;$C$75,0,$C$214+SUM($J$217:J228))</f>
        <v>0</v>
      </c>
      <c r="X228" s="378">
        <f t="shared" si="21"/>
        <v>0</v>
      </c>
      <c r="Y228" s="995"/>
      <c r="Z228" s="995"/>
    </row>
    <row r="229" spans="1:26" x14ac:dyDescent="0.45">
      <c r="A229" s="550"/>
      <c r="B229" s="344">
        <v>12</v>
      </c>
      <c r="C229" s="1038">
        <f t="shared" si="9"/>
        <v>0</v>
      </c>
      <c r="D229" s="376">
        <f t="shared" si="10"/>
        <v>0</v>
      </c>
      <c r="E229" s="1038">
        <f t="shared" si="11"/>
        <v>0</v>
      </c>
      <c r="F229" s="376">
        <f t="shared" si="12"/>
        <v>0</v>
      </c>
      <c r="G229" s="345">
        <v>0</v>
      </c>
      <c r="H229" s="376">
        <f t="shared" si="4"/>
        <v>0</v>
      </c>
      <c r="I229" s="345">
        <v>2.564E-2</v>
      </c>
      <c r="J229" s="376">
        <f t="shared" si="13"/>
        <v>0</v>
      </c>
      <c r="K229" s="377">
        <f t="shared" si="5"/>
        <v>0</v>
      </c>
      <c r="L229" s="376">
        <f t="shared" si="6"/>
        <v>0</v>
      </c>
      <c r="M229" s="376">
        <f t="shared" si="14"/>
        <v>0</v>
      </c>
      <c r="N229" s="376">
        <f t="shared" si="7"/>
        <v>0</v>
      </c>
      <c r="O229" s="347">
        <f t="shared" si="15"/>
        <v>0</v>
      </c>
      <c r="P229" s="347">
        <f t="shared" si="16"/>
        <v>0</v>
      </c>
      <c r="Q229" s="347">
        <f t="shared" si="17"/>
        <v>0</v>
      </c>
      <c r="R229" s="376">
        <f t="shared" si="18"/>
        <v>0</v>
      </c>
      <c r="S229" s="376">
        <f t="shared" si="8"/>
        <v>0</v>
      </c>
      <c r="T229" s="376">
        <f t="shared" si="19"/>
        <v>0</v>
      </c>
      <c r="U229" s="376"/>
      <c r="V229" s="376">
        <f t="shared" si="20"/>
        <v>0</v>
      </c>
      <c r="W229" s="347">
        <f>IF(B229&gt;$C$75,0,$C$214+SUM($J$217:J229))</f>
        <v>0</v>
      </c>
      <c r="X229" s="378">
        <f t="shared" si="21"/>
        <v>0</v>
      </c>
      <c r="Y229" s="995"/>
      <c r="Z229" s="995"/>
    </row>
    <row r="230" spans="1:26" x14ac:dyDescent="0.45">
      <c r="A230" s="550"/>
      <c r="B230" s="344">
        <v>13</v>
      </c>
      <c r="C230" s="1038">
        <f t="shared" si="9"/>
        <v>0</v>
      </c>
      <c r="D230" s="376">
        <f t="shared" si="10"/>
        <v>0</v>
      </c>
      <c r="E230" s="1038">
        <f t="shared" si="11"/>
        <v>0</v>
      </c>
      <c r="F230" s="376">
        <f t="shared" si="12"/>
        <v>0</v>
      </c>
      <c r="G230" s="345">
        <v>0</v>
      </c>
      <c r="H230" s="376">
        <f t="shared" si="4"/>
        <v>0</v>
      </c>
      <c r="I230" s="345">
        <v>2.564E-2</v>
      </c>
      <c r="J230" s="376">
        <f t="shared" si="13"/>
        <v>0</v>
      </c>
      <c r="K230" s="377">
        <f t="shared" si="5"/>
        <v>0</v>
      </c>
      <c r="L230" s="376">
        <f t="shared" si="6"/>
        <v>0</v>
      </c>
      <c r="M230" s="376">
        <f t="shared" si="14"/>
        <v>0</v>
      </c>
      <c r="N230" s="376">
        <f t="shared" si="7"/>
        <v>0</v>
      </c>
      <c r="O230" s="347">
        <f t="shared" si="15"/>
        <v>0</v>
      </c>
      <c r="P230" s="347">
        <f t="shared" si="16"/>
        <v>0</v>
      </c>
      <c r="Q230" s="347">
        <f t="shared" si="17"/>
        <v>0</v>
      </c>
      <c r="R230" s="376">
        <f t="shared" si="18"/>
        <v>0</v>
      </c>
      <c r="S230" s="376">
        <f t="shared" si="8"/>
        <v>0</v>
      </c>
      <c r="T230" s="376">
        <f t="shared" si="19"/>
        <v>0</v>
      </c>
      <c r="U230" s="376"/>
      <c r="V230" s="376">
        <f t="shared" si="20"/>
        <v>0</v>
      </c>
      <c r="W230" s="347">
        <f>IF(B230&gt;$C$75,0,$C$214+SUM($J$217:J230))</f>
        <v>0</v>
      </c>
      <c r="X230" s="378">
        <f t="shared" si="21"/>
        <v>0</v>
      </c>
      <c r="Y230" s="995"/>
      <c r="Z230" s="995"/>
    </row>
    <row r="231" spans="1:26" x14ac:dyDescent="0.45">
      <c r="A231" s="550"/>
      <c r="B231" s="344">
        <v>14</v>
      </c>
      <c r="C231" s="1038">
        <f t="shared" si="9"/>
        <v>0</v>
      </c>
      <c r="D231" s="376">
        <f t="shared" si="10"/>
        <v>0</v>
      </c>
      <c r="E231" s="1038">
        <f t="shared" si="11"/>
        <v>0</v>
      </c>
      <c r="F231" s="376">
        <f t="shared" si="12"/>
        <v>0</v>
      </c>
      <c r="G231" s="345">
        <v>0</v>
      </c>
      <c r="H231" s="376">
        <f t="shared" si="4"/>
        <v>0</v>
      </c>
      <c r="I231" s="345">
        <v>2.564E-2</v>
      </c>
      <c r="J231" s="376">
        <f t="shared" si="13"/>
        <v>0</v>
      </c>
      <c r="K231" s="377">
        <f t="shared" si="5"/>
        <v>0</v>
      </c>
      <c r="L231" s="376">
        <f t="shared" si="6"/>
        <v>0</v>
      </c>
      <c r="M231" s="376">
        <f t="shared" si="14"/>
        <v>0</v>
      </c>
      <c r="N231" s="376">
        <f t="shared" si="7"/>
        <v>0</v>
      </c>
      <c r="O231" s="347">
        <f t="shared" si="15"/>
        <v>0</v>
      </c>
      <c r="P231" s="347">
        <f t="shared" si="16"/>
        <v>0</v>
      </c>
      <c r="Q231" s="347">
        <f t="shared" si="17"/>
        <v>0</v>
      </c>
      <c r="R231" s="376">
        <f t="shared" si="18"/>
        <v>0</v>
      </c>
      <c r="S231" s="376">
        <f t="shared" si="8"/>
        <v>0</v>
      </c>
      <c r="T231" s="376">
        <f t="shared" si="19"/>
        <v>0</v>
      </c>
      <c r="U231" s="376"/>
      <c r="V231" s="376">
        <f t="shared" si="20"/>
        <v>0</v>
      </c>
      <c r="W231" s="347">
        <f>IF(B231&gt;$C$75,0,$C$214+SUM($J$217:J231))</f>
        <v>0</v>
      </c>
      <c r="X231" s="378">
        <f t="shared" si="21"/>
        <v>0</v>
      </c>
      <c r="Y231" s="995"/>
      <c r="Z231" s="995"/>
    </row>
    <row r="232" spans="1:26" x14ac:dyDescent="0.45">
      <c r="A232" s="550"/>
      <c r="B232" s="344">
        <v>15</v>
      </c>
      <c r="C232" s="1038">
        <f t="shared" si="9"/>
        <v>0</v>
      </c>
      <c r="D232" s="376">
        <f t="shared" si="10"/>
        <v>0</v>
      </c>
      <c r="E232" s="1038">
        <f t="shared" si="11"/>
        <v>0</v>
      </c>
      <c r="F232" s="376">
        <f t="shared" si="12"/>
        <v>0</v>
      </c>
      <c r="G232" s="345">
        <v>0</v>
      </c>
      <c r="H232" s="376">
        <f t="shared" si="4"/>
        <v>0</v>
      </c>
      <c r="I232" s="345">
        <v>2.564E-2</v>
      </c>
      <c r="J232" s="376">
        <f t="shared" si="13"/>
        <v>0</v>
      </c>
      <c r="K232" s="377">
        <f t="shared" si="5"/>
        <v>0</v>
      </c>
      <c r="L232" s="376">
        <f t="shared" si="6"/>
        <v>0</v>
      </c>
      <c r="M232" s="376">
        <f t="shared" si="14"/>
        <v>0</v>
      </c>
      <c r="N232" s="376">
        <f t="shared" si="7"/>
        <v>0</v>
      </c>
      <c r="O232" s="347">
        <f t="shared" si="15"/>
        <v>0</v>
      </c>
      <c r="P232" s="347">
        <f t="shared" si="16"/>
        <v>0</v>
      </c>
      <c r="Q232" s="347">
        <f t="shared" si="17"/>
        <v>0</v>
      </c>
      <c r="R232" s="376">
        <f t="shared" si="18"/>
        <v>0</v>
      </c>
      <c r="S232" s="376">
        <f t="shared" si="8"/>
        <v>0</v>
      </c>
      <c r="T232" s="376">
        <f t="shared" si="19"/>
        <v>0</v>
      </c>
      <c r="U232" s="376"/>
      <c r="V232" s="376">
        <f t="shared" si="20"/>
        <v>0</v>
      </c>
      <c r="W232" s="347">
        <f>IF(B232&gt;$C$75,0,$C$214+SUM($J$217:J232))</f>
        <v>0</v>
      </c>
      <c r="X232" s="378">
        <f t="shared" si="21"/>
        <v>0</v>
      </c>
      <c r="Y232" s="995"/>
      <c r="Z232" s="995"/>
    </row>
    <row r="233" spans="1:26" x14ac:dyDescent="0.45">
      <c r="A233" s="550"/>
      <c r="B233" s="344">
        <v>16</v>
      </c>
      <c r="C233" s="1038">
        <f t="shared" si="9"/>
        <v>0</v>
      </c>
      <c r="D233" s="376">
        <f t="shared" si="10"/>
        <v>0</v>
      </c>
      <c r="E233" s="1038">
        <f t="shared" si="11"/>
        <v>0</v>
      </c>
      <c r="F233" s="376">
        <f t="shared" si="12"/>
        <v>0</v>
      </c>
      <c r="G233" s="345">
        <v>0</v>
      </c>
      <c r="H233" s="376">
        <f t="shared" si="4"/>
        <v>0</v>
      </c>
      <c r="I233" s="345">
        <v>2.564E-2</v>
      </c>
      <c r="J233" s="376">
        <f t="shared" si="13"/>
        <v>0</v>
      </c>
      <c r="K233" s="377">
        <f t="shared" si="5"/>
        <v>0</v>
      </c>
      <c r="L233" s="376">
        <f t="shared" si="6"/>
        <v>0</v>
      </c>
      <c r="M233" s="376">
        <f t="shared" si="14"/>
        <v>0</v>
      </c>
      <c r="N233" s="376">
        <f t="shared" si="7"/>
        <v>0</v>
      </c>
      <c r="O233" s="347">
        <f t="shared" si="15"/>
        <v>0</v>
      </c>
      <c r="P233" s="347">
        <f t="shared" si="16"/>
        <v>0</v>
      </c>
      <c r="Q233" s="347">
        <f t="shared" si="17"/>
        <v>0</v>
      </c>
      <c r="R233" s="376">
        <f t="shared" si="18"/>
        <v>0</v>
      </c>
      <c r="S233" s="376">
        <f t="shared" si="8"/>
        <v>0</v>
      </c>
      <c r="T233" s="376">
        <f t="shared" si="19"/>
        <v>0</v>
      </c>
      <c r="U233" s="376"/>
      <c r="V233" s="376">
        <f t="shared" si="20"/>
        <v>0</v>
      </c>
      <c r="W233" s="347">
        <f>IF(B233&gt;$C$75,0,$C$214+SUM($J$217:J233))</f>
        <v>0</v>
      </c>
      <c r="X233" s="378">
        <f t="shared" si="21"/>
        <v>0</v>
      </c>
      <c r="Y233" s="995"/>
      <c r="Z233" s="995"/>
    </row>
    <row r="234" spans="1:26" x14ac:dyDescent="0.45">
      <c r="A234" s="550"/>
      <c r="B234" s="344">
        <v>17</v>
      </c>
      <c r="C234" s="1038">
        <f t="shared" si="9"/>
        <v>0</v>
      </c>
      <c r="D234" s="376">
        <f t="shared" si="10"/>
        <v>0</v>
      </c>
      <c r="E234" s="1038">
        <f t="shared" si="11"/>
        <v>0</v>
      </c>
      <c r="F234" s="376">
        <f t="shared" si="12"/>
        <v>0</v>
      </c>
      <c r="G234" s="345">
        <v>0</v>
      </c>
      <c r="H234" s="376">
        <f t="shared" si="4"/>
        <v>0</v>
      </c>
      <c r="I234" s="345">
        <v>2.564E-2</v>
      </c>
      <c r="J234" s="376">
        <f t="shared" si="13"/>
        <v>0</v>
      </c>
      <c r="K234" s="377">
        <f t="shared" si="5"/>
        <v>0</v>
      </c>
      <c r="L234" s="376">
        <f t="shared" si="6"/>
        <v>0</v>
      </c>
      <c r="M234" s="376">
        <f t="shared" si="14"/>
        <v>0</v>
      </c>
      <c r="N234" s="376">
        <f t="shared" si="7"/>
        <v>0</v>
      </c>
      <c r="O234" s="347">
        <f t="shared" si="15"/>
        <v>0</v>
      </c>
      <c r="P234" s="347">
        <f t="shared" si="16"/>
        <v>0</v>
      </c>
      <c r="Q234" s="347">
        <f t="shared" si="17"/>
        <v>0</v>
      </c>
      <c r="R234" s="376">
        <f t="shared" si="18"/>
        <v>0</v>
      </c>
      <c r="S234" s="376">
        <f t="shared" si="8"/>
        <v>0</v>
      </c>
      <c r="T234" s="376">
        <f t="shared" si="19"/>
        <v>0</v>
      </c>
      <c r="U234" s="376"/>
      <c r="V234" s="376">
        <f t="shared" si="20"/>
        <v>0</v>
      </c>
      <c r="W234" s="347">
        <f>IF(B234&gt;$C$75,0,$C$214+SUM($J$217:J234))</f>
        <v>0</v>
      </c>
      <c r="X234" s="378">
        <f t="shared" si="21"/>
        <v>0</v>
      </c>
      <c r="Y234" s="995"/>
      <c r="Z234" s="995"/>
    </row>
    <row r="235" spans="1:26" x14ac:dyDescent="0.45">
      <c r="A235" s="550"/>
      <c r="B235" s="344">
        <v>18</v>
      </c>
      <c r="C235" s="1038">
        <f t="shared" si="9"/>
        <v>0</v>
      </c>
      <c r="D235" s="376">
        <f t="shared" si="10"/>
        <v>0</v>
      </c>
      <c r="E235" s="1038">
        <f t="shared" si="11"/>
        <v>0</v>
      </c>
      <c r="F235" s="376">
        <f t="shared" si="12"/>
        <v>0</v>
      </c>
      <c r="G235" s="345">
        <v>0</v>
      </c>
      <c r="H235" s="376">
        <f t="shared" si="4"/>
        <v>0</v>
      </c>
      <c r="I235" s="345">
        <v>2.564E-2</v>
      </c>
      <c r="J235" s="376">
        <f t="shared" si="13"/>
        <v>0</v>
      </c>
      <c r="K235" s="377">
        <f t="shared" si="5"/>
        <v>0</v>
      </c>
      <c r="L235" s="376">
        <f t="shared" si="6"/>
        <v>0</v>
      </c>
      <c r="M235" s="376">
        <f t="shared" si="14"/>
        <v>0</v>
      </c>
      <c r="N235" s="376">
        <f t="shared" si="7"/>
        <v>0</v>
      </c>
      <c r="O235" s="347">
        <f t="shared" si="15"/>
        <v>0</v>
      </c>
      <c r="P235" s="347">
        <f t="shared" si="16"/>
        <v>0</v>
      </c>
      <c r="Q235" s="347">
        <f t="shared" si="17"/>
        <v>0</v>
      </c>
      <c r="R235" s="376">
        <f t="shared" si="18"/>
        <v>0</v>
      </c>
      <c r="S235" s="376">
        <f t="shared" si="8"/>
        <v>0</v>
      </c>
      <c r="T235" s="376">
        <f t="shared" si="19"/>
        <v>0</v>
      </c>
      <c r="U235" s="376"/>
      <c r="V235" s="376">
        <f t="shared" si="20"/>
        <v>0</v>
      </c>
      <c r="W235" s="347">
        <f>IF(B235&gt;$C$75,0,$C$214+SUM($J$217:J235))</f>
        <v>0</v>
      </c>
      <c r="X235" s="378">
        <f t="shared" si="21"/>
        <v>0</v>
      </c>
      <c r="Y235" s="995"/>
      <c r="Z235" s="995"/>
    </row>
    <row r="236" spans="1:26" x14ac:dyDescent="0.45">
      <c r="A236" s="550"/>
      <c r="B236" s="344">
        <v>19</v>
      </c>
      <c r="C236" s="1038">
        <f t="shared" si="9"/>
        <v>0</v>
      </c>
      <c r="D236" s="376">
        <f t="shared" si="10"/>
        <v>0</v>
      </c>
      <c r="E236" s="1038">
        <f t="shared" si="11"/>
        <v>0</v>
      </c>
      <c r="F236" s="376">
        <f t="shared" si="12"/>
        <v>0</v>
      </c>
      <c r="G236" s="345">
        <v>0</v>
      </c>
      <c r="H236" s="376">
        <f t="shared" si="4"/>
        <v>0</v>
      </c>
      <c r="I236" s="345">
        <v>2.564E-2</v>
      </c>
      <c r="J236" s="376">
        <f t="shared" si="13"/>
        <v>0</v>
      </c>
      <c r="K236" s="377">
        <f t="shared" si="5"/>
        <v>0</v>
      </c>
      <c r="L236" s="376">
        <f t="shared" si="6"/>
        <v>0</v>
      </c>
      <c r="M236" s="376">
        <f t="shared" si="14"/>
        <v>0</v>
      </c>
      <c r="N236" s="376">
        <f t="shared" si="7"/>
        <v>0</v>
      </c>
      <c r="O236" s="347">
        <f t="shared" si="15"/>
        <v>0</v>
      </c>
      <c r="P236" s="347">
        <f t="shared" si="16"/>
        <v>0</v>
      </c>
      <c r="Q236" s="347">
        <f t="shared" si="17"/>
        <v>0</v>
      </c>
      <c r="R236" s="376">
        <f t="shared" si="18"/>
        <v>0</v>
      </c>
      <c r="S236" s="376">
        <f t="shared" si="8"/>
        <v>0</v>
      </c>
      <c r="T236" s="376">
        <f t="shared" si="19"/>
        <v>0</v>
      </c>
      <c r="U236" s="376"/>
      <c r="V236" s="376">
        <f t="shared" si="20"/>
        <v>0</v>
      </c>
      <c r="W236" s="347">
        <f>IF(B236&gt;$C$75,0,$C$214+SUM($J$217:J236))</f>
        <v>0</v>
      </c>
      <c r="X236" s="378">
        <f t="shared" si="21"/>
        <v>0</v>
      </c>
      <c r="Y236" s="995"/>
      <c r="Z236" s="995"/>
    </row>
    <row r="237" spans="1:26" x14ac:dyDescent="0.45">
      <c r="A237" s="550"/>
      <c r="B237" s="344">
        <v>20</v>
      </c>
      <c r="C237" s="1038">
        <f t="shared" si="9"/>
        <v>0</v>
      </c>
      <c r="D237" s="376">
        <f t="shared" si="10"/>
        <v>0</v>
      </c>
      <c r="E237" s="1038">
        <f t="shared" si="11"/>
        <v>0</v>
      </c>
      <c r="F237" s="376">
        <f t="shared" si="12"/>
        <v>0</v>
      </c>
      <c r="G237" s="345">
        <v>0</v>
      </c>
      <c r="H237" s="376">
        <f t="shared" si="4"/>
        <v>0</v>
      </c>
      <c r="I237" s="345">
        <v>2.564E-2</v>
      </c>
      <c r="J237" s="376">
        <f t="shared" si="13"/>
        <v>0</v>
      </c>
      <c r="K237" s="377">
        <f t="shared" si="5"/>
        <v>0</v>
      </c>
      <c r="L237" s="376">
        <f t="shared" si="6"/>
        <v>0</v>
      </c>
      <c r="M237" s="376">
        <f t="shared" si="14"/>
        <v>0</v>
      </c>
      <c r="N237" s="376">
        <f t="shared" si="7"/>
        <v>0</v>
      </c>
      <c r="O237" s="347">
        <f t="shared" si="15"/>
        <v>0</v>
      </c>
      <c r="P237" s="347">
        <f t="shared" si="16"/>
        <v>0</v>
      </c>
      <c r="Q237" s="347">
        <f t="shared" si="17"/>
        <v>0</v>
      </c>
      <c r="R237" s="376">
        <f t="shared" si="18"/>
        <v>0</v>
      </c>
      <c r="S237" s="376">
        <f t="shared" si="8"/>
        <v>0</v>
      </c>
      <c r="T237" s="376">
        <f t="shared" si="19"/>
        <v>0</v>
      </c>
      <c r="U237" s="376"/>
      <c r="V237" s="376">
        <f t="shared" si="20"/>
        <v>0</v>
      </c>
      <c r="W237" s="347">
        <f>IF(B237&gt;$C$75,0,$C$214+SUM($J$217:J237))</f>
        <v>0</v>
      </c>
      <c r="X237" s="378">
        <f t="shared" si="21"/>
        <v>0</v>
      </c>
      <c r="Y237" s="995"/>
      <c r="Z237" s="995"/>
    </row>
    <row r="238" spans="1:26" x14ac:dyDescent="0.45">
      <c r="A238" s="550"/>
      <c r="B238" s="344"/>
      <c r="C238" s="1038"/>
      <c r="D238" s="349"/>
      <c r="E238" s="345"/>
      <c r="F238" s="349"/>
      <c r="G238" s="345"/>
      <c r="H238" s="349"/>
      <c r="I238" s="345"/>
      <c r="J238" s="349"/>
      <c r="K238" s="349"/>
      <c r="L238" s="349"/>
      <c r="M238" s="349"/>
      <c r="N238" s="345"/>
      <c r="O238" s="345"/>
      <c r="P238" s="345"/>
      <c r="Q238" s="345"/>
      <c r="R238" s="349"/>
      <c r="S238" s="349"/>
      <c r="T238" s="345"/>
      <c r="U238" s="345"/>
      <c r="V238" s="345"/>
      <c r="W238" s="348" t="s">
        <v>158</v>
      </c>
      <c r="X238" s="353">
        <f>NPV($C$201,X218:X237)+X217</f>
        <v>0</v>
      </c>
      <c r="Y238" s="995"/>
      <c r="Z238" s="995"/>
    </row>
    <row r="239" spans="1:26" x14ac:dyDescent="0.45">
      <c r="A239" s="550"/>
      <c r="B239" s="344"/>
      <c r="C239" s="1038"/>
      <c r="D239" s="360"/>
      <c r="E239" s="345"/>
      <c r="F239" s="360"/>
      <c r="G239" s="345"/>
      <c r="H239" s="360"/>
      <c r="I239" s="345"/>
      <c r="J239" s="360"/>
      <c r="K239" s="360"/>
      <c r="L239" s="360"/>
      <c r="M239" s="360"/>
      <c r="N239" s="345"/>
      <c r="O239" s="345"/>
      <c r="P239" s="345"/>
      <c r="Q239" s="345"/>
      <c r="R239" s="360"/>
      <c r="S239" s="360"/>
      <c r="T239" s="345"/>
      <c r="U239" s="345"/>
      <c r="V239" s="345"/>
      <c r="W239" s="348" t="s">
        <v>134</v>
      </c>
      <c r="X239" s="837">
        <f>IRR(X217:X237,0.1)</f>
        <v>0.10000000000000009</v>
      </c>
      <c r="Y239" s="995"/>
      <c r="Z239" s="995"/>
    </row>
    <row r="240" spans="1:26" x14ac:dyDescent="0.45">
      <c r="A240" s="550"/>
      <c r="B240" s="344"/>
      <c r="C240" s="1038"/>
      <c r="D240" s="828"/>
      <c r="E240" s="345"/>
      <c r="F240" s="345"/>
      <c r="G240" s="345"/>
      <c r="H240" s="345"/>
      <c r="I240" s="345"/>
      <c r="J240" s="345"/>
      <c r="K240" s="348"/>
      <c r="L240" s="345"/>
      <c r="M240" s="345"/>
      <c r="N240" s="345"/>
      <c r="O240" s="345"/>
      <c r="P240" s="345"/>
      <c r="Q240" s="345"/>
      <c r="R240" s="345"/>
      <c r="S240" s="345"/>
      <c r="T240" s="345"/>
      <c r="U240" s="345"/>
      <c r="V240" s="345"/>
      <c r="W240" s="345"/>
      <c r="X240" s="346"/>
      <c r="Y240" s="995"/>
      <c r="Z240" s="995"/>
    </row>
    <row r="241" spans="1:26" s="540" customFormat="1" x14ac:dyDescent="0.45">
      <c r="A241" s="550"/>
      <c r="B241" s="357" t="s">
        <v>30</v>
      </c>
      <c r="C241" s="1038"/>
      <c r="D241" s="358"/>
      <c r="E241" s="345"/>
      <c r="F241" s="348"/>
      <c r="G241" s="345"/>
      <c r="H241" s="345"/>
      <c r="I241" s="345"/>
      <c r="J241" s="345"/>
      <c r="K241" s="345"/>
      <c r="L241" s="345"/>
      <c r="M241" s="345"/>
      <c r="N241" s="345"/>
      <c r="O241" s="345"/>
      <c r="P241" s="345"/>
      <c r="Q241" s="345"/>
      <c r="R241" s="345"/>
      <c r="S241" s="345"/>
      <c r="T241" s="345"/>
      <c r="U241" s="345"/>
      <c r="V241" s="345"/>
      <c r="W241" s="345"/>
      <c r="X241" s="346"/>
      <c r="Y241" s="995"/>
      <c r="Z241" s="995"/>
    </row>
    <row r="242" spans="1:26" s="540" customFormat="1" x14ac:dyDescent="0.45">
      <c r="A242" s="550"/>
      <c r="B242" s="344" t="s">
        <v>270</v>
      </c>
      <c r="C242" s="832">
        <f>$D$83*$C$76</f>
        <v>76370688</v>
      </c>
      <c r="D242" s="345" t="s">
        <v>1</v>
      </c>
      <c r="E242" s="345"/>
      <c r="F242" s="345"/>
      <c r="G242" s="345"/>
      <c r="H242" s="345"/>
      <c r="I242" s="345"/>
      <c r="J242" s="345"/>
      <c r="K242" s="345"/>
      <c r="L242" s="345"/>
      <c r="M242" s="345"/>
      <c r="N242" s="345"/>
      <c r="O242" s="345"/>
      <c r="P242" s="345"/>
      <c r="Q242" s="345"/>
      <c r="R242" s="345"/>
      <c r="S242" s="345"/>
      <c r="T242" s="345"/>
      <c r="U242" s="345"/>
      <c r="V242" s="345"/>
      <c r="W242" s="345"/>
      <c r="X242" s="346"/>
      <c r="Y242" s="995"/>
      <c r="Z242" s="995"/>
    </row>
    <row r="243" spans="1:26" s="540" customFormat="1" x14ac:dyDescent="0.45">
      <c r="A243" s="550"/>
      <c r="B243" s="344" t="s">
        <v>271</v>
      </c>
      <c r="C243" s="832">
        <f>$E$83*$C$79</f>
        <v>12927330.000000002</v>
      </c>
      <c r="D243" s="345" t="s">
        <v>1</v>
      </c>
      <c r="E243" s="345"/>
      <c r="F243" s="345"/>
      <c r="G243" s="347"/>
      <c r="H243" s="345"/>
      <c r="I243" s="345"/>
      <c r="J243" s="345"/>
      <c r="K243" s="345"/>
      <c r="L243" s="345"/>
      <c r="M243" s="345"/>
      <c r="N243" s="345"/>
      <c r="O243" s="345"/>
      <c r="P243" s="345"/>
      <c r="Q243" s="345"/>
      <c r="R243" s="345"/>
      <c r="S243" s="345"/>
      <c r="T243" s="345"/>
      <c r="U243" s="345"/>
      <c r="V243" s="345"/>
      <c r="W243" s="345"/>
      <c r="X243" s="346"/>
      <c r="Y243" s="995"/>
      <c r="Z243" s="995"/>
    </row>
    <row r="244" spans="1:26" s="540" customFormat="1" x14ac:dyDescent="0.45">
      <c r="A244" s="550"/>
      <c r="B244" s="829"/>
      <c r="C244" s="1038"/>
      <c r="D244" s="358"/>
      <c r="E244" s="345"/>
      <c r="F244" s="348"/>
      <c r="G244" s="345"/>
      <c r="H244" s="345"/>
      <c r="I244" s="345"/>
      <c r="J244" s="345"/>
      <c r="K244" s="345"/>
      <c r="L244" s="345"/>
      <c r="M244" s="345"/>
      <c r="N244" s="345"/>
      <c r="O244" s="345"/>
      <c r="P244" s="345"/>
      <c r="Q244" s="345"/>
      <c r="R244" s="345"/>
      <c r="S244" s="345"/>
      <c r="T244" s="345"/>
      <c r="U244" s="345"/>
      <c r="V244" s="345"/>
      <c r="W244" s="345"/>
      <c r="X244" s="346"/>
      <c r="Y244" s="995"/>
      <c r="Z244" s="995"/>
    </row>
    <row r="245" spans="1:26" s="540" customFormat="1" x14ac:dyDescent="0.45">
      <c r="A245" s="550"/>
      <c r="B245" s="354" t="s">
        <v>27</v>
      </c>
      <c r="C245" s="1040" t="s">
        <v>379</v>
      </c>
      <c r="D245" s="355" t="s">
        <v>128</v>
      </c>
      <c r="E245" s="355" t="s">
        <v>380</v>
      </c>
      <c r="F245" s="355" t="s">
        <v>245</v>
      </c>
      <c r="G245" s="355" t="s">
        <v>367</v>
      </c>
      <c r="H245" s="355" t="s">
        <v>368</v>
      </c>
      <c r="I245" s="355" t="s">
        <v>369</v>
      </c>
      <c r="J245" s="355" t="s">
        <v>370</v>
      </c>
      <c r="K245" s="355" t="s">
        <v>131</v>
      </c>
      <c r="L245" s="355" t="s">
        <v>130</v>
      </c>
      <c r="M245" s="355" t="s">
        <v>129</v>
      </c>
      <c r="N245" s="355" t="s">
        <v>374</v>
      </c>
      <c r="O245" s="355" t="s">
        <v>124</v>
      </c>
      <c r="P245" s="355" t="s">
        <v>125</v>
      </c>
      <c r="Q245" s="355" t="s">
        <v>126</v>
      </c>
      <c r="R245" s="355" t="s">
        <v>155</v>
      </c>
      <c r="S245" s="355" t="s">
        <v>157</v>
      </c>
      <c r="T245" s="355" t="s">
        <v>156</v>
      </c>
      <c r="U245" s="345" t="s">
        <v>280</v>
      </c>
      <c r="V245" s="355" t="s">
        <v>375</v>
      </c>
      <c r="W245" s="355" t="s">
        <v>373</v>
      </c>
      <c r="X245" s="835" t="s">
        <v>164</v>
      </c>
      <c r="Y245" s="995"/>
      <c r="Z245" s="995"/>
    </row>
    <row r="246" spans="1:26" s="540" customFormat="1" x14ac:dyDescent="0.45">
      <c r="A246" s="550"/>
      <c r="B246" s="359">
        <v>0</v>
      </c>
      <c r="C246" s="1039">
        <v>0.1672007977752839</v>
      </c>
      <c r="D246" s="375">
        <v>0</v>
      </c>
      <c r="E246" s="833">
        <f>SUM(I37,I38,IF(C80=0,0,((D93+L32*D93/(D92+D93))*E32)),(G101+L33*G101/(G100+G101))*E33,(E142+L34*E142/(E141+E142))*E34)</f>
        <v>0.10209664151003192</v>
      </c>
      <c r="F246" s="375">
        <v>0</v>
      </c>
      <c r="G246" s="345">
        <v>0</v>
      </c>
      <c r="H246" s="376">
        <f t="shared" ref="H246:H266" si="22">IF(D246&gt;0,-1*G246*$C$242,0)</f>
        <v>0</v>
      </c>
      <c r="I246" s="376">
        <v>0</v>
      </c>
      <c r="J246" s="376">
        <v>0</v>
      </c>
      <c r="K246" s="379">
        <f t="shared" ref="K246:K266" si="23">D246+F246+H246+J246</f>
        <v>0</v>
      </c>
      <c r="L246" s="375">
        <f t="shared" ref="L246:L266" si="24">IF(F246&lt;&gt;0,-1*($C$203+$C$204)*D246,0)</f>
        <v>0</v>
      </c>
      <c r="M246" s="375">
        <f>K246+L246</f>
        <v>0</v>
      </c>
      <c r="N246" s="376">
        <f t="shared" ref="N246:N266" si="25">IF(V246&gt;0,V246-W246,0)</f>
        <v>0</v>
      </c>
      <c r="O246" s="347">
        <v>0</v>
      </c>
      <c r="P246" s="347">
        <v>0</v>
      </c>
      <c r="Q246" s="347">
        <v>0</v>
      </c>
      <c r="R246" s="376">
        <f>IF(M246&gt;0,-1*(M246+N246)*$C$202,0)</f>
        <v>0</v>
      </c>
      <c r="S246" s="375">
        <f t="shared" ref="S246:S266" si="26">IF(B246=$C$76,0,$C$205/12*(D247+F247+L247))</f>
        <v>4802238.6423224732</v>
      </c>
      <c r="T246" s="375">
        <f>S246</f>
        <v>4802238.6423224732</v>
      </c>
      <c r="U246" s="375">
        <f>-1*(C242+C243)</f>
        <v>-89298018</v>
      </c>
      <c r="V246" s="376">
        <v>0</v>
      </c>
      <c r="W246" s="347">
        <f>IF(B246&gt;$C$76,0,$C$243+SUM($J$246:J246))</f>
        <v>12927330.000000002</v>
      </c>
      <c r="X246" s="836">
        <f>-T246+U246</f>
        <v>-94100256.642322481</v>
      </c>
      <c r="Y246" s="995"/>
      <c r="Z246" s="995"/>
    </row>
    <row r="247" spans="1:26" s="540" customFormat="1" x14ac:dyDescent="0.45">
      <c r="A247" s="550"/>
      <c r="B247" s="344">
        <v>1</v>
      </c>
      <c r="C247" s="1038">
        <f t="shared" ref="C247:C266" si="27">IF(B247&gt;$C$76,0,$C$246*(1+$C$199)^B247)</f>
        <v>0.17087921532634015</v>
      </c>
      <c r="D247" s="376">
        <f t="shared" ref="D247:D266" si="28">C247*$C$198*1000000</f>
        <v>67547481.099098727</v>
      </c>
      <c r="E247" s="1038">
        <f t="shared" ref="E247:E266" si="29">IF(B247&gt;$C$76,0,$E$246*(1+$C$200)^B247)</f>
        <v>0.10434276762325262</v>
      </c>
      <c r="F247" s="376">
        <f t="shared" ref="F247:F266" si="30">-1*E247*$C$198*1000000</f>
        <v>-41246041.01440347</v>
      </c>
      <c r="G247" s="345">
        <v>0.1429</v>
      </c>
      <c r="H247" s="376">
        <f t="shared" si="22"/>
        <v>-10913371.315199999</v>
      </c>
      <c r="I247" s="345">
        <v>1.391E-2</v>
      </c>
      <c r="J247" s="376">
        <f t="shared" ref="J247:J266" si="31">IF(D247&gt;0,-1*$C$243*I247,0)</f>
        <v>-179819.16030000002</v>
      </c>
      <c r="K247" s="377">
        <f t="shared" si="23"/>
        <v>15208249.609195258</v>
      </c>
      <c r="L247" s="376">
        <f t="shared" si="24"/>
        <v>-7092485.5154053662</v>
      </c>
      <c r="M247" s="376">
        <f t="shared" ref="M247:M266" si="32">K247+L247</f>
        <v>8115764.0937898923</v>
      </c>
      <c r="N247" s="376">
        <f t="shared" si="25"/>
        <v>0</v>
      </c>
      <c r="O247" s="347">
        <f t="shared" ref="O247:O266" si="33">IF(M247&lt;0,M247*-1,0)</f>
        <v>0</v>
      </c>
      <c r="P247" s="347">
        <f t="shared" ref="P247:P266" si="34">P246+O247-Q247</f>
        <v>0</v>
      </c>
      <c r="Q247" s="347">
        <f t="shared" ref="Q247:Q266" si="35">IF(B247=$C$76+1,O247,IF(AND(M247&gt;0, P246&gt;0), MIN(M247,P246),0))</f>
        <v>0</v>
      </c>
      <c r="R247" s="376">
        <f t="shared" ref="R247:R266" si="36">IF(M247&gt;0,-1*(M247+N247-Q247)*$C$202,0)</f>
        <v>-2264298.1821673797</v>
      </c>
      <c r="S247" s="376">
        <f t="shared" si="26"/>
        <v>4907887.8924535681</v>
      </c>
      <c r="T247" s="376">
        <f t="shared" ref="T247:T266" si="37">(S247-S246)</f>
        <v>105649.25013109483</v>
      </c>
      <c r="U247" s="376"/>
      <c r="V247" s="376">
        <f t="shared" ref="V247:V266" si="38">IF(B247=$C$76,$C$243*(1-1/$C$79*B247),0)</f>
        <v>0</v>
      </c>
      <c r="W247" s="347">
        <f>IF(B247&gt;$C$76,0,$C$243+SUM($J$246:J247))</f>
        <v>12747510.839700002</v>
      </c>
      <c r="X247" s="378">
        <f t="shared" ref="X247:X266" si="39">M247+R247-1*(H247+J247)-T247+U247+V247</f>
        <v>16839007.136991419</v>
      </c>
      <c r="Y247" s="995"/>
      <c r="Z247" s="995"/>
    </row>
    <row r="248" spans="1:26" s="540" customFormat="1" x14ac:dyDescent="0.45">
      <c r="B248" s="344">
        <v>2</v>
      </c>
      <c r="C248" s="1038">
        <f t="shared" si="27"/>
        <v>0.17463855806351963</v>
      </c>
      <c r="D248" s="376">
        <f t="shared" si="28"/>
        <v>69033525.683278903</v>
      </c>
      <c r="E248" s="1038">
        <f t="shared" si="29"/>
        <v>0.10663830851096417</v>
      </c>
      <c r="F248" s="376">
        <f t="shared" si="30"/>
        <v>-42153453.916720346</v>
      </c>
      <c r="G248" s="345">
        <v>0.24490000000000001</v>
      </c>
      <c r="H248" s="376">
        <f t="shared" si="22"/>
        <v>-18703181.4912</v>
      </c>
      <c r="I248" s="345">
        <v>2.564E-2</v>
      </c>
      <c r="J248" s="376">
        <f t="shared" si="31"/>
        <v>-331456.74120000005</v>
      </c>
      <c r="K248" s="377">
        <f t="shared" si="23"/>
        <v>7845433.5341585577</v>
      </c>
      <c r="L248" s="376">
        <f t="shared" si="24"/>
        <v>-7248520.1967442846</v>
      </c>
      <c r="M248" s="376">
        <f t="shared" si="32"/>
        <v>596913.33741427306</v>
      </c>
      <c r="N248" s="376">
        <f t="shared" si="25"/>
        <v>0</v>
      </c>
      <c r="O248" s="347">
        <f t="shared" si="33"/>
        <v>0</v>
      </c>
      <c r="P248" s="347">
        <f t="shared" si="34"/>
        <v>0</v>
      </c>
      <c r="Q248" s="347">
        <f t="shared" si="35"/>
        <v>0</v>
      </c>
      <c r="R248" s="376">
        <f t="shared" si="36"/>
        <v>-166538.82113858216</v>
      </c>
      <c r="S248" s="376">
        <f t="shared" si="26"/>
        <v>5015861.4260875452</v>
      </c>
      <c r="T248" s="376">
        <f t="shared" si="37"/>
        <v>107973.53363397717</v>
      </c>
      <c r="U248" s="376"/>
      <c r="V248" s="376">
        <f t="shared" si="38"/>
        <v>0</v>
      </c>
      <c r="W248" s="347">
        <f>IF(B248&gt;$C$76,0,$C$243+SUM($J$246:J248))</f>
        <v>12416054.098500002</v>
      </c>
      <c r="X248" s="378">
        <f t="shared" si="39"/>
        <v>19357039.215041712</v>
      </c>
      <c r="Y248" s="995"/>
      <c r="Z248" s="995"/>
    </row>
    <row r="249" spans="1:26" s="540" customFormat="1" x14ac:dyDescent="0.45">
      <c r="B249" s="344">
        <v>3</v>
      </c>
      <c r="C249" s="1038">
        <f t="shared" si="27"/>
        <v>0.17848060634091706</v>
      </c>
      <c r="D249" s="376">
        <f t="shared" si="28"/>
        <v>70552263.248311043</v>
      </c>
      <c r="E249" s="1038">
        <f t="shared" si="29"/>
        <v>0.1089843512982054</v>
      </c>
      <c r="F249" s="376">
        <f t="shared" si="30"/>
        <v>-43080829.902888201</v>
      </c>
      <c r="G249" s="345">
        <v>0.1749</v>
      </c>
      <c r="H249" s="376">
        <f t="shared" si="22"/>
        <v>-13357233.3312</v>
      </c>
      <c r="I249" s="345">
        <v>2.564E-2</v>
      </c>
      <c r="J249" s="376">
        <f t="shared" si="31"/>
        <v>-331456.74120000005</v>
      </c>
      <c r="K249" s="377">
        <f t="shared" si="23"/>
        <v>13782743.273022842</v>
      </c>
      <c r="L249" s="376">
        <f t="shared" si="24"/>
        <v>-7407987.6410726588</v>
      </c>
      <c r="M249" s="376">
        <f t="shared" si="32"/>
        <v>6374755.6319501828</v>
      </c>
      <c r="N249" s="376">
        <f t="shared" si="25"/>
        <v>0</v>
      </c>
      <c r="O249" s="347">
        <f t="shared" si="33"/>
        <v>0</v>
      </c>
      <c r="P249" s="347">
        <f t="shared" si="34"/>
        <v>0</v>
      </c>
      <c r="Q249" s="347">
        <f t="shared" si="35"/>
        <v>0</v>
      </c>
      <c r="R249" s="376">
        <f t="shared" si="36"/>
        <v>-1778556.8213141009</v>
      </c>
      <c r="S249" s="376">
        <f t="shared" si="26"/>
        <v>5126210.3774614716</v>
      </c>
      <c r="T249" s="376">
        <f t="shared" si="37"/>
        <v>110348.95137392636</v>
      </c>
      <c r="U249" s="376"/>
      <c r="V249" s="376">
        <f t="shared" si="38"/>
        <v>0</v>
      </c>
      <c r="W249" s="347">
        <f>IF(B249&gt;$C$76,0,$C$243+SUM($J$246:J249))</f>
        <v>12084597.357300002</v>
      </c>
      <c r="X249" s="378">
        <f t="shared" si="39"/>
        <v>18174539.931662153</v>
      </c>
      <c r="Y249" s="995"/>
      <c r="Z249" s="995"/>
    </row>
    <row r="250" spans="1:26" s="540" customFormat="1" x14ac:dyDescent="0.45">
      <c r="B250" s="344">
        <v>4</v>
      </c>
      <c r="C250" s="1038">
        <f t="shared" si="27"/>
        <v>0.18240717968041725</v>
      </c>
      <c r="D250" s="376">
        <f t="shared" si="28"/>
        <v>72104413.039773881</v>
      </c>
      <c r="E250" s="1038">
        <f t="shared" si="29"/>
        <v>0.11138200702676591</v>
      </c>
      <c r="F250" s="376">
        <f t="shared" si="30"/>
        <v>-44028608.160751738</v>
      </c>
      <c r="G250" s="345">
        <v>0.1249</v>
      </c>
      <c r="H250" s="376">
        <f t="shared" si="22"/>
        <v>-9538698.9311999995</v>
      </c>
      <c r="I250" s="345">
        <v>2.564E-2</v>
      </c>
      <c r="J250" s="376">
        <f t="shared" si="31"/>
        <v>-331456.74120000005</v>
      </c>
      <c r="K250" s="377">
        <f t="shared" si="23"/>
        <v>18205649.206622146</v>
      </c>
      <c r="L250" s="376">
        <f t="shared" si="24"/>
        <v>-7570963.3691762574</v>
      </c>
      <c r="M250" s="376">
        <f t="shared" si="32"/>
        <v>10634685.837445889</v>
      </c>
      <c r="N250" s="376">
        <f t="shared" si="25"/>
        <v>0</v>
      </c>
      <c r="O250" s="347">
        <f t="shared" si="33"/>
        <v>0</v>
      </c>
      <c r="P250" s="347">
        <f t="shared" si="34"/>
        <v>0</v>
      </c>
      <c r="Q250" s="347">
        <f t="shared" si="35"/>
        <v>0</v>
      </c>
      <c r="R250" s="376">
        <f t="shared" si="36"/>
        <v>-2967077.3486474026</v>
      </c>
      <c r="S250" s="376">
        <f t="shared" si="26"/>
        <v>5238987.0057656225</v>
      </c>
      <c r="T250" s="376">
        <f t="shared" si="37"/>
        <v>112776.62830415089</v>
      </c>
      <c r="U250" s="376"/>
      <c r="V250" s="376">
        <f t="shared" si="38"/>
        <v>0</v>
      </c>
      <c r="W250" s="347">
        <f>IF(B250&gt;$C$76,0,$C$243+SUM($J$246:J250))</f>
        <v>11753140.616100002</v>
      </c>
      <c r="X250" s="378">
        <f t="shared" si="39"/>
        <v>17424987.532894336</v>
      </c>
      <c r="Y250" s="995"/>
      <c r="Z250" s="995"/>
    </row>
    <row r="251" spans="1:26" s="540" customFormat="1" x14ac:dyDescent="0.45">
      <c r="B251" s="344">
        <v>5</v>
      </c>
      <c r="C251" s="1038">
        <f t="shared" si="27"/>
        <v>0.18642013763338641</v>
      </c>
      <c r="D251" s="376">
        <f t="shared" si="28"/>
        <v>73690710.126648903</v>
      </c>
      <c r="E251" s="1038">
        <f t="shared" si="29"/>
        <v>0.11383241118135476</v>
      </c>
      <c r="F251" s="376">
        <f t="shared" si="30"/>
        <v>-44997237.540288277</v>
      </c>
      <c r="G251" s="345">
        <v>8.9300000000000004E-2</v>
      </c>
      <c r="H251" s="376">
        <f t="shared" si="22"/>
        <v>-6819902.4384000003</v>
      </c>
      <c r="I251" s="345">
        <v>2.564E-2</v>
      </c>
      <c r="J251" s="376">
        <f t="shared" si="31"/>
        <v>-331456.74120000005</v>
      </c>
      <c r="K251" s="377">
        <f t="shared" si="23"/>
        <v>21542113.406760626</v>
      </c>
      <c r="L251" s="376">
        <f t="shared" si="24"/>
        <v>-7737524.5632981341</v>
      </c>
      <c r="M251" s="376">
        <f t="shared" si="32"/>
        <v>13804588.843462491</v>
      </c>
      <c r="N251" s="376">
        <f t="shared" si="25"/>
        <v>0</v>
      </c>
      <c r="O251" s="347">
        <f t="shared" si="33"/>
        <v>0</v>
      </c>
      <c r="P251" s="347">
        <f t="shared" si="34"/>
        <v>0</v>
      </c>
      <c r="Q251" s="347">
        <f t="shared" si="35"/>
        <v>0</v>
      </c>
      <c r="R251" s="376">
        <f t="shared" si="36"/>
        <v>-3851480.2873260346</v>
      </c>
      <c r="S251" s="376">
        <f t="shared" si="26"/>
        <v>5354244.7198924692</v>
      </c>
      <c r="T251" s="376">
        <f t="shared" si="37"/>
        <v>115257.71412684675</v>
      </c>
      <c r="U251" s="376"/>
      <c r="V251" s="376">
        <f t="shared" si="38"/>
        <v>0</v>
      </c>
      <c r="W251" s="347">
        <f>IF(B251&gt;$C$76,0,$C$243+SUM($J$246:J251))</f>
        <v>11421683.874900002</v>
      </c>
      <c r="X251" s="378">
        <f t="shared" si="39"/>
        <v>16989210.021609612</v>
      </c>
      <c r="Y251" s="995"/>
      <c r="Z251" s="995"/>
    </row>
    <row r="252" spans="1:26" s="540" customFormat="1" x14ac:dyDescent="0.45">
      <c r="B252" s="344">
        <v>6</v>
      </c>
      <c r="C252" s="1038">
        <f t="shared" si="27"/>
        <v>0.1905213806613209</v>
      </c>
      <c r="D252" s="376">
        <f t="shared" si="28"/>
        <v>75311905.749435186</v>
      </c>
      <c r="E252" s="1038">
        <f t="shared" si="29"/>
        <v>0.11633672422734456</v>
      </c>
      <c r="F252" s="376">
        <f t="shared" si="30"/>
        <v>-45987176.766174614</v>
      </c>
      <c r="G252" s="345">
        <v>8.9200000000000002E-2</v>
      </c>
      <c r="H252" s="376">
        <f t="shared" si="22"/>
        <v>-6812265.3695999999</v>
      </c>
      <c r="I252" s="345">
        <v>2.564E-2</v>
      </c>
      <c r="J252" s="376">
        <f t="shared" si="31"/>
        <v>-331456.74120000005</v>
      </c>
      <c r="K252" s="377">
        <f t="shared" si="23"/>
        <v>22181006.872460574</v>
      </c>
      <c r="L252" s="376">
        <f t="shared" si="24"/>
        <v>-7907750.1036906941</v>
      </c>
      <c r="M252" s="376">
        <f t="shared" si="32"/>
        <v>14273256.768769879</v>
      </c>
      <c r="N252" s="376">
        <f t="shared" si="25"/>
        <v>0</v>
      </c>
      <c r="O252" s="347">
        <f t="shared" si="33"/>
        <v>0</v>
      </c>
      <c r="P252" s="347">
        <f t="shared" si="34"/>
        <v>0</v>
      </c>
      <c r="Q252" s="347">
        <f t="shared" si="35"/>
        <v>0</v>
      </c>
      <c r="R252" s="376">
        <f t="shared" si="36"/>
        <v>-3982238.6384867956</v>
      </c>
      <c r="S252" s="376">
        <f t="shared" si="26"/>
        <v>5472038.1037301058</v>
      </c>
      <c r="T252" s="376">
        <f t="shared" si="37"/>
        <v>117793.38383763656</v>
      </c>
      <c r="U252" s="376"/>
      <c r="V252" s="376">
        <f t="shared" si="38"/>
        <v>0</v>
      </c>
      <c r="W252" s="347">
        <f>IF(B252&gt;$C$76,0,$C$243+SUM($J$246:J252))</f>
        <v>11090227.133700002</v>
      </c>
      <c r="X252" s="378">
        <f t="shared" si="39"/>
        <v>17316946.857245449</v>
      </c>
      <c r="Y252" s="995"/>
      <c r="Z252" s="995"/>
    </row>
    <row r="253" spans="1:26" s="540" customFormat="1" x14ac:dyDescent="0.45">
      <c r="B253" s="344">
        <v>7</v>
      </c>
      <c r="C253" s="1038">
        <f t="shared" si="27"/>
        <v>0.19471285103586999</v>
      </c>
      <c r="D253" s="376">
        <f t="shared" si="28"/>
        <v>76968767.675922766</v>
      </c>
      <c r="E253" s="1038">
        <f t="shared" si="29"/>
        <v>0.11889613216034614</v>
      </c>
      <c r="F253" s="376">
        <f t="shared" si="30"/>
        <v>-46998894.655030452</v>
      </c>
      <c r="G253" s="345">
        <v>8.9300000000000004E-2</v>
      </c>
      <c r="H253" s="376">
        <f t="shared" si="22"/>
        <v>-6819902.4384000003</v>
      </c>
      <c r="I253" s="345">
        <v>2.564E-2</v>
      </c>
      <c r="J253" s="376">
        <f t="shared" si="31"/>
        <v>-331456.74120000005</v>
      </c>
      <c r="K253" s="377">
        <f t="shared" si="23"/>
        <v>22818513.841292314</v>
      </c>
      <c r="L253" s="376">
        <f t="shared" si="24"/>
        <v>-8081720.6059718905</v>
      </c>
      <c r="M253" s="376">
        <f t="shared" si="32"/>
        <v>14736793.235320423</v>
      </c>
      <c r="N253" s="376">
        <f t="shared" si="25"/>
        <v>-1451092.7925000004</v>
      </c>
      <c r="O253" s="347">
        <f t="shared" si="33"/>
        <v>0</v>
      </c>
      <c r="P253" s="347">
        <f t="shared" si="34"/>
        <v>0</v>
      </c>
      <c r="Q253" s="347">
        <f t="shared" si="35"/>
        <v>0</v>
      </c>
      <c r="R253" s="376">
        <f t="shared" si="36"/>
        <v>-3706710.4235468972</v>
      </c>
      <c r="S253" s="376">
        <f t="shared" si="26"/>
        <v>0</v>
      </c>
      <c r="T253" s="376">
        <f t="shared" si="37"/>
        <v>-5472038.1037301058</v>
      </c>
      <c r="U253" s="376"/>
      <c r="V253" s="376">
        <f t="shared" si="38"/>
        <v>9307677.6000000015</v>
      </c>
      <c r="W253" s="347">
        <f>IF(B253&gt;$C$76,0,$C$243+SUM($J$246:J253))</f>
        <v>10758770.392500002</v>
      </c>
      <c r="X253" s="378">
        <f t="shared" si="39"/>
        <v>32961157.69510363</v>
      </c>
      <c r="Y253" s="995"/>
      <c r="Z253" s="995"/>
    </row>
    <row r="254" spans="1:26" s="540" customFormat="1" x14ac:dyDescent="0.45">
      <c r="B254" s="344">
        <v>8</v>
      </c>
      <c r="C254" s="1038">
        <f t="shared" si="27"/>
        <v>0</v>
      </c>
      <c r="D254" s="376">
        <f t="shared" si="28"/>
        <v>0</v>
      </c>
      <c r="E254" s="1038">
        <f t="shared" si="29"/>
        <v>0</v>
      </c>
      <c r="F254" s="376">
        <f t="shared" si="30"/>
        <v>0</v>
      </c>
      <c r="G254" s="345">
        <v>4.4600000000000001E-2</v>
      </c>
      <c r="H254" s="376">
        <f t="shared" si="22"/>
        <v>0</v>
      </c>
      <c r="I254" s="345">
        <v>2.564E-2</v>
      </c>
      <c r="J254" s="376">
        <f t="shared" si="31"/>
        <v>0</v>
      </c>
      <c r="K254" s="377">
        <f t="shared" si="23"/>
        <v>0</v>
      </c>
      <c r="L254" s="376">
        <f t="shared" si="24"/>
        <v>0</v>
      </c>
      <c r="M254" s="376">
        <f t="shared" si="32"/>
        <v>0</v>
      </c>
      <c r="N254" s="376">
        <f t="shared" si="25"/>
        <v>0</v>
      </c>
      <c r="O254" s="347">
        <f t="shared" si="33"/>
        <v>0</v>
      </c>
      <c r="P254" s="347">
        <f t="shared" si="34"/>
        <v>0</v>
      </c>
      <c r="Q254" s="347">
        <f t="shared" si="35"/>
        <v>0</v>
      </c>
      <c r="R254" s="376">
        <f t="shared" si="36"/>
        <v>0</v>
      </c>
      <c r="S254" s="376">
        <f t="shared" si="26"/>
        <v>0</v>
      </c>
      <c r="T254" s="376">
        <f t="shared" si="37"/>
        <v>0</v>
      </c>
      <c r="U254" s="376"/>
      <c r="V254" s="376">
        <f t="shared" si="38"/>
        <v>0</v>
      </c>
      <c r="W254" s="347">
        <f>IF(B254&gt;$C$76,0,$C$243+SUM($J$246:J254))</f>
        <v>0</v>
      </c>
      <c r="X254" s="378">
        <f t="shared" si="39"/>
        <v>0</v>
      </c>
      <c r="Y254" s="995"/>
      <c r="Z254" s="995"/>
    </row>
    <row r="255" spans="1:26" s="540" customFormat="1" x14ac:dyDescent="0.45">
      <c r="B255" s="344">
        <v>9</v>
      </c>
      <c r="C255" s="1038">
        <f t="shared" si="27"/>
        <v>0</v>
      </c>
      <c r="D255" s="376">
        <f t="shared" si="28"/>
        <v>0</v>
      </c>
      <c r="E255" s="1038">
        <f t="shared" si="29"/>
        <v>0</v>
      </c>
      <c r="F255" s="376">
        <f t="shared" si="30"/>
        <v>0</v>
      </c>
      <c r="G255" s="345">
        <v>0</v>
      </c>
      <c r="H255" s="376">
        <f t="shared" si="22"/>
        <v>0</v>
      </c>
      <c r="I255" s="345">
        <v>2.564E-2</v>
      </c>
      <c r="J255" s="376">
        <f t="shared" si="31"/>
        <v>0</v>
      </c>
      <c r="K255" s="377">
        <f t="shared" si="23"/>
        <v>0</v>
      </c>
      <c r="L255" s="376">
        <f t="shared" si="24"/>
        <v>0</v>
      </c>
      <c r="M255" s="376">
        <f t="shared" si="32"/>
        <v>0</v>
      </c>
      <c r="N255" s="376">
        <f t="shared" si="25"/>
        <v>0</v>
      </c>
      <c r="O255" s="347">
        <f t="shared" si="33"/>
        <v>0</v>
      </c>
      <c r="P255" s="347">
        <f t="shared" si="34"/>
        <v>0</v>
      </c>
      <c r="Q255" s="347">
        <f t="shared" si="35"/>
        <v>0</v>
      </c>
      <c r="R255" s="376">
        <f t="shared" si="36"/>
        <v>0</v>
      </c>
      <c r="S255" s="376">
        <f t="shared" si="26"/>
        <v>0</v>
      </c>
      <c r="T255" s="376">
        <f t="shared" si="37"/>
        <v>0</v>
      </c>
      <c r="U255" s="376"/>
      <c r="V255" s="376">
        <f t="shared" si="38"/>
        <v>0</v>
      </c>
      <c r="W255" s="347">
        <f>IF(B255&gt;$C$76,0,$C$243+SUM($J$246:J255))</f>
        <v>0</v>
      </c>
      <c r="X255" s="378">
        <f t="shared" si="39"/>
        <v>0</v>
      </c>
      <c r="Y255" s="995"/>
      <c r="Z255" s="995"/>
    </row>
    <row r="256" spans="1:26" s="540" customFormat="1" x14ac:dyDescent="0.45">
      <c r="B256" s="344">
        <v>10</v>
      </c>
      <c r="C256" s="1038">
        <f t="shared" si="27"/>
        <v>0</v>
      </c>
      <c r="D256" s="376">
        <f t="shared" si="28"/>
        <v>0</v>
      </c>
      <c r="E256" s="1038">
        <f t="shared" si="29"/>
        <v>0</v>
      </c>
      <c r="F256" s="376">
        <f t="shared" si="30"/>
        <v>0</v>
      </c>
      <c r="G256" s="345">
        <v>0</v>
      </c>
      <c r="H256" s="376">
        <f t="shared" si="22"/>
        <v>0</v>
      </c>
      <c r="I256" s="345">
        <v>2.564E-2</v>
      </c>
      <c r="J256" s="376">
        <f t="shared" si="31"/>
        <v>0</v>
      </c>
      <c r="K256" s="377">
        <f t="shared" si="23"/>
        <v>0</v>
      </c>
      <c r="L256" s="376">
        <f t="shared" si="24"/>
        <v>0</v>
      </c>
      <c r="M256" s="376">
        <f t="shared" si="32"/>
        <v>0</v>
      </c>
      <c r="N256" s="376">
        <f t="shared" si="25"/>
        <v>0</v>
      </c>
      <c r="O256" s="347">
        <f t="shared" si="33"/>
        <v>0</v>
      </c>
      <c r="P256" s="347">
        <f t="shared" si="34"/>
        <v>0</v>
      </c>
      <c r="Q256" s="347">
        <f t="shared" si="35"/>
        <v>0</v>
      </c>
      <c r="R256" s="376">
        <f t="shared" si="36"/>
        <v>0</v>
      </c>
      <c r="S256" s="376">
        <f t="shared" si="26"/>
        <v>0</v>
      </c>
      <c r="T256" s="376">
        <f t="shared" si="37"/>
        <v>0</v>
      </c>
      <c r="U256" s="376"/>
      <c r="V256" s="376">
        <f t="shared" si="38"/>
        <v>0</v>
      </c>
      <c r="W256" s="347">
        <f>IF(B256&gt;$C$76,0,$C$243+SUM($J$246:J256))</f>
        <v>0</v>
      </c>
      <c r="X256" s="378">
        <f t="shared" si="39"/>
        <v>0</v>
      </c>
      <c r="Y256" s="995"/>
      <c r="Z256" s="995"/>
    </row>
    <row r="257" spans="2:26" s="540" customFormat="1" x14ac:dyDescent="0.45">
      <c r="B257" s="344">
        <v>11</v>
      </c>
      <c r="C257" s="1038">
        <f t="shared" si="27"/>
        <v>0</v>
      </c>
      <c r="D257" s="376">
        <f t="shared" si="28"/>
        <v>0</v>
      </c>
      <c r="E257" s="1038">
        <f t="shared" si="29"/>
        <v>0</v>
      </c>
      <c r="F257" s="376">
        <f t="shared" si="30"/>
        <v>0</v>
      </c>
      <c r="G257" s="345">
        <v>0</v>
      </c>
      <c r="H257" s="376">
        <f t="shared" si="22"/>
        <v>0</v>
      </c>
      <c r="I257" s="345">
        <v>2.564E-2</v>
      </c>
      <c r="J257" s="376">
        <f t="shared" si="31"/>
        <v>0</v>
      </c>
      <c r="K257" s="377">
        <f t="shared" si="23"/>
        <v>0</v>
      </c>
      <c r="L257" s="376">
        <f t="shared" si="24"/>
        <v>0</v>
      </c>
      <c r="M257" s="376">
        <f t="shared" si="32"/>
        <v>0</v>
      </c>
      <c r="N257" s="376">
        <f t="shared" si="25"/>
        <v>0</v>
      </c>
      <c r="O257" s="347">
        <f t="shared" si="33"/>
        <v>0</v>
      </c>
      <c r="P257" s="347">
        <f t="shared" si="34"/>
        <v>0</v>
      </c>
      <c r="Q257" s="347">
        <f t="shared" si="35"/>
        <v>0</v>
      </c>
      <c r="R257" s="376">
        <f t="shared" si="36"/>
        <v>0</v>
      </c>
      <c r="S257" s="376">
        <f t="shared" si="26"/>
        <v>0</v>
      </c>
      <c r="T257" s="376">
        <f t="shared" si="37"/>
        <v>0</v>
      </c>
      <c r="U257" s="376"/>
      <c r="V257" s="376">
        <f t="shared" si="38"/>
        <v>0</v>
      </c>
      <c r="W257" s="347">
        <f>IF(B257&gt;$C$76,0,$C$243+SUM($J$246:J257))</f>
        <v>0</v>
      </c>
      <c r="X257" s="378">
        <f t="shared" si="39"/>
        <v>0</v>
      </c>
      <c r="Y257" s="995"/>
      <c r="Z257" s="995"/>
    </row>
    <row r="258" spans="2:26" s="540" customFormat="1" x14ac:dyDescent="0.45">
      <c r="B258" s="344">
        <v>12</v>
      </c>
      <c r="C258" s="1038">
        <f t="shared" si="27"/>
        <v>0</v>
      </c>
      <c r="D258" s="376">
        <f t="shared" si="28"/>
        <v>0</v>
      </c>
      <c r="E258" s="1038">
        <f t="shared" si="29"/>
        <v>0</v>
      </c>
      <c r="F258" s="376">
        <f t="shared" si="30"/>
        <v>0</v>
      </c>
      <c r="G258" s="345">
        <v>0</v>
      </c>
      <c r="H258" s="376">
        <f t="shared" si="22"/>
        <v>0</v>
      </c>
      <c r="I258" s="345">
        <v>2.564E-2</v>
      </c>
      <c r="J258" s="376">
        <f t="shared" si="31"/>
        <v>0</v>
      </c>
      <c r="K258" s="377">
        <f t="shared" si="23"/>
        <v>0</v>
      </c>
      <c r="L258" s="376">
        <f t="shared" si="24"/>
        <v>0</v>
      </c>
      <c r="M258" s="376">
        <f t="shared" si="32"/>
        <v>0</v>
      </c>
      <c r="N258" s="376">
        <f t="shared" si="25"/>
        <v>0</v>
      </c>
      <c r="O258" s="347">
        <f t="shared" si="33"/>
        <v>0</v>
      </c>
      <c r="P258" s="347">
        <f t="shared" si="34"/>
        <v>0</v>
      </c>
      <c r="Q258" s="347">
        <f t="shared" si="35"/>
        <v>0</v>
      </c>
      <c r="R258" s="376">
        <f t="shared" si="36"/>
        <v>0</v>
      </c>
      <c r="S258" s="376">
        <f t="shared" si="26"/>
        <v>0</v>
      </c>
      <c r="T258" s="376">
        <f t="shared" si="37"/>
        <v>0</v>
      </c>
      <c r="U258" s="376"/>
      <c r="V258" s="376">
        <f t="shared" si="38"/>
        <v>0</v>
      </c>
      <c r="W258" s="347">
        <f>IF(B258&gt;$C$76,0,$C$243+SUM($J$246:J258))</f>
        <v>0</v>
      </c>
      <c r="X258" s="378">
        <f t="shared" si="39"/>
        <v>0</v>
      </c>
      <c r="Y258" s="995"/>
      <c r="Z258" s="995"/>
    </row>
    <row r="259" spans="2:26" s="540" customFormat="1" x14ac:dyDescent="0.45">
      <c r="B259" s="344">
        <v>13</v>
      </c>
      <c r="C259" s="1038">
        <f t="shared" si="27"/>
        <v>0</v>
      </c>
      <c r="D259" s="376">
        <f t="shared" si="28"/>
        <v>0</v>
      </c>
      <c r="E259" s="1038">
        <f t="shared" si="29"/>
        <v>0</v>
      </c>
      <c r="F259" s="376">
        <f t="shared" si="30"/>
        <v>0</v>
      </c>
      <c r="G259" s="345">
        <v>0</v>
      </c>
      <c r="H259" s="376">
        <f t="shared" si="22"/>
        <v>0</v>
      </c>
      <c r="I259" s="345">
        <v>2.564E-2</v>
      </c>
      <c r="J259" s="376">
        <f t="shared" si="31"/>
        <v>0</v>
      </c>
      <c r="K259" s="377">
        <f t="shared" si="23"/>
        <v>0</v>
      </c>
      <c r="L259" s="376">
        <f t="shared" si="24"/>
        <v>0</v>
      </c>
      <c r="M259" s="376">
        <f t="shared" si="32"/>
        <v>0</v>
      </c>
      <c r="N259" s="376">
        <f t="shared" si="25"/>
        <v>0</v>
      </c>
      <c r="O259" s="347">
        <f t="shared" si="33"/>
        <v>0</v>
      </c>
      <c r="P259" s="347">
        <f t="shared" si="34"/>
        <v>0</v>
      </c>
      <c r="Q259" s="347">
        <f t="shared" si="35"/>
        <v>0</v>
      </c>
      <c r="R259" s="376">
        <f t="shared" si="36"/>
        <v>0</v>
      </c>
      <c r="S259" s="376">
        <f t="shared" si="26"/>
        <v>0</v>
      </c>
      <c r="T259" s="376">
        <f t="shared" si="37"/>
        <v>0</v>
      </c>
      <c r="U259" s="376"/>
      <c r="V259" s="376">
        <f t="shared" si="38"/>
        <v>0</v>
      </c>
      <c r="W259" s="347">
        <f>IF(B259&gt;$C$76,0,$C$243+SUM($J$246:J259))</f>
        <v>0</v>
      </c>
      <c r="X259" s="378">
        <f t="shared" si="39"/>
        <v>0</v>
      </c>
      <c r="Y259" s="995"/>
      <c r="Z259" s="995"/>
    </row>
    <row r="260" spans="2:26" s="540" customFormat="1" x14ac:dyDescent="0.45">
      <c r="B260" s="344">
        <v>14</v>
      </c>
      <c r="C260" s="1038">
        <f t="shared" si="27"/>
        <v>0</v>
      </c>
      <c r="D260" s="376">
        <f t="shared" si="28"/>
        <v>0</v>
      </c>
      <c r="E260" s="1038">
        <f t="shared" si="29"/>
        <v>0</v>
      </c>
      <c r="F260" s="376">
        <f t="shared" si="30"/>
        <v>0</v>
      </c>
      <c r="G260" s="345">
        <v>0</v>
      </c>
      <c r="H260" s="376">
        <f t="shared" si="22"/>
        <v>0</v>
      </c>
      <c r="I260" s="345">
        <v>2.564E-2</v>
      </c>
      <c r="J260" s="376">
        <f t="shared" si="31"/>
        <v>0</v>
      </c>
      <c r="K260" s="377">
        <f t="shared" si="23"/>
        <v>0</v>
      </c>
      <c r="L260" s="376">
        <f t="shared" si="24"/>
        <v>0</v>
      </c>
      <c r="M260" s="376">
        <f t="shared" si="32"/>
        <v>0</v>
      </c>
      <c r="N260" s="376">
        <f t="shared" si="25"/>
        <v>0</v>
      </c>
      <c r="O260" s="347">
        <f t="shared" si="33"/>
        <v>0</v>
      </c>
      <c r="P260" s="347">
        <f t="shared" si="34"/>
        <v>0</v>
      </c>
      <c r="Q260" s="347">
        <f t="shared" si="35"/>
        <v>0</v>
      </c>
      <c r="R260" s="376">
        <f t="shared" si="36"/>
        <v>0</v>
      </c>
      <c r="S260" s="376">
        <f t="shared" si="26"/>
        <v>0</v>
      </c>
      <c r="T260" s="376">
        <f t="shared" si="37"/>
        <v>0</v>
      </c>
      <c r="U260" s="376"/>
      <c r="V260" s="376">
        <f t="shared" si="38"/>
        <v>0</v>
      </c>
      <c r="W260" s="347">
        <f>IF(B260&gt;$C$76,0,$C$243+SUM($J$246:J260))</f>
        <v>0</v>
      </c>
      <c r="X260" s="378">
        <f t="shared" si="39"/>
        <v>0</v>
      </c>
      <c r="Y260" s="995"/>
      <c r="Z260" s="995"/>
    </row>
    <row r="261" spans="2:26" s="540" customFormat="1" x14ac:dyDescent="0.45">
      <c r="B261" s="344">
        <v>15</v>
      </c>
      <c r="C261" s="1038">
        <f t="shared" si="27"/>
        <v>0</v>
      </c>
      <c r="D261" s="376">
        <f t="shared" si="28"/>
        <v>0</v>
      </c>
      <c r="E261" s="1038">
        <f t="shared" si="29"/>
        <v>0</v>
      </c>
      <c r="F261" s="376">
        <f t="shared" si="30"/>
        <v>0</v>
      </c>
      <c r="G261" s="345">
        <v>0</v>
      </c>
      <c r="H261" s="376">
        <f t="shared" si="22"/>
        <v>0</v>
      </c>
      <c r="I261" s="345">
        <v>2.564E-2</v>
      </c>
      <c r="J261" s="376">
        <f t="shared" si="31"/>
        <v>0</v>
      </c>
      <c r="K261" s="377">
        <f t="shared" si="23"/>
        <v>0</v>
      </c>
      <c r="L261" s="376">
        <f t="shared" si="24"/>
        <v>0</v>
      </c>
      <c r="M261" s="376">
        <f t="shared" si="32"/>
        <v>0</v>
      </c>
      <c r="N261" s="376">
        <f t="shared" si="25"/>
        <v>0</v>
      </c>
      <c r="O261" s="347">
        <f t="shared" si="33"/>
        <v>0</v>
      </c>
      <c r="P261" s="347">
        <f t="shared" si="34"/>
        <v>0</v>
      </c>
      <c r="Q261" s="347">
        <f t="shared" si="35"/>
        <v>0</v>
      </c>
      <c r="R261" s="376">
        <f t="shared" si="36"/>
        <v>0</v>
      </c>
      <c r="S261" s="376">
        <f t="shared" si="26"/>
        <v>0</v>
      </c>
      <c r="T261" s="376">
        <f t="shared" si="37"/>
        <v>0</v>
      </c>
      <c r="U261" s="376"/>
      <c r="V261" s="376">
        <f t="shared" si="38"/>
        <v>0</v>
      </c>
      <c r="W261" s="347">
        <f>IF(B261&gt;$C$76,0,$C$243+SUM($J$246:J261))</f>
        <v>0</v>
      </c>
      <c r="X261" s="378">
        <f t="shared" si="39"/>
        <v>0</v>
      </c>
      <c r="Y261" s="995"/>
      <c r="Z261" s="995"/>
    </row>
    <row r="262" spans="2:26" s="540" customFormat="1" x14ac:dyDescent="0.45">
      <c r="B262" s="344">
        <v>16</v>
      </c>
      <c r="C262" s="1038">
        <f t="shared" si="27"/>
        <v>0</v>
      </c>
      <c r="D262" s="376">
        <f t="shared" si="28"/>
        <v>0</v>
      </c>
      <c r="E262" s="1038">
        <f t="shared" si="29"/>
        <v>0</v>
      </c>
      <c r="F262" s="376">
        <f t="shared" si="30"/>
        <v>0</v>
      </c>
      <c r="G262" s="345">
        <v>0</v>
      </c>
      <c r="H262" s="376">
        <f t="shared" si="22"/>
        <v>0</v>
      </c>
      <c r="I262" s="345">
        <v>2.564E-2</v>
      </c>
      <c r="J262" s="376">
        <f t="shared" si="31"/>
        <v>0</v>
      </c>
      <c r="K262" s="377">
        <f t="shared" si="23"/>
        <v>0</v>
      </c>
      <c r="L262" s="376">
        <f t="shared" si="24"/>
        <v>0</v>
      </c>
      <c r="M262" s="376">
        <f t="shared" si="32"/>
        <v>0</v>
      </c>
      <c r="N262" s="376">
        <f t="shared" si="25"/>
        <v>0</v>
      </c>
      <c r="O262" s="347">
        <f t="shared" si="33"/>
        <v>0</v>
      </c>
      <c r="P262" s="347">
        <f t="shared" si="34"/>
        <v>0</v>
      </c>
      <c r="Q262" s="347">
        <f t="shared" si="35"/>
        <v>0</v>
      </c>
      <c r="R262" s="376">
        <f t="shared" si="36"/>
        <v>0</v>
      </c>
      <c r="S262" s="376">
        <f t="shared" si="26"/>
        <v>0</v>
      </c>
      <c r="T262" s="376">
        <f t="shared" si="37"/>
        <v>0</v>
      </c>
      <c r="U262" s="376"/>
      <c r="V262" s="376">
        <f t="shared" si="38"/>
        <v>0</v>
      </c>
      <c r="W262" s="347">
        <f>IF(B262&gt;$C$76,0,$C$243+SUM($J$246:J262))</f>
        <v>0</v>
      </c>
      <c r="X262" s="378">
        <f t="shared" si="39"/>
        <v>0</v>
      </c>
      <c r="Y262" s="995"/>
      <c r="Z262" s="995"/>
    </row>
    <row r="263" spans="2:26" s="540" customFormat="1" x14ac:dyDescent="0.45">
      <c r="B263" s="344">
        <v>17</v>
      </c>
      <c r="C263" s="1038">
        <f t="shared" si="27"/>
        <v>0</v>
      </c>
      <c r="D263" s="376">
        <f t="shared" si="28"/>
        <v>0</v>
      </c>
      <c r="E263" s="1038">
        <f t="shared" si="29"/>
        <v>0</v>
      </c>
      <c r="F263" s="376">
        <f t="shared" si="30"/>
        <v>0</v>
      </c>
      <c r="G263" s="345">
        <v>0</v>
      </c>
      <c r="H263" s="376">
        <f t="shared" si="22"/>
        <v>0</v>
      </c>
      <c r="I263" s="345">
        <v>2.564E-2</v>
      </c>
      <c r="J263" s="376">
        <f t="shared" si="31"/>
        <v>0</v>
      </c>
      <c r="K263" s="377">
        <f t="shared" si="23"/>
        <v>0</v>
      </c>
      <c r="L263" s="376">
        <f t="shared" si="24"/>
        <v>0</v>
      </c>
      <c r="M263" s="376">
        <f t="shared" si="32"/>
        <v>0</v>
      </c>
      <c r="N263" s="376">
        <f t="shared" si="25"/>
        <v>0</v>
      </c>
      <c r="O263" s="347">
        <f t="shared" si="33"/>
        <v>0</v>
      </c>
      <c r="P263" s="347">
        <f t="shared" si="34"/>
        <v>0</v>
      </c>
      <c r="Q263" s="347">
        <f t="shared" si="35"/>
        <v>0</v>
      </c>
      <c r="R263" s="376">
        <f t="shared" si="36"/>
        <v>0</v>
      </c>
      <c r="S263" s="376">
        <f t="shared" si="26"/>
        <v>0</v>
      </c>
      <c r="T263" s="376">
        <f t="shared" si="37"/>
        <v>0</v>
      </c>
      <c r="U263" s="376"/>
      <c r="V263" s="376">
        <f t="shared" si="38"/>
        <v>0</v>
      </c>
      <c r="W263" s="347">
        <f>IF(B263&gt;$C$76,0,$C$243+SUM($J$246:J263))</f>
        <v>0</v>
      </c>
      <c r="X263" s="378">
        <f t="shared" si="39"/>
        <v>0</v>
      </c>
      <c r="Y263" s="995"/>
      <c r="Z263" s="995"/>
    </row>
    <row r="264" spans="2:26" s="540" customFormat="1" x14ac:dyDescent="0.45">
      <c r="B264" s="344">
        <v>18</v>
      </c>
      <c r="C264" s="1038">
        <f t="shared" si="27"/>
        <v>0</v>
      </c>
      <c r="D264" s="376">
        <f t="shared" si="28"/>
        <v>0</v>
      </c>
      <c r="E264" s="1038">
        <f t="shared" si="29"/>
        <v>0</v>
      </c>
      <c r="F264" s="376">
        <f t="shared" si="30"/>
        <v>0</v>
      </c>
      <c r="G264" s="345">
        <v>0</v>
      </c>
      <c r="H264" s="376">
        <f t="shared" si="22"/>
        <v>0</v>
      </c>
      <c r="I264" s="345">
        <v>2.564E-2</v>
      </c>
      <c r="J264" s="376">
        <f t="shared" si="31"/>
        <v>0</v>
      </c>
      <c r="K264" s="377">
        <f t="shared" si="23"/>
        <v>0</v>
      </c>
      <c r="L264" s="376">
        <f t="shared" si="24"/>
        <v>0</v>
      </c>
      <c r="M264" s="376">
        <f t="shared" si="32"/>
        <v>0</v>
      </c>
      <c r="N264" s="376">
        <f t="shared" si="25"/>
        <v>0</v>
      </c>
      <c r="O264" s="347">
        <f t="shared" si="33"/>
        <v>0</v>
      </c>
      <c r="P264" s="347">
        <f t="shared" si="34"/>
        <v>0</v>
      </c>
      <c r="Q264" s="347">
        <f t="shared" si="35"/>
        <v>0</v>
      </c>
      <c r="R264" s="376">
        <f t="shared" si="36"/>
        <v>0</v>
      </c>
      <c r="S264" s="376">
        <f t="shared" si="26"/>
        <v>0</v>
      </c>
      <c r="T264" s="376">
        <f t="shared" si="37"/>
        <v>0</v>
      </c>
      <c r="U264" s="376"/>
      <c r="V264" s="376">
        <f t="shared" si="38"/>
        <v>0</v>
      </c>
      <c r="W264" s="347">
        <f>IF(B264&gt;$C$76,0,$C$243+SUM($J$246:J264))</f>
        <v>0</v>
      </c>
      <c r="X264" s="378">
        <f t="shared" si="39"/>
        <v>0</v>
      </c>
      <c r="Y264" s="995"/>
      <c r="Z264" s="995"/>
    </row>
    <row r="265" spans="2:26" s="540" customFormat="1" x14ac:dyDescent="0.45">
      <c r="B265" s="344">
        <v>19</v>
      </c>
      <c r="C265" s="1038">
        <f t="shared" si="27"/>
        <v>0</v>
      </c>
      <c r="D265" s="376">
        <f t="shared" si="28"/>
        <v>0</v>
      </c>
      <c r="E265" s="1038">
        <f t="shared" si="29"/>
        <v>0</v>
      </c>
      <c r="F265" s="376">
        <f t="shared" si="30"/>
        <v>0</v>
      </c>
      <c r="G265" s="345">
        <v>0</v>
      </c>
      <c r="H265" s="376">
        <f t="shared" si="22"/>
        <v>0</v>
      </c>
      <c r="I265" s="345">
        <v>2.564E-2</v>
      </c>
      <c r="J265" s="376">
        <f t="shared" si="31"/>
        <v>0</v>
      </c>
      <c r="K265" s="377">
        <f t="shared" si="23"/>
        <v>0</v>
      </c>
      <c r="L265" s="376">
        <f t="shared" si="24"/>
        <v>0</v>
      </c>
      <c r="M265" s="376">
        <f t="shared" si="32"/>
        <v>0</v>
      </c>
      <c r="N265" s="376">
        <f t="shared" si="25"/>
        <v>0</v>
      </c>
      <c r="O265" s="347">
        <f t="shared" si="33"/>
        <v>0</v>
      </c>
      <c r="P265" s="347">
        <f t="shared" si="34"/>
        <v>0</v>
      </c>
      <c r="Q265" s="347">
        <f t="shared" si="35"/>
        <v>0</v>
      </c>
      <c r="R265" s="376">
        <f t="shared" si="36"/>
        <v>0</v>
      </c>
      <c r="S265" s="376">
        <f t="shared" si="26"/>
        <v>0</v>
      </c>
      <c r="T265" s="376">
        <f t="shared" si="37"/>
        <v>0</v>
      </c>
      <c r="U265" s="376"/>
      <c r="V265" s="376">
        <f t="shared" si="38"/>
        <v>0</v>
      </c>
      <c r="W265" s="347">
        <f>IF(B265&gt;$C$76,0,$C$243+SUM($J$246:J265))</f>
        <v>0</v>
      </c>
      <c r="X265" s="378">
        <f t="shared" si="39"/>
        <v>0</v>
      </c>
      <c r="Y265" s="995"/>
      <c r="Z265" s="995"/>
    </row>
    <row r="266" spans="2:26" s="540" customFormat="1" x14ac:dyDescent="0.45">
      <c r="B266" s="344">
        <v>20</v>
      </c>
      <c r="C266" s="1038">
        <f t="shared" si="27"/>
        <v>0</v>
      </c>
      <c r="D266" s="376">
        <f t="shared" si="28"/>
        <v>0</v>
      </c>
      <c r="E266" s="1038">
        <f t="shared" si="29"/>
        <v>0</v>
      </c>
      <c r="F266" s="376">
        <f t="shared" si="30"/>
        <v>0</v>
      </c>
      <c r="G266" s="345">
        <v>0</v>
      </c>
      <c r="H266" s="376">
        <f t="shared" si="22"/>
        <v>0</v>
      </c>
      <c r="I266" s="345">
        <v>2.564E-2</v>
      </c>
      <c r="J266" s="376">
        <f t="shared" si="31"/>
        <v>0</v>
      </c>
      <c r="K266" s="377">
        <f t="shared" si="23"/>
        <v>0</v>
      </c>
      <c r="L266" s="376">
        <f t="shared" si="24"/>
        <v>0</v>
      </c>
      <c r="M266" s="376">
        <f t="shared" si="32"/>
        <v>0</v>
      </c>
      <c r="N266" s="376">
        <f t="shared" si="25"/>
        <v>0</v>
      </c>
      <c r="O266" s="347">
        <f t="shared" si="33"/>
        <v>0</v>
      </c>
      <c r="P266" s="347">
        <f t="shared" si="34"/>
        <v>0</v>
      </c>
      <c r="Q266" s="347">
        <f t="shared" si="35"/>
        <v>0</v>
      </c>
      <c r="R266" s="376">
        <f t="shared" si="36"/>
        <v>0</v>
      </c>
      <c r="S266" s="376">
        <f t="shared" si="26"/>
        <v>0</v>
      </c>
      <c r="T266" s="376">
        <f t="shared" si="37"/>
        <v>0</v>
      </c>
      <c r="U266" s="376"/>
      <c r="V266" s="376">
        <f t="shared" si="38"/>
        <v>0</v>
      </c>
      <c r="W266" s="347">
        <f>IF(B266&gt;$C$76,0,$C$243+SUM($J$246:J266))</f>
        <v>0</v>
      </c>
      <c r="X266" s="378">
        <f t="shared" si="39"/>
        <v>0</v>
      </c>
      <c r="Y266" s="995"/>
      <c r="Z266" s="995"/>
    </row>
    <row r="267" spans="2:26" s="540" customFormat="1" x14ac:dyDescent="0.45">
      <c r="B267" s="344"/>
      <c r="C267" s="1038"/>
      <c r="D267" s="349"/>
      <c r="E267" s="345"/>
      <c r="F267" s="349"/>
      <c r="G267" s="345"/>
      <c r="H267" s="349"/>
      <c r="I267" s="345"/>
      <c r="J267" s="349"/>
      <c r="K267" s="349"/>
      <c r="L267" s="349"/>
      <c r="M267" s="349"/>
      <c r="N267" s="345"/>
      <c r="O267" s="345"/>
      <c r="P267" s="345"/>
      <c r="Q267" s="345"/>
      <c r="R267" s="349"/>
      <c r="S267" s="349"/>
      <c r="T267" s="345"/>
      <c r="U267" s="345"/>
      <c r="V267" s="345"/>
      <c r="W267" s="348" t="s">
        <v>158</v>
      </c>
      <c r="X267" s="353">
        <f>NPV($C$201,X247:X266)+X246</f>
        <v>0</v>
      </c>
      <c r="Y267" s="995"/>
      <c r="Z267" s="995"/>
    </row>
    <row r="268" spans="2:26" s="540" customFormat="1" x14ac:dyDescent="0.45">
      <c r="B268" s="344"/>
      <c r="C268" s="1038"/>
      <c r="D268" s="360"/>
      <c r="E268" s="345"/>
      <c r="F268" s="360"/>
      <c r="G268" s="345"/>
      <c r="H268" s="360"/>
      <c r="I268" s="345"/>
      <c r="J268" s="360"/>
      <c r="K268" s="360"/>
      <c r="L268" s="360"/>
      <c r="M268" s="360"/>
      <c r="N268" s="345"/>
      <c r="O268" s="345"/>
      <c r="P268" s="345"/>
      <c r="Q268" s="345"/>
      <c r="R268" s="360"/>
      <c r="S268" s="360"/>
      <c r="T268" s="345"/>
      <c r="U268" s="345"/>
      <c r="V268" s="345"/>
      <c r="W268" s="348" t="s">
        <v>134</v>
      </c>
      <c r="X268" s="837">
        <f>IRR(X246:X266,0.1)</f>
        <v>0.10000000000000053</v>
      </c>
      <c r="Y268" s="995"/>
      <c r="Z268" s="995"/>
    </row>
    <row r="269" spans="2:26" s="540" customFormat="1" x14ac:dyDescent="0.45">
      <c r="B269" s="344"/>
      <c r="C269" s="1038"/>
      <c r="D269" s="828"/>
      <c r="E269" s="345"/>
      <c r="F269" s="345"/>
      <c r="G269" s="345"/>
      <c r="H269" s="345"/>
      <c r="I269" s="345"/>
      <c r="J269" s="348"/>
      <c r="K269" s="345"/>
      <c r="L269" s="345"/>
      <c r="M269" s="345"/>
      <c r="N269" s="345"/>
      <c r="O269" s="345"/>
      <c r="P269" s="345"/>
      <c r="Q269" s="345"/>
      <c r="R269" s="345"/>
      <c r="S269" s="345"/>
      <c r="T269" s="345"/>
      <c r="U269" s="345"/>
      <c r="V269" s="345"/>
      <c r="W269" s="345"/>
      <c r="X269" s="346"/>
      <c r="Y269" s="995"/>
      <c r="Z269" s="995"/>
    </row>
    <row r="270" spans="2:26" s="540" customFormat="1" x14ac:dyDescent="0.45">
      <c r="B270" s="357" t="s">
        <v>31</v>
      </c>
      <c r="C270" s="1038"/>
      <c r="D270" s="358"/>
      <c r="E270" s="345"/>
      <c r="F270" s="348"/>
      <c r="G270" s="345"/>
      <c r="H270" s="345"/>
      <c r="I270" s="345"/>
      <c r="J270" s="345"/>
      <c r="K270" s="345"/>
      <c r="L270" s="345"/>
      <c r="M270" s="345"/>
      <c r="N270" s="345"/>
      <c r="O270" s="345"/>
      <c r="P270" s="345"/>
      <c r="Q270" s="345"/>
      <c r="R270" s="345"/>
      <c r="S270" s="345"/>
      <c r="T270" s="345"/>
      <c r="U270" s="345"/>
      <c r="V270" s="345"/>
      <c r="W270" s="345"/>
      <c r="X270" s="346"/>
      <c r="Y270" s="995"/>
      <c r="Z270" s="995"/>
    </row>
    <row r="271" spans="2:26" s="540" customFormat="1" x14ac:dyDescent="0.45">
      <c r="B271" s="344" t="s">
        <v>272</v>
      </c>
      <c r="C271" s="832">
        <f>$D$84*$C$77</f>
        <v>109385100</v>
      </c>
      <c r="D271" s="345" t="s">
        <v>1</v>
      </c>
      <c r="E271" s="345"/>
      <c r="F271" s="345"/>
      <c r="G271" s="345"/>
      <c r="H271" s="345"/>
      <c r="I271" s="345"/>
      <c r="J271" s="345"/>
      <c r="K271" s="345"/>
      <c r="L271" s="345"/>
      <c r="M271" s="345"/>
      <c r="N271" s="345"/>
      <c r="O271" s="345"/>
      <c r="P271" s="345"/>
      <c r="Q271" s="345"/>
      <c r="R271" s="345"/>
      <c r="S271" s="345"/>
      <c r="T271" s="345"/>
      <c r="U271" s="345"/>
      <c r="V271" s="345"/>
      <c r="W271" s="345"/>
      <c r="X271" s="346"/>
      <c r="Y271" s="995"/>
      <c r="Z271" s="995"/>
    </row>
    <row r="272" spans="2:26" s="540" customFormat="1" x14ac:dyDescent="0.45">
      <c r="B272" s="344" t="s">
        <v>273</v>
      </c>
      <c r="C272" s="832">
        <f>$E$84*$C$79</f>
        <v>16208882.999999998</v>
      </c>
      <c r="D272" s="345" t="s">
        <v>1</v>
      </c>
      <c r="E272" s="345"/>
      <c r="F272" s="345"/>
      <c r="G272" s="347"/>
      <c r="H272" s="345"/>
      <c r="I272" s="345"/>
      <c r="J272" s="345"/>
      <c r="K272" s="345"/>
      <c r="L272" s="345"/>
      <c r="M272" s="345"/>
      <c r="N272" s="345"/>
      <c r="O272" s="345"/>
      <c r="P272" s="345"/>
      <c r="Q272" s="345"/>
      <c r="R272" s="345"/>
      <c r="S272" s="345"/>
      <c r="T272" s="345"/>
      <c r="U272" s="345"/>
      <c r="V272" s="345"/>
      <c r="W272" s="345"/>
      <c r="X272" s="346"/>
      <c r="Y272" s="995"/>
      <c r="Z272" s="995"/>
    </row>
    <row r="273" spans="2:26" s="540" customFormat="1" x14ac:dyDescent="0.45">
      <c r="B273" s="829"/>
      <c r="C273" s="1038"/>
      <c r="D273" s="358"/>
      <c r="E273" s="345"/>
      <c r="F273" s="348"/>
      <c r="G273" s="345"/>
      <c r="H273" s="345"/>
      <c r="I273" s="345"/>
      <c r="J273" s="345"/>
      <c r="K273" s="345"/>
      <c r="L273" s="345"/>
      <c r="M273" s="345"/>
      <c r="N273" s="345"/>
      <c r="O273" s="345"/>
      <c r="P273" s="345"/>
      <c r="Q273" s="345"/>
      <c r="R273" s="345"/>
      <c r="S273" s="345"/>
      <c r="T273" s="345"/>
      <c r="U273" s="345"/>
      <c r="V273" s="345"/>
      <c r="W273" s="345"/>
      <c r="X273" s="346"/>
      <c r="Y273" s="995"/>
      <c r="Z273" s="995"/>
    </row>
    <row r="274" spans="2:26" s="540" customFormat="1" x14ac:dyDescent="0.45">
      <c r="B274" s="354" t="s">
        <v>27</v>
      </c>
      <c r="C274" s="1040" t="s">
        <v>379</v>
      </c>
      <c r="D274" s="355" t="s">
        <v>128</v>
      </c>
      <c r="E274" s="355" t="s">
        <v>380</v>
      </c>
      <c r="F274" s="355" t="s">
        <v>245</v>
      </c>
      <c r="G274" s="355" t="s">
        <v>367</v>
      </c>
      <c r="H274" s="355" t="s">
        <v>368</v>
      </c>
      <c r="I274" s="355" t="s">
        <v>369</v>
      </c>
      <c r="J274" s="355" t="s">
        <v>370</v>
      </c>
      <c r="K274" s="355" t="s">
        <v>131</v>
      </c>
      <c r="L274" s="355" t="s">
        <v>130</v>
      </c>
      <c r="M274" s="355" t="s">
        <v>129</v>
      </c>
      <c r="N274" s="355" t="s">
        <v>374</v>
      </c>
      <c r="O274" s="355" t="s">
        <v>124</v>
      </c>
      <c r="P274" s="355" t="s">
        <v>125</v>
      </c>
      <c r="Q274" s="355" t="s">
        <v>126</v>
      </c>
      <c r="R274" s="355" t="s">
        <v>155</v>
      </c>
      <c r="S274" s="355" t="s">
        <v>157</v>
      </c>
      <c r="T274" s="355" t="s">
        <v>156</v>
      </c>
      <c r="U274" s="345" t="s">
        <v>280</v>
      </c>
      <c r="V274" s="355" t="s">
        <v>375</v>
      </c>
      <c r="W274" s="355" t="s">
        <v>373</v>
      </c>
      <c r="X274" s="835" t="s">
        <v>164</v>
      </c>
      <c r="Y274" s="995"/>
      <c r="Z274" s="995"/>
    </row>
    <row r="275" spans="2:26" s="540" customFormat="1" x14ac:dyDescent="0.45">
      <c r="B275" s="359">
        <v>0</v>
      </c>
      <c r="C275" s="1039">
        <v>0.27227150139547579</v>
      </c>
      <c r="D275" s="375">
        <v>0</v>
      </c>
      <c r="E275" s="833">
        <f>SUM(J32:J48)</f>
        <v>0.17650677364312325</v>
      </c>
      <c r="F275" s="375">
        <v>0</v>
      </c>
      <c r="G275" s="345">
        <v>0</v>
      </c>
      <c r="H275" s="376">
        <f t="shared" ref="H275:H295" si="40">IF(D275&gt;0,-1*G275*$C$271,0)</f>
        <v>0</v>
      </c>
      <c r="I275" s="376">
        <v>0</v>
      </c>
      <c r="J275" s="376">
        <v>0</v>
      </c>
      <c r="K275" s="379">
        <f t="shared" ref="K275:K295" si="41">D275+F275+H275+J275</f>
        <v>0</v>
      </c>
      <c r="L275" s="375">
        <f t="shared" ref="L275:L295" si="42">IF(F275&lt;&gt;0,-1*($C$203+$C$204)*D275,0)</f>
        <v>0</v>
      </c>
      <c r="M275" s="375">
        <f>K275+L275</f>
        <v>0</v>
      </c>
      <c r="N275" s="376">
        <f t="shared" ref="N275:N295" si="43">IF(V275&gt;0,V275-W275,0)</f>
        <v>0</v>
      </c>
      <c r="O275" s="347">
        <v>0</v>
      </c>
      <c r="P275" s="347">
        <v>0</v>
      </c>
      <c r="Q275" s="347">
        <v>0</v>
      </c>
      <c r="R275" s="376">
        <f>IF(M275&gt;0,-1*(M275+N275)*$C$202,0)</f>
        <v>0</v>
      </c>
      <c r="S275" s="375">
        <f t="shared" ref="S275:S295" si="44">IF(B275=$C$77,0,$C$205/12*(D276+F276+L276))</f>
        <v>6784633.3843540475</v>
      </c>
      <c r="T275" s="375">
        <f>S275</f>
        <v>6784633.3843540475</v>
      </c>
      <c r="U275" s="375">
        <f>-1*(C271+C272)</f>
        <v>-125593983</v>
      </c>
      <c r="V275" s="376">
        <f>IF(B275=$C$77+1,$C$272+SUM($J274:J$276)+$C$271+SUM($H274:H$276),0)</f>
        <v>0</v>
      </c>
      <c r="W275" s="347">
        <f>IF(B275&gt;$C$77,0,$C$272+SUM($J$275:J275))</f>
        <v>16208882.999999998</v>
      </c>
      <c r="X275" s="836">
        <f>-T275+U275</f>
        <v>-132378616.38435405</v>
      </c>
      <c r="Y275" s="995"/>
      <c r="Z275" s="995"/>
    </row>
    <row r="276" spans="2:26" s="540" customFormat="1" x14ac:dyDescent="0.45">
      <c r="B276" s="344">
        <v>1</v>
      </c>
      <c r="C276" s="1038">
        <f t="shared" ref="C276:C295" si="45">IF(B276&gt;$C$77,0,$C$275*(1+$C$199)^B276)</f>
        <v>0.27826147442617627</v>
      </c>
      <c r="D276" s="376">
        <f t="shared" ref="D276:D295" si="46">C276*$C$198*1000000</f>
        <v>109995014.01334094</v>
      </c>
      <c r="E276" s="1038">
        <f t="shared" ref="E276:E295" si="47">IF(B276&gt;$C$77,0,$E$275*(1+$C$200)^B276)</f>
        <v>0.18038992266327197</v>
      </c>
      <c r="F276" s="376">
        <f t="shared" ref="F276:F295" si="48">-1*E276*$C$198*1000000</f>
        <v>-71307004.004523948</v>
      </c>
      <c r="G276" s="345">
        <v>0.1429</v>
      </c>
      <c r="H276" s="376">
        <f t="shared" si="40"/>
        <v>-15631130.789999999</v>
      </c>
      <c r="I276" s="345">
        <v>1.391E-2</v>
      </c>
      <c r="J276" s="376">
        <f t="shared" ref="J276:J295" si="49">IF(D276&gt;0,-1*$C$272*I276,0)</f>
        <v>-225465.56253</v>
      </c>
      <c r="K276" s="377">
        <f t="shared" si="41"/>
        <v>22831413.656286988</v>
      </c>
      <c r="L276" s="376">
        <f t="shared" si="42"/>
        <v>-11549476.471400797</v>
      </c>
      <c r="M276" s="376">
        <f t="shared" ref="M276:M295" si="50">K276+L276</f>
        <v>11281937.184886191</v>
      </c>
      <c r="N276" s="376">
        <f t="shared" si="43"/>
        <v>0</v>
      </c>
      <c r="O276" s="347">
        <f t="shared" ref="O276:O295" si="51">IF(M276&lt;0,M276*-1,0)</f>
        <v>0</v>
      </c>
      <c r="P276" s="347">
        <f t="shared" ref="P276:P295" si="52">P275+O276-Q276</f>
        <v>0</v>
      </c>
      <c r="Q276" s="347">
        <f t="shared" ref="Q276:Q295" si="53">IF(B276=$C$77+1,O276,IF(AND(M276&gt;0, P275&gt;0), MIN(M276,P275),0))</f>
        <v>0</v>
      </c>
      <c r="R276" s="376">
        <f t="shared" ref="R276:R295" si="54">IF(M276&gt;0,-1*(M276+N276-Q276)*$C$202,0)</f>
        <v>-3147660.4745832467</v>
      </c>
      <c r="S276" s="376">
        <f t="shared" si="44"/>
        <v>6933895.318809839</v>
      </c>
      <c r="T276" s="376">
        <f t="shared" ref="T276:T295" si="55">(S276-S275)</f>
        <v>149261.93445579149</v>
      </c>
      <c r="U276" s="376"/>
      <c r="V276" s="376">
        <f t="shared" ref="V276:V295" si="56">IF(B276=$C$77,$C$272*(1-1/$C$79*B276),0)</f>
        <v>0</v>
      </c>
      <c r="W276" s="347">
        <f>IF(B276&gt;$C$77,0,$C$272+SUM($J$275:J276))</f>
        <v>15983417.437469998</v>
      </c>
      <c r="X276" s="378">
        <f t="shared" ref="X276:X295" si="57">M276+R276-1*(H276+J276)-T276+U276+V276</f>
        <v>23841611.128377154</v>
      </c>
      <c r="Y276" s="995"/>
      <c r="Z276" s="995"/>
    </row>
    <row r="277" spans="2:26" s="540" customFormat="1" x14ac:dyDescent="0.45">
      <c r="B277" s="344">
        <v>2</v>
      </c>
      <c r="C277" s="1038">
        <f t="shared" si="45"/>
        <v>0.28438322686355211</v>
      </c>
      <c r="D277" s="376">
        <f t="shared" si="46"/>
        <v>112414904.32163443</v>
      </c>
      <c r="E277" s="1038">
        <f t="shared" si="47"/>
        <v>0.18435850096186393</v>
      </c>
      <c r="F277" s="376">
        <f t="shared" si="48"/>
        <v>-72875758.092623457</v>
      </c>
      <c r="G277" s="345">
        <v>0.24490000000000001</v>
      </c>
      <c r="H277" s="376">
        <f t="shared" si="40"/>
        <v>-26788410.990000002</v>
      </c>
      <c r="I277" s="345">
        <v>2.564E-2</v>
      </c>
      <c r="J277" s="376">
        <f t="shared" si="49"/>
        <v>-415595.76011999993</v>
      </c>
      <c r="K277" s="377">
        <f t="shared" si="41"/>
        <v>12335139.478890967</v>
      </c>
      <c r="L277" s="376">
        <f t="shared" si="42"/>
        <v>-11803564.953771614</v>
      </c>
      <c r="M277" s="376">
        <f t="shared" si="50"/>
        <v>531574.52511935309</v>
      </c>
      <c r="N277" s="376">
        <f t="shared" si="43"/>
        <v>0</v>
      </c>
      <c r="O277" s="347">
        <f t="shared" si="51"/>
        <v>0</v>
      </c>
      <c r="P277" s="347">
        <f t="shared" si="52"/>
        <v>0</v>
      </c>
      <c r="Q277" s="347">
        <f t="shared" si="53"/>
        <v>0</v>
      </c>
      <c r="R277" s="376">
        <f t="shared" si="54"/>
        <v>-148309.29250829949</v>
      </c>
      <c r="S277" s="376">
        <f t="shared" si="44"/>
        <v>7086441.015823652</v>
      </c>
      <c r="T277" s="376">
        <f t="shared" si="55"/>
        <v>152545.69701381307</v>
      </c>
      <c r="U277" s="376"/>
      <c r="V277" s="376">
        <f t="shared" si="56"/>
        <v>0</v>
      </c>
      <c r="W277" s="347">
        <f>IF(B277&gt;$C$77,0,$C$272+SUM($J$275:J277))</f>
        <v>15567821.677349998</v>
      </c>
      <c r="X277" s="378">
        <f t="shared" si="57"/>
        <v>27434726.285717241</v>
      </c>
      <c r="Y277" s="995"/>
      <c r="Z277" s="995"/>
    </row>
    <row r="278" spans="2:26" s="540" customFormat="1" x14ac:dyDescent="0.45">
      <c r="B278" s="344">
        <v>3</v>
      </c>
      <c r="C278" s="1038">
        <f t="shared" si="45"/>
        <v>0.29063965785455026</v>
      </c>
      <c r="D278" s="376">
        <f t="shared" si="46"/>
        <v>114888032.21671039</v>
      </c>
      <c r="E278" s="1038">
        <f t="shared" si="47"/>
        <v>0.18841438798302496</v>
      </c>
      <c r="F278" s="376">
        <f t="shared" si="48"/>
        <v>-74479024.77066119</v>
      </c>
      <c r="G278" s="345">
        <v>0.1749</v>
      </c>
      <c r="H278" s="376">
        <f t="shared" si="40"/>
        <v>-19131453.989999998</v>
      </c>
      <c r="I278" s="345">
        <v>2.564E-2</v>
      </c>
      <c r="J278" s="376">
        <f t="shared" si="49"/>
        <v>-415595.76011999993</v>
      </c>
      <c r="K278" s="377">
        <f t="shared" si="41"/>
        <v>20861957.695929199</v>
      </c>
      <c r="L278" s="376">
        <f t="shared" si="42"/>
        <v>-12063243.38275459</v>
      </c>
      <c r="M278" s="376">
        <f t="shared" si="50"/>
        <v>8798714.3131746091</v>
      </c>
      <c r="N278" s="376">
        <f t="shared" si="43"/>
        <v>0</v>
      </c>
      <c r="O278" s="347">
        <f t="shared" si="51"/>
        <v>0</v>
      </c>
      <c r="P278" s="347">
        <f t="shared" si="52"/>
        <v>0</v>
      </c>
      <c r="Q278" s="347">
        <f t="shared" si="53"/>
        <v>0</v>
      </c>
      <c r="R278" s="376">
        <f t="shared" si="54"/>
        <v>-2454841.2933757156</v>
      </c>
      <c r="S278" s="376">
        <f t="shared" si="44"/>
        <v>7242342.7181717763</v>
      </c>
      <c r="T278" s="376">
        <f t="shared" si="55"/>
        <v>155901.70234812424</v>
      </c>
      <c r="U278" s="376"/>
      <c r="V278" s="376">
        <f t="shared" si="56"/>
        <v>0</v>
      </c>
      <c r="W278" s="347">
        <f>IF(B278&gt;$C$77,0,$C$272+SUM($J$275:J278))</f>
        <v>15152225.917229999</v>
      </c>
      <c r="X278" s="378">
        <f t="shared" si="57"/>
        <v>25735021.067570768</v>
      </c>
      <c r="Y278" s="995"/>
      <c r="Z278" s="995"/>
    </row>
    <row r="279" spans="2:26" s="540" customFormat="1" x14ac:dyDescent="0.45">
      <c r="B279" s="344">
        <v>4</v>
      </c>
      <c r="C279" s="1038">
        <f t="shared" si="45"/>
        <v>0.29703373032735042</v>
      </c>
      <c r="D279" s="376">
        <f t="shared" si="46"/>
        <v>117415568.92547803</v>
      </c>
      <c r="E279" s="1038">
        <f t="shared" si="47"/>
        <v>0.1925595045186515</v>
      </c>
      <c r="F279" s="376">
        <f t="shared" si="48"/>
        <v>-76117563.315615728</v>
      </c>
      <c r="G279" s="345">
        <v>0.1249</v>
      </c>
      <c r="H279" s="376">
        <f t="shared" si="40"/>
        <v>-13662198.99</v>
      </c>
      <c r="I279" s="345">
        <v>2.564E-2</v>
      </c>
      <c r="J279" s="376">
        <f t="shared" si="49"/>
        <v>-415595.76011999993</v>
      </c>
      <c r="K279" s="377">
        <f t="shared" si="41"/>
        <v>27220210.859742295</v>
      </c>
      <c r="L279" s="376">
        <f t="shared" si="42"/>
        <v>-12328634.737175193</v>
      </c>
      <c r="M279" s="376">
        <f t="shared" si="50"/>
        <v>14891576.122567102</v>
      </c>
      <c r="N279" s="376">
        <f t="shared" si="43"/>
        <v>0</v>
      </c>
      <c r="O279" s="347">
        <f t="shared" si="51"/>
        <v>0</v>
      </c>
      <c r="P279" s="347">
        <f t="shared" si="52"/>
        <v>0</v>
      </c>
      <c r="Q279" s="347">
        <f t="shared" si="53"/>
        <v>0</v>
      </c>
      <c r="R279" s="376">
        <f t="shared" si="54"/>
        <v>-4154749.7381962212</v>
      </c>
      <c r="S279" s="376">
        <f t="shared" si="44"/>
        <v>7401674.2579715531</v>
      </c>
      <c r="T279" s="376">
        <f t="shared" si="55"/>
        <v>159331.53979977686</v>
      </c>
      <c r="U279" s="376"/>
      <c r="V279" s="376">
        <f t="shared" si="56"/>
        <v>0</v>
      </c>
      <c r="W279" s="347">
        <f>IF(B279&gt;$C$77,0,$C$272+SUM($J$275:J279))</f>
        <v>14736630.157109998</v>
      </c>
      <c r="X279" s="378">
        <f t="shared" si="57"/>
        <v>24655289.594691109</v>
      </c>
      <c r="Y279" s="995"/>
      <c r="Z279" s="995"/>
    </row>
    <row r="280" spans="2:26" s="540" customFormat="1" x14ac:dyDescent="0.45">
      <c r="B280" s="344">
        <v>5</v>
      </c>
      <c r="C280" s="1038">
        <f t="shared" si="45"/>
        <v>0.30356847239455209</v>
      </c>
      <c r="D280" s="376">
        <f t="shared" si="46"/>
        <v>119998711.44183853</v>
      </c>
      <c r="E280" s="1038">
        <f t="shared" si="47"/>
        <v>0.19679581361806184</v>
      </c>
      <c r="F280" s="376">
        <f t="shared" si="48"/>
        <v>-77792149.708559275</v>
      </c>
      <c r="G280" s="345">
        <v>8.9300000000000004E-2</v>
      </c>
      <c r="H280" s="376">
        <f t="shared" si="40"/>
        <v>-9768089.4299999997</v>
      </c>
      <c r="I280" s="345">
        <v>2.564E-2</v>
      </c>
      <c r="J280" s="376">
        <f t="shared" si="49"/>
        <v>-415595.76011999993</v>
      </c>
      <c r="K280" s="377">
        <f t="shared" si="41"/>
        <v>32022876.543159258</v>
      </c>
      <c r="L280" s="376">
        <f t="shared" si="42"/>
        <v>-12599864.701393045</v>
      </c>
      <c r="M280" s="376">
        <f t="shared" si="50"/>
        <v>19423011.841766212</v>
      </c>
      <c r="N280" s="376">
        <f t="shared" si="43"/>
        <v>0</v>
      </c>
      <c r="O280" s="347">
        <f t="shared" si="51"/>
        <v>0</v>
      </c>
      <c r="P280" s="347">
        <f t="shared" si="52"/>
        <v>0</v>
      </c>
      <c r="Q280" s="347">
        <f t="shared" si="53"/>
        <v>0</v>
      </c>
      <c r="R280" s="376">
        <f t="shared" si="54"/>
        <v>-5419020.3038527723</v>
      </c>
      <c r="S280" s="376">
        <f t="shared" si="44"/>
        <v>7564511.0916469265</v>
      </c>
      <c r="T280" s="376">
        <f t="shared" si="55"/>
        <v>162836.83367537335</v>
      </c>
      <c r="U280" s="376"/>
      <c r="V280" s="376">
        <f t="shared" si="56"/>
        <v>0</v>
      </c>
      <c r="W280" s="347">
        <f>IF(B280&gt;$C$77,0,$C$272+SUM($J$275:J280))</f>
        <v>14321034.396989997</v>
      </c>
      <c r="X280" s="378">
        <f t="shared" si="57"/>
        <v>24024839.894358065</v>
      </c>
      <c r="Y280" s="995"/>
      <c r="Z280" s="995"/>
    </row>
    <row r="281" spans="2:26" s="540" customFormat="1" x14ac:dyDescent="0.45">
      <c r="B281" s="344">
        <v>6</v>
      </c>
      <c r="C281" s="1038">
        <f t="shared" si="45"/>
        <v>0.31024697878723223</v>
      </c>
      <c r="D281" s="376">
        <f t="shared" si="46"/>
        <v>122638683.09355898</v>
      </c>
      <c r="E281" s="1038">
        <f t="shared" si="47"/>
        <v>0.20112532151765919</v>
      </c>
      <c r="F281" s="376">
        <f t="shared" si="48"/>
        <v>-79503577.002147585</v>
      </c>
      <c r="G281" s="345">
        <v>8.9200000000000002E-2</v>
      </c>
      <c r="H281" s="376">
        <f t="shared" si="40"/>
        <v>-9757150.9199999999</v>
      </c>
      <c r="I281" s="345">
        <v>2.564E-2</v>
      </c>
      <c r="J281" s="376">
        <f t="shared" si="49"/>
        <v>-415595.76011999993</v>
      </c>
      <c r="K281" s="377">
        <f t="shared" si="41"/>
        <v>32962359.411291394</v>
      </c>
      <c r="L281" s="376">
        <f t="shared" si="42"/>
        <v>-12877061.724823693</v>
      </c>
      <c r="M281" s="376">
        <f t="shared" si="50"/>
        <v>20085297.6864677</v>
      </c>
      <c r="N281" s="376">
        <f t="shared" si="43"/>
        <v>0</v>
      </c>
      <c r="O281" s="347">
        <f t="shared" si="51"/>
        <v>0</v>
      </c>
      <c r="P281" s="347">
        <f t="shared" si="52"/>
        <v>0</v>
      </c>
      <c r="Q281" s="347">
        <f t="shared" si="53"/>
        <v>0</v>
      </c>
      <c r="R281" s="376">
        <f t="shared" si="54"/>
        <v>-5603798.0545244878</v>
      </c>
      <c r="S281" s="376">
        <f t="shared" si="44"/>
        <v>7730930.3356631547</v>
      </c>
      <c r="T281" s="376">
        <f t="shared" si="55"/>
        <v>166419.24401622824</v>
      </c>
      <c r="U281" s="376"/>
      <c r="V281" s="376">
        <f t="shared" si="56"/>
        <v>0</v>
      </c>
      <c r="W281" s="347">
        <f>IF(B281&gt;$C$77,0,$C$272+SUM($J$275:J281))</f>
        <v>13905438.636869999</v>
      </c>
      <c r="X281" s="378">
        <f t="shared" si="57"/>
        <v>24487827.06804698</v>
      </c>
      <c r="Y281" s="995"/>
      <c r="Z281" s="995"/>
    </row>
    <row r="282" spans="2:26" s="540" customFormat="1" x14ac:dyDescent="0.45">
      <c r="B282" s="344">
        <v>7</v>
      </c>
      <c r="C282" s="1038">
        <f t="shared" si="45"/>
        <v>0.31707241232055133</v>
      </c>
      <c r="D282" s="376">
        <f t="shared" si="46"/>
        <v>125336734.12161727</v>
      </c>
      <c r="E282" s="1038">
        <f t="shared" si="47"/>
        <v>0.20555007859104771</v>
      </c>
      <c r="F282" s="376">
        <f t="shared" si="48"/>
        <v>-81252655.696194842</v>
      </c>
      <c r="G282" s="345">
        <v>8.9300000000000004E-2</v>
      </c>
      <c r="H282" s="376">
        <f t="shared" si="40"/>
        <v>-9768089.4299999997</v>
      </c>
      <c r="I282" s="345">
        <v>2.564E-2</v>
      </c>
      <c r="J282" s="376">
        <f t="shared" si="49"/>
        <v>-415595.76011999993</v>
      </c>
      <c r="K282" s="377">
        <f t="shared" si="41"/>
        <v>33900393.235302433</v>
      </c>
      <c r="L282" s="376">
        <f t="shared" si="42"/>
        <v>-13160357.082769813</v>
      </c>
      <c r="M282" s="376">
        <f t="shared" si="50"/>
        <v>20740036.152532622</v>
      </c>
      <c r="N282" s="376">
        <f t="shared" si="43"/>
        <v>-1819447.11675</v>
      </c>
      <c r="O282" s="347">
        <f t="shared" si="51"/>
        <v>0</v>
      </c>
      <c r="P282" s="347">
        <f t="shared" si="52"/>
        <v>0</v>
      </c>
      <c r="Q282" s="347">
        <f t="shared" si="53"/>
        <v>0</v>
      </c>
      <c r="R282" s="376">
        <f t="shared" si="54"/>
        <v>-5278844.3409833508</v>
      </c>
      <c r="S282" s="376">
        <f t="shared" si="44"/>
        <v>0</v>
      </c>
      <c r="T282" s="376">
        <f t="shared" si="55"/>
        <v>-7730930.3356631547</v>
      </c>
      <c r="U282" s="376"/>
      <c r="V282" s="376">
        <f t="shared" si="56"/>
        <v>11670395.759999998</v>
      </c>
      <c r="W282" s="347">
        <f>IF(B282&gt;$C$77,0,$C$272+SUM($J$275:J282))</f>
        <v>13489842.876749998</v>
      </c>
      <c r="X282" s="378">
        <f t="shared" si="57"/>
        <v>45046203.097332425</v>
      </c>
      <c r="Y282" s="995"/>
      <c r="Z282" s="995"/>
    </row>
    <row r="283" spans="2:26" s="540" customFormat="1" x14ac:dyDescent="0.45">
      <c r="B283" s="344">
        <v>8</v>
      </c>
      <c r="C283" s="1038">
        <f t="shared" si="45"/>
        <v>0</v>
      </c>
      <c r="D283" s="376">
        <f t="shared" si="46"/>
        <v>0</v>
      </c>
      <c r="E283" s="1038">
        <f t="shared" si="47"/>
        <v>0</v>
      </c>
      <c r="F283" s="376">
        <f t="shared" si="48"/>
        <v>0</v>
      </c>
      <c r="G283" s="345">
        <v>4.4600000000000001E-2</v>
      </c>
      <c r="H283" s="376">
        <f t="shared" si="40"/>
        <v>0</v>
      </c>
      <c r="I283" s="345">
        <v>2.564E-2</v>
      </c>
      <c r="J283" s="376">
        <f t="shared" si="49"/>
        <v>0</v>
      </c>
      <c r="K283" s="377">
        <f t="shared" si="41"/>
        <v>0</v>
      </c>
      <c r="L283" s="376">
        <f t="shared" si="42"/>
        <v>0</v>
      </c>
      <c r="M283" s="376">
        <f t="shared" si="50"/>
        <v>0</v>
      </c>
      <c r="N283" s="376">
        <f t="shared" si="43"/>
        <v>0</v>
      </c>
      <c r="O283" s="347">
        <f t="shared" si="51"/>
        <v>0</v>
      </c>
      <c r="P283" s="347">
        <f t="shared" si="52"/>
        <v>0</v>
      </c>
      <c r="Q283" s="347">
        <f t="shared" si="53"/>
        <v>0</v>
      </c>
      <c r="R283" s="376">
        <f t="shared" si="54"/>
        <v>0</v>
      </c>
      <c r="S283" s="376">
        <f t="shared" si="44"/>
        <v>0</v>
      </c>
      <c r="T283" s="376">
        <f t="shared" si="55"/>
        <v>0</v>
      </c>
      <c r="U283" s="376"/>
      <c r="V283" s="376">
        <f t="shared" si="56"/>
        <v>0</v>
      </c>
      <c r="W283" s="347">
        <f>IF(B283&gt;$C$77,0,$C$272+SUM($J$275:J283))</f>
        <v>0</v>
      </c>
      <c r="X283" s="378">
        <f t="shared" si="57"/>
        <v>0</v>
      </c>
      <c r="Y283" s="995"/>
      <c r="Z283" s="995"/>
    </row>
    <row r="284" spans="2:26" s="540" customFormat="1" x14ac:dyDescent="0.45">
      <c r="B284" s="344">
        <v>9</v>
      </c>
      <c r="C284" s="1038">
        <f t="shared" si="45"/>
        <v>0</v>
      </c>
      <c r="D284" s="376">
        <f t="shared" si="46"/>
        <v>0</v>
      </c>
      <c r="E284" s="1038">
        <f t="shared" si="47"/>
        <v>0</v>
      </c>
      <c r="F284" s="376">
        <f t="shared" si="48"/>
        <v>0</v>
      </c>
      <c r="G284" s="345">
        <v>0</v>
      </c>
      <c r="H284" s="376">
        <f t="shared" si="40"/>
        <v>0</v>
      </c>
      <c r="I284" s="345">
        <v>2.564E-2</v>
      </c>
      <c r="J284" s="376">
        <f t="shared" si="49"/>
        <v>0</v>
      </c>
      <c r="K284" s="377">
        <f t="shared" si="41"/>
        <v>0</v>
      </c>
      <c r="L284" s="376">
        <f t="shared" si="42"/>
        <v>0</v>
      </c>
      <c r="M284" s="376">
        <f t="shared" si="50"/>
        <v>0</v>
      </c>
      <c r="N284" s="376">
        <f t="shared" si="43"/>
        <v>0</v>
      </c>
      <c r="O284" s="347">
        <f t="shared" si="51"/>
        <v>0</v>
      </c>
      <c r="P284" s="347">
        <f t="shared" si="52"/>
        <v>0</v>
      </c>
      <c r="Q284" s="347">
        <f t="shared" si="53"/>
        <v>0</v>
      </c>
      <c r="R284" s="376">
        <f t="shared" si="54"/>
        <v>0</v>
      </c>
      <c r="S284" s="376">
        <f t="shared" si="44"/>
        <v>0</v>
      </c>
      <c r="T284" s="376">
        <f t="shared" si="55"/>
        <v>0</v>
      </c>
      <c r="U284" s="376"/>
      <c r="V284" s="376">
        <f t="shared" si="56"/>
        <v>0</v>
      </c>
      <c r="W284" s="347">
        <f>IF(B284&gt;$C$77,0,$C$272+SUM($J$275:J284))</f>
        <v>0</v>
      </c>
      <c r="X284" s="378">
        <f t="shared" si="57"/>
        <v>0</v>
      </c>
      <c r="Y284" s="995"/>
      <c r="Z284" s="995"/>
    </row>
    <row r="285" spans="2:26" s="540" customFormat="1" x14ac:dyDescent="0.45">
      <c r="B285" s="344">
        <v>10</v>
      </c>
      <c r="C285" s="1038">
        <f t="shared" si="45"/>
        <v>0</v>
      </c>
      <c r="D285" s="376">
        <f t="shared" si="46"/>
        <v>0</v>
      </c>
      <c r="E285" s="1038">
        <f t="shared" si="47"/>
        <v>0</v>
      </c>
      <c r="F285" s="376">
        <f t="shared" si="48"/>
        <v>0</v>
      </c>
      <c r="G285" s="345">
        <v>0</v>
      </c>
      <c r="H285" s="376">
        <f t="shared" si="40"/>
        <v>0</v>
      </c>
      <c r="I285" s="345">
        <v>2.564E-2</v>
      </c>
      <c r="J285" s="376">
        <f t="shared" si="49"/>
        <v>0</v>
      </c>
      <c r="K285" s="377">
        <f t="shared" si="41"/>
        <v>0</v>
      </c>
      <c r="L285" s="376">
        <f t="shared" si="42"/>
        <v>0</v>
      </c>
      <c r="M285" s="376">
        <f t="shared" si="50"/>
        <v>0</v>
      </c>
      <c r="N285" s="376">
        <f t="shared" si="43"/>
        <v>0</v>
      </c>
      <c r="O285" s="347">
        <f t="shared" si="51"/>
        <v>0</v>
      </c>
      <c r="P285" s="347">
        <f t="shared" si="52"/>
        <v>0</v>
      </c>
      <c r="Q285" s="347">
        <f t="shared" si="53"/>
        <v>0</v>
      </c>
      <c r="R285" s="376">
        <f t="shared" si="54"/>
        <v>0</v>
      </c>
      <c r="S285" s="376">
        <f t="shared" si="44"/>
        <v>0</v>
      </c>
      <c r="T285" s="376">
        <f t="shared" si="55"/>
        <v>0</v>
      </c>
      <c r="U285" s="376"/>
      <c r="V285" s="376">
        <f t="shared" si="56"/>
        <v>0</v>
      </c>
      <c r="W285" s="347">
        <f>IF(B285&gt;$C$77,0,$C$272+SUM($J$275:J285))</f>
        <v>0</v>
      </c>
      <c r="X285" s="378">
        <f t="shared" si="57"/>
        <v>0</v>
      </c>
      <c r="Y285" s="995"/>
      <c r="Z285" s="995"/>
    </row>
    <row r="286" spans="2:26" s="540" customFormat="1" x14ac:dyDescent="0.45">
      <c r="B286" s="344">
        <v>11</v>
      </c>
      <c r="C286" s="1038">
        <f t="shared" si="45"/>
        <v>0</v>
      </c>
      <c r="D286" s="376">
        <f t="shared" si="46"/>
        <v>0</v>
      </c>
      <c r="E286" s="1038">
        <f t="shared" si="47"/>
        <v>0</v>
      </c>
      <c r="F286" s="376">
        <f t="shared" si="48"/>
        <v>0</v>
      </c>
      <c r="G286" s="345">
        <v>0</v>
      </c>
      <c r="H286" s="376">
        <f t="shared" si="40"/>
        <v>0</v>
      </c>
      <c r="I286" s="345">
        <v>2.564E-2</v>
      </c>
      <c r="J286" s="376">
        <f t="shared" si="49"/>
        <v>0</v>
      </c>
      <c r="K286" s="377">
        <f t="shared" si="41"/>
        <v>0</v>
      </c>
      <c r="L286" s="376">
        <f t="shared" si="42"/>
        <v>0</v>
      </c>
      <c r="M286" s="376">
        <f t="shared" si="50"/>
        <v>0</v>
      </c>
      <c r="N286" s="376">
        <f t="shared" si="43"/>
        <v>0</v>
      </c>
      <c r="O286" s="347">
        <f t="shared" si="51"/>
        <v>0</v>
      </c>
      <c r="P286" s="347">
        <f t="shared" si="52"/>
        <v>0</v>
      </c>
      <c r="Q286" s="347">
        <f t="shared" si="53"/>
        <v>0</v>
      </c>
      <c r="R286" s="376">
        <f t="shared" si="54"/>
        <v>0</v>
      </c>
      <c r="S286" s="376">
        <f t="shared" si="44"/>
        <v>0</v>
      </c>
      <c r="T286" s="376">
        <f t="shared" si="55"/>
        <v>0</v>
      </c>
      <c r="U286" s="376"/>
      <c r="V286" s="376">
        <f t="shared" si="56"/>
        <v>0</v>
      </c>
      <c r="W286" s="347">
        <f>IF(B286&gt;$C$77,0,$C$272+SUM($J$275:J286))</f>
        <v>0</v>
      </c>
      <c r="X286" s="378">
        <f t="shared" si="57"/>
        <v>0</v>
      </c>
      <c r="Y286" s="995"/>
      <c r="Z286" s="995"/>
    </row>
    <row r="287" spans="2:26" s="540" customFormat="1" x14ac:dyDescent="0.45">
      <c r="B287" s="344">
        <v>12</v>
      </c>
      <c r="C287" s="1038">
        <f t="shared" si="45"/>
        <v>0</v>
      </c>
      <c r="D287" s="376">
        <f t="shared" si="46"/>
        <v>0</v>
      </c>
      <c r="E287" s="1038">
        <f t="shared" si="47"/>
        <v>0</v>
      </c>
      <c r="F287" s="376">
        <f t="shared" si="48"/>
        <v>0</v>
      </c>
      <c r="G287" s="345">
        <v>0</v>
      </c>
      <c r="H287" s="376">
        <f t="shared" si="40"/>
        <v>0</v>
      </c>
      <c r="I287" s="345">
        <v>2.564E-2</v>
      </c>
      <c r="J287" s="376">
        <f t="shared" si="49"/>
        <v>0</v>
      </c>
      <c r="K287" s="377">
        <f t="shared" si="41"/>
        <v>0</v>
      </c>
      <c r="L287" s="376">
        <f t="shared" si="42"/>
        <v>0</v>
      </c>
      <c r="M287" s="376">
        <f t="shared" si="50"/>
        <v>0</v>
      </c>
      <c r="N287" s="376">
        <f t="shared" si="43"/>
        <v>0</v>
      </c>
      <c r="O287" s="347">
        <f t="shared" si="51"/>
        <v>0</v>
      </c>
      <c r="P287" s="347">
        <f t="shared" si="52"/>
        <v>0</v>
      </c>
      <c r="Q287" s="347">
        <f t="shared" si="53"/>
        <v>0</v>
      </c>
      <c r="R287" s="376">
        <f t="shared" si="54"/>
        <v>0</v>
      </c>
      <c r="S287" s="376">
        <f t="shared" si="44"/>
        <v>0</v>
      </c>
      <c r="T287" s="376">
        <f t="shared" si="55"/>
        <v>0</v>
      </c>
      <c r="U287" s="376"/>
      <c r="V287" s="376">
        <f t="shared" si="56"/>
        <v>0</v>
      </c>
      <c r="W287" s="347">
        <f>IF(B287&gt;$C$77,0,$C$272+SUM($J$275:J287))</f>
        <v>0</v>
      </c>
      <c r="X287" s="378">
        <f t="shared" si="57"/>
        <v>0</v>
      </c>
      <c r="Y287" s="995"/>
      <c r="Z287" s="995"/>
    </row>
    <row r="288" spans="2:26" s="540" customFormat="1" x14ac:dyDescent="0.45">
      <c r="B288" s="344">
        <v>13</v>
      </c>
      <c r="C288" s="1038">
        <f t="shared" si="45"/>
        <v>0</v>
      </c>
      <c r="D288" s="376">
        <f t="shared" si="46"/>
        <v>0</v>
      </c>
      <c r="E288" s="1038">
        <f t="shared" si="47"/>
        <v>0</v>
      </c>
      <c r="F288" s="376">
        <f t="shared" si="48"/>
        <v>0</v>
      </c>
      <c r="G288" s="345">
        <v>0</v>
      </c>
      <c r="H288" s="376">
        <f t="shared" si="40"/>
        <v>0</v>
      </c>
      <c r="I288" s="345">
        <v>2.564E-2</v>
      </c>
      <c r="J288" s="376">
        <f t="shared" si="49"/>
        <v>0</v>
      </c>
      <c r="K288" s="377">
        <f t="shared" si="41"/>
        <v>0</v>
      </c>
      <c r="L288" s="376">
        <f t="shared" si="42"/>
        <v>0</v>
      </c>
      <c r="M288" s="376">
        <f t="shared" si="50"/>
        <v>0</v>
      </c>
      <c r="N288" s="376">
        <f t="shared" si="43"/>
        <v>0</v>
      </c>
      <c r="O288" s="347">
        <f t="shared" si="51"/>
        <v>0</v>
      </c>
      <c r="P288" s="347">
        <f t="shared" si="52"/>
        <v>0</v>
      </c>
      <c r="Q288" s="347">
        <f t="shared" si="53"/>
        <v>0</v>
      </c>
      <c r="R288" s="376">
        <f t="shared" si="54"/>
        <v>0</v>
      </c>
      <c r="S288" s="376">
        <f t="shared" si="44"/>
        <v>0</v>
      </c>
      <c r="T288" s="376">
        <f t="shared" si="55"/>
        <v>0</v>
      </c>
      <c r="U288" s="376"/>
      <c r="V288" s="376">
        <f t="shared" si="56"/>
        <v>0</v>
      </c>
      <c r="W288" s="347">
        <f>IF(B288&gt;$C$77,0,$C$272+SUM($J$275:J288))</f>
        <v>0</v>
      </c>
      <c r="X288" s="378">
        <f t="shared" si="57"/>
        <v>0</v>
      </c>
      <c r="Y288" s="995"/>
      <c r="Z288" s="995"/>
    </row>
    <row r="289" spans="2:26" s="540" customFormat="1" x14ac:dyDescent="0.45">
      <c r="B289" s="344">
        <v>14</v>
      </c>
      <c r="C289" s="1038">
        <f t="shared" si="45"/>
        <v>0</v>
      </c>
      <c r="D289" s="376">
        <f t="shared" si="46"/>
        <v>0</v>
      </c>
      <c r="E289" s="1038">
        <f t="shared" si="47"/>
        <v>0</v>
      </c>
      <c r="F289" s="376">
        <f t="shared" si="48"/>
        <v>0</v>
      </c>
      <c r="G289" s="345">
        <v>0</v>
      </c>
      <c r="H289" s="376">
        <f t="shared" si="40"/>
        <v>0</v>
      </c>
      <c r="I289" s="345">
        <v>2.564E-2</v>
      </c>
      <c r="J289" s="376">
        <f t="shared" si="49"/>
        <v>0</v>
      </c>
      <c r="K289" s="377">
        <f t="shared" si="41"/>
        <v>0</v>
      </c>
      <c r="L289" s="376">
        <f t="shared" si="42"/>
        <v>0</v>
      </c>
      <c r="M289" s="376">
        <f t="shared" si="50"/>
        <v>0</v>
      </c>
      <c r="N289" s="376">
        <f t="shared" si="43"/>
        <v>0</v>
      </c>
      <c r="O289" s="347">
        <f t="shared" si="51"/>
        <v>0</v>
      </c>
      <c r="P289" s="347">
        <f t="shared" si="52"/>
        <v>0</v>
      </c>
      <c r="Q289" s="347">
        <f t="shared" si="53"/>
        <v>0</v>
      </c>
      <c r="R289" s="376">
        <f t="shared" si="54"/>
        <v>0</v>
      </c>
      <c r="S289" s="376">
        <f t="shared" si="44"/>
        <v>0</v>
      </c>
      <c r="T289" s="376">
        <f t="shared" si="55"/>
        <v>0</v>
      </c>
      <c r="U289" s="376"/>
      <c r="V289" s="376">
        <f t="shared" si="56"/>
        <v>0</v>
      </c>
      <c r="W289" s="347">
        <f>IF(B289&gt;$C$77,0,$C$272+SUM($J$275:J289))</f>
        <v>0</v>
      </c>
      <c r="X289" s="378">
        <f t="shared" si="57"/>
        <v>0</v>
      </c>
      <c r="Y289" s="995"/>
      <c r="Z289" s="995"/>
    </row>
    <row r="290" spans="2:26" s="540" customFormat="1" x14ac:dyDescent="0.45">
      <c r="B290" s="344">
        <v>15</v>
      </c>
      <c r="C290" s="1038">
        <f t="shared" si="45"/>
        <v>0</v>
      </c>
      <c r="D290" s="376">
        <f t="shared" si="46"/>
        <v>0</v>
      </c>
      <c r="E290" s="1038">
        <f t="shared" si="47"/>
        <v>0</v>
      </c>
      <c r="F290" s="376">
        <f t="shared" si="48"/>
        <v>0</v>
      </c>
      <c r="G290" s="345">
        <v>0</v>
      </c>
      <c r="H290" s="376">
        <f t="shared" si="40"/>
        <v>0</v>
      </c>
      <c r="I290" s="345">
        <v>2.564E-2</v>
      </c>
      <c r="J290" s="376">
        <f t="shared" si="49"/>
        <v>0</v>
      </c>
      <c r="K290" s="377">
        <f t="shared" si="41"/>
        <v>0</v>
      </c>
      <c r="L290" s="376">
        <f t="shared" si="42"/>
        <v>0</v>
      </c>
      <c r="M290" s="376">
        <f t="shared" si="50"/>
        <v>0</v>
      </c>
      <c r="N290" s="376">
        <f t="shared" si="43"/>
        <v>0</v>
      </c>
      <c r="O290" s="347">
        <f t="shared" si="51"/>
        <v>0</v>
      </c>
      <c r="P290" s="347">
        <f t="shared" si="52"/>
        <v>0</v>
      </c>
      <c r="Q290" s="347">
        <f t="shared" si="53"/>
        <v>0</v>
      </c>
      <c r="R290" s="376">
        <f t="shared" si="54"/>
        <v>0</v>
      </c>
      <c r="S290" s="376">
        <f t="shared" si="44"/>
        <v>0</v>
      </c>
      <c r="T290" s="376">
        <f t="shared" si="55"/>
        <v>0</v>
      </c>
      <c r="U290" s="376"/>
      <c r="V290" s="376">
        <f t="shared" si="56"/>
        <v>0</v>
      </c>
      <c r="W290" s="347">
        <f>IF(B290&gt;$C$77,0,$C$272+SUM($J$275:J290))</f>
        <v>0</v>
      </c>
      <c r="X290" s="378">
        <f t="shared" si="57"/>
        <v>0</v>
      </c>
      <c r="Y290" s="995"/>
      <c r="Z290" s="995"/>
    </row>
    <row r="291" spans="2:26" s="540" customFormat="1" x14ac:dyDescent="0.45">
      <c r="B291" s="344">
        <v>16</v>
      </c>
      <c r="C291" s="1038">
        <f t="shared" si="45"/>
        <v>0</v>
      </c>
      <c r="D291" s="376">
        <f t="shared" si="46"/>
        <v>0</v>
      </c>
      <c r="E291" s="1038">
        <f t="shared" si="47"/>
        <v>0</v>
      </c>
      <c r="F291" s="376">
        <f t="shared" si="48"/>
        <v>0</v>
      </c>
      <c r="G291" s="345">
        <v>0</v>
      </c>
      <c r="H291" s="376">
        <f t="shared" si="40"/>
        <v>0</v>
      </c>
      <c r="I291" s="345">
        <v>2.564E-2</v>
      </c>
      <c r="J291" s="376">
        <f t="shared" si="49"/>
        <v>0</v>
      </c>
      <c r="K291" s="377">
        <f t="shared" si="41"/>
        <v>0</v>
      </c>
      <c r="L291" s="376">
        <f t="shared" si="42"/>
        <v>0</v>
      </c>
      <c r="M291" s="376">
        <f t="shared" si="50"/>
        <v>0</v>
      </c>
      <c r="N291" s="376">
        <f t="shared" si="43"/>
        <v>0</v>
      </c>
      <c r="O291" s="347">
        <f t="shared" si="51"/>
        <v>0</v>
      </c>
      <c r="P291" s="347">
        <f t="shared" si="52"/>
        <v>0</v>
      </c>
      <c r="Q291" s="347">
        <f t="shared" si="53"/>
        <v>0</v>
      </c>
      <c r="R291" s="376">
        <f t="shared" si="54"/>
        <v>0</v>
      </c>
      <c r="S291" s="376">
        <f t="shared" si="44"/>
        <v>0</v>
      </c>
      <c r="T291" s="376">
        <f t="shared" si="55"/>
        <v>0</v>
      </c>
      <c r="U291" s="376"/>
      <c r="V291" s="376">
        <f t="shared" si="56"/>
        <v>0</v>
      </c>
      <c r="W291" s="347">
        <f>IF(B291&gt;$C$77,0,$C$272+SUM($J$275:J291))</f>
        <v>0</v>
      </c>
      <c r="X291" s="378">
        <f t="shared" si="57"/>
        <v>0</v>
      </c>
      <c r="Y291" s="995"/>
      <c r="Z291" s="995"/>
    </row>
    <row r="292" spans="2:26" s="540" customFormat="1" x14ac:dyDescent="0.45">
      <c r="B292" s="344">
        <v>17</v>
      </c>
      <c r="C292" s="1038">
        <f t="shared" si="45"/>
        <v>0</v>
      </c>
      <c r="D292" s="376">
        <f t="shared" si="46"/>
        <v>0</v>
      </c>
      <c r="E292" s="1038">
        <f t="shared" si="47"/>
        <v>0</v>
      </c>
      <c r="F292" s="376">
        <f t="shared" si="48"/>
        <v>0</v>
      </c>
      <c r="G292" s="345">
        <v>0</v>
      </c>
      <c r="H292" s="376">
        <f t="shared" si="40"/>
        <v>0</v>
      </c>
      <c r="I292" s="345">
        <v>2.564E-2</v>
      </c>
      <c r="J292" s="376">
        <f t="shared" si="49"/>
        <v>0</v>
      </c>
      <c r="K292" s="377">
        <f t="shared" si="41"/>
        <v>0</v>
      </c>
      <c r="L292" s="376">
        <f t="shared" si="42"/>
        <v>0</v>
      </c>
      <c r="M292" s="376">
        <f t="shared" si="50"/>
        <v>0</v>
      </c>
      <c r="N292" s="376">
        <f t="shared" si="43"/>
        <v>0</v>
      </c>
      <c r="O292" s="347">
        <f t="shared" si="51"/>
        <v>0</v>
      </c>
      <c r="P292" s="347">
        <f t="shared" si="52"/>
        <v>0</v>
      </c>
      <c r="Q292" s="347">
        <f t="shared" si="53"/>
        <v>0</v>
      </c>
      <c r="R292" s="376">
        <f t="shared" si="54"/>
        <v>0</v>
      </c>
      <c r="S292" s="376">
        <f t="shared" si="44"/>
        <v>0</v>
      </c>
      <c r="T292" s="376">
        <f t="shared" si="55"/>
        <v>0</v>
      </c>
      <c r="U292" s="376"/>
      <c r="V292" s="376">
        <f t="shared" si="56"/>
        <v>0</v>
      </c>
      <c r="W292" s="347">
        <f>IF(B292&gt;$C$77,0,$C$272+SUM($J$275:J292))</f>
        <v>0</v>
      </c>
      <c r="X292" s="378">
        <f t="shared" si="57"/>
        <v>0</v>
      </c>
      <c r="Y292" s="995"/>
      <c r="Z292" s="995"/>
    </row>
    <row r="293" spans="2:26" s="540" customFormat="1" x14ac:dyDescent="0.45">
      <c r="B293" s="344">
        <v>18</v>
      </c>
      <c r="C293" s="1038">
        <f t="shared" si="45"/>
        <v>0</v>
      </c>
      <c r="D293" s="376">
        <f t="shared" si="46"/>
        <v>0</v>
      </c>
      <c r="E293" s="1038">
        <f t="shared" si="47"/>
        <v>0</v>
      </c>
      <c r="F293" s="376">
        <f t="shared" si="48"/>
        <v>0</v>
      </c>
      <c r="G293" s="345">
        <v>0</v>
      </c>
      <c r="H293" s="376">
        <f t="shared" si="40"/>
        <v>0</v>
      </c>
      <c r="I293" s="345">
        <v>2.564E-2</v>
      </c>
      <c r="J293" s="376">
        <f t="shared" si="49"/>
        <v>0</v>
      </c>
      <c r="K293" s="377">
        <f t="shared" si="41"/>
        <v>0</v>
      </c>
      <c r="L293" s="376">
        <f t="shared" si="42"/>
        <v>0</v>
      </c>
      <c r="M293" s="376">
        <f t="shared" si="50"/>
        <v>0</v>
      </c>
      <c r="N293" s="376">
        <f t="shared" si="43"/>
        <v>0</v>
      </c>
      <c r="O293" s="347">
        <f t="shared" si="51"/>
        <v>0</v>
      </c>
      <c r="P293" s="347">
        <f t="shared" si="52"/>
        <v>0</v>
      </c>
      <c r="Q293" s="347">
        <f t="shared" si="53"/>
        <v>0</v>
      </c>
      <c r="R293" s="376">
        <f t="shared" si="54"/>
        <v>0</v>
      </c>
      <c r="S293" s="376">
        <f t="shared" si="44"/>
        <v>0</v>
      </c>
      <c r="T293" s="376">
        <f t="shared" si="55"/>
        <v>0</v>
      </c>
      <c r="U293" s="376"/>
      <c r="V293" s="376">
        <f t="shared" si="56"/>
        <v>0</v>
      </c>
      <c r="W293" s="347">
        <f>IF(B293&gt;$C$77,0,$C$272+SUM($J$275:J293))</f>
        <v>0</v>
      </c>
      <c r="X293" s="378">
        <f t="shared" si="57"/>
        <v>0</v>
      </c>
      <c r="Y293" s="995"/>
      <c r="Z293" s="995"/>
    </row>
    <row r="294" spans="2:26" s="540" customFormat="1" x14ac:dyDescent="0.45">
      <c r="B294" s="344">
        <v>19</v>
      </c>
      <c r="C294" s="1038">
        <f t="shared" si="45"/>
        <v>0</v>
      </c>
      <c r="D294" s="376">
        <f t="shared" si="46"/>
        <v>0</v>
      </c>
      <c r="E294" s="1038">
        <f t="shared" si="47"/>
        <v>0</v>
      </c>
      <c r="F294" s="376">
        <f t="shared" si="48"/>
        <v>0</v>
      </c>
      <c r="G294" s="345">
        <v>0</v>
      </c>
      <c r="H294" s="376">
        <f t="shared" si="40"/>
        <v>0</v>
      </c>
      <c r="I294" s="345">
        <v>2.564E-2</v>
      </c>
      <c r="J294" s="376">
        <f t="shared" si="49"/>
        <v>0</v>
      </c>
      <c r="K294" s="377">
        <f t="shared" si="41"/>
        <v>0</v>
      </c>
      <c r="L294" s="376">
        <f t="shared" si="42"/>
        <v>0</v>
      </c>
      <c r="M294" s="376">
        <f t="shared" si="50"/>
        <v>0</v>
      </c>
      <c r="N294" s="376">
        <f t="shared" si="43"/>
        <v>0</v>
      </c>
      <c r="O294" s="347">
        <f t="shared" si="51"/>
        <v>0</v>
      </c>
      <c r="P294" s="347">
        <f t="shared" si="52"/>
        <v>0</v>
      </c>
      <c r="Q294" s="347">
        <f t="shared" si="53"/>
        <v>0</v>
      </c>
      <c r="R294" s="376">
        <f t="shared" si="54"/>
        <v>0</v>
      </c>
      <c r="S294" s="376">
        <f t="shared" si="44"/>
        <v>0</v>
      </c>
      <c r="T294" s="376">
        <f t="shared" si="55"/>
        <v>0</v>
      </c>
      <c r="U294" s="376"/>
      <c r="V294" s="376">
        <f t="shared" si="56"/>
        <v>0</v>
      </c>
      <c r="W294" s="347">
        <f>IF(B294&gt;$C$77,0,$C$272+SUM($J$275:J294))</f>
        <v>0</v>
      </c>
      <c r="X294" s="378">
        <f t="shared" si="57"/>
        <v>0</v>
      </c>
      <c r="Y294" s="995"/>
      <c r="Z294" s="995"/>
    </row>
    <row r="295" spans="2:26" s="540" customFormat="1" x14ac:dyDescent="0.45">
      <c r="B295" s="344">
        <v>20</v>
      </c>
      <c r="C295" s="1038">
        <f t="shared" si="45"/>
        <v>0</v>
      </c>
      <c r="D295" s="376">
        <f t="shared" si="46"/>
        <v>0</v>
      </c>
      <c r="E295" s="1038">
        <f t="shared" si="47"/>
        <v>0</v>
      </c>
      <c r="F295" s="376">
        <f t="shared" si="48"/>
        <v>0</v>
      </c>
      <c r="G295" s="345">
        <v>0</v>
      </c>
      <c r="H295" s="376">
        <f t="shared" si="40"/>
        <v>0</v>
      </c>
      <c r="I295" s="345">
        <v>2.564E-2</v>
      </c>
      <c r="J295" s="376">
        <f t="shared" si="49"/>
        <v>0</v>
      </c>
      <c r="K295" s="377">
        <f t="shared" si="41"/>
        <v>0</v>
      </c>
      <c r="L295" s="376">
        <f t="shared" si="42"/>
        <v>0</v>
      </c>
      <c r="M295" s="376">
        <f t="shared" si="50"/>
        <v>0</v>
      </c>
      <c r="N295" s="376">
        <f t="shared" si="43"/>
        <v>0</v>
      </c>
      <c r="O295" s="347">
        <f t="shared" si="51"/>
        <v>0</v>
      </c>
      <c r="P295" s="347">
        <f t="shared" si="52"/>
        <v>0</v>
      </c>
      <c r="Q295" s="347">
        <f t="shared" si="53"/>
        <v>0</v>
      </c>
      <c r="R295" s="376">
        <f t="shared" si="54"/>
        <v>0</v>
      </c>
      <c r="S295" s="376">
        <f t="shared" si="44"/>
        <v>0</v>
      </c>
      <c r="T295" s="376">
        <f t="shared" si="55"/>
        <v>0</v>
      </c>
      <c r="U295" s="376"/>
      <c r="V295" s="376">
        <f t="shared" si="56"/>
        <v>0</v>
      </c>
      <c r="W295" s="347">
        <f>IF(B295&gt;$C$77,0,$C$272+SUM($J$275:J295))</f>
        <v>0</v>
      </c>
      <c r="X295" s="378">
        <f t="shared" si="57"/>
        <v>0</v>
      </c>
      <c r="Y295" s="995"/>
      <c r="Z295" s="995"/>
    </row>
    <row r="296" spans="2:26" s="540" customFormat="1" x14ac:dyDescent="0.45">
      <c r="B296" s="344"/>
      <c r="C296" s="1038"/>
      <c r="D296" s="349"/>
      <c r="E296" s="345"/>
      <c r="F296" s="349"/>
      <c r="G296" s="345"/>
      <c r="H296" s="349"/>
      <c r="I296" s="345"/>
      <c r="J296" s="349"/>
      <c r="K296" s="349"/>
      <c r="L296" s="349"/>
      <c r="M296" s="349"/>
      <c r="N296" s="345"/>
      <c r="O296" s="345"/>
      <c r="P296" s="345"/>
      <c r="Q296" s="345"/>
      <c r="R296" s="349"/>
      <c r="S296" s="349"/>
      <c r="T296" s="345"/>
      <c r="U296" s="345"/>
      <c r="V296" s="345"/>
      <c r="W296" s="348" t="s">
        <v>158</v>
      </c>
      <c r="X296" s="353">
        <f>NPV($C$201,X276:X295)+X275</f>
        <v>0</v>
      </c>
      <c r="Y296" s="995"/>
      <c r="Z296" s="995"/>
    </row>
    <row r="297" spans="2:26" s="540" customFormat="1" x14ac:dyDescent="0.45">
      <c r="B297" s="344"/>
      <c r="C297" s="1038"/>
      <c r="D297" s="360"/>
      <c r="E297" s="345"/>
      <c r="F297" s="360"/>
      <c r="G297" s="345"/>
      <c r="H297" s="360"/>
      <c r="I297" s="345"/>
      <c r="J297" s="360"/>
      <c r="K297" s="360"/>
      <c r="L297" s="360"/>
      <c r="M297" s="360"/>
      <c r="N297" s="345"/>
      <c r="O297" s="345"/>
      <c r="P297" s="345"/>
      <c r="Q297" s="345"/>
      <c r="R297" s="360"/>
      <c r="S297" s="360"/>
      <c r="T297" s="345"/>
      <c r="U297" s="345"/>
      <c r="V297" s="345"/>
      <c r="W297" s="348" t="s">
        <v>134</v>
      </c>
      <c r="X297" s="837">
        <f>IRR(X275:X295,0.1)</f>
        <v>0.10000000000000009</v>
      </c>
      <c r="Y297" s="995"/>
      <c r="Z297" s="995"/>
    </row>
    <row r="298" spans="2:26" s="540" customFormat="1" x14ac:dyDescent="0.45">
      <c r="B298" s="344"/>
      <c r="C298" s="1038"/>
      <c r="D298" s="828"/>
      <c r="E298" s="345"/>
      <c r="F298" s="345"/>
      <c r="G298" s="345"/>
      <c r="H298" s="345"/>
      <c r="I298" s="345"/>
      <c r="J298" s="348"/>
      <c r="K298" s="345"/>
      <c r="L298" s="345"/>
      <c r="M298" s="345"/>
      <c r="N298" s="345"/>
      <c r="O298" s="345"/>
      <c r="P298" s="345"/>
      <c r="Q298" s="345"/>
      <c r="R298" s="345"/>
      <c r="S298" s="345"/>
      <c r="T298" s="345"/>
      <c r="U298" s="345"/>
      <c r="V298" s="345"/>
      <c r="W298" s="345"/>
      <c r="X298" s="346"/>
      <c r="Y298" s="995"/>
      <c r="Z298" s="995"/>
    </row>
    <row r="299" spans="2:26" s="540" customFormat="1" x14ac:dyDescent="0.45">
      <c r="B299" s="357" t="s">
        <v>32</v>
      </c>
      <c r="C299" s="1038"/>
      <c r="D299" s="358"/>
      <c r="E299" s="345"/>
      <c r="F299" s="348"/>
      <c r="G299" s="345"/>
      <c r="H299" s="345"/>
      <c r="I299" s="345"/>
      <c r="J299" s="345"/>
      <c r="K299" s="345"/>
      <c r="L299" s="345"/>
      <c r="M299" s="345"/>
      <c r="N299" s="345"/>
      <c r="O299" s="345"/>
      <c r="P299" s="345"/>
      <c r="Q299" s="345"/>
      <c r="R299" s="345"/>
      <c r="S299" s="345"/>
      <c r="T299" s="345"/>
      <c r="U299" s="345"/>
      <c r="V299" s="345"/>
      <c r="W299" s="345"/>
      <c r="X299" s="346"/>
      <c r="Y299" s="995"/>
      <c r="Z299" s="995"/>
    </row>
    <row r="300" spans="2:26" s="540" customFormat="1" x14ac:dyDescent="0.45">
      <c r="B300" s="344" t="s">
        <v>274</v>
      </c>
      <c r="C300" s="832">
        <f>$D$85*$C$78</f>
        <v>43853481</v>
      </c>
      <c r="D300" s="345" t="s">
        <v>1</v>
      </c>
      <c r="E300" s="345"/>
      <c r="F300" s="345"/>
      <c r="G300" s="345"/>
      <c r="H300" s="345"/>
      <c r="I300" s="345"/>
      <c r="J300" s="345"/>
      <c r="K300" s="345"/>
      <c r="L300" s="345"/>
      <c r="M300" s="345"/>
      <c r="N300" s="345"/>
      <c r="O300" s="345"/>
      <c r="P300" s="345"/>
      <c r="Q300" s="345"/>
      <c r="R300" s="345"/>
      <c r="S300" s="345"/>
      <c r="T300" s="345"/>
      <c r="U300" s="345"/>
      <c r="V300" s="345"/>
      <c r="W300" s="345"/>
      <c r="X300" s="346"/>
      <c r="Y300" s="995"/>
      <c r="Z300" s="995"/>
    </row>
    <row r="301" spans="2:26" s="540" customFormat="1" x14ac:dyDescent="0.45">
      <c r="B301" s="344" t="s">
        <v>275</v>
      </c>
      <c r="C301" s="832">
        <f>$E$85*$C$79</f>
        <v>11932920</v>
      </c>
      <c r="D301" s="345" t="s">
        <v>1</v>
      </c>
      <c r="E301" s="345"/>
      <c r="F301" s="345"/>
      <c r="G301" s="347"/>
      <c r="H301" s="345"/>
      <c r="I301" s="345"/>
      <c r="J301" s="345"/>
      <c r="K301" s="345"/>
      <c r="L301" s="345"/>
      <c r="M301" s="345"/>
      <c r="N301" s="345"/>
      <c r="O301" s="345"/>
      <c r="P301" s="345"/>
      <c r="Q301" s="345"/>
      <c r="R301" s="345"/>
      <c r="S301" s="345"/>
      <c r="T301" s="345"/>
      <c r="U301" s="345"/>
      <c r="V301" s="345"/>
      <c r="W301" s="345"/>
      <c r="X301" s="346"/>
      <c r="Y301" s="995"/>
      <c r="Z301" s="995"/>
    </row>
    <row r="302" spans="2:26" s="540" customFormat="1" x14ac:dyDescent="0.45">
      <c r="B302" s="829"/>
      <c r="C302" s="1038"/>
      <c r="D302" s="358"/>
      <c r="E302" s="345"/>
      <c r="F302" s="348"/>
      <c r="G302" s="345"/>
      <c r="H302" s="345"/>
      <c r="I302" s="345"/>
      <c r="J302" s="345"/>
      <c r="K302" s="345"/>
      <c r="L302" s="345"/>
      <c r="M302" s="345"/>
      <c r="N302" s="345"/>
      <c r="O302" s="345"/>
      <c r="P302" s="345"/>
      <c r="Q302" s="345"/>
      <c r="R302" s="345"/>
      <c r="S302" s="345"/>
      <c r="T302" s="345"/>
      <c r="U302" s="345"/>
      <c r="V302" s="345"/>
      <c r="W302" s="345"/>
      <c r="X302" s="346"/>
      <c r="Y302" s="995"/>
      <c r="Z302" s="995"/>
    </row>
    <row r="303" spans="2:26" s="540" customFormat="1" x14ac:dyDescent="0.45">
      <c r="B303" s="354" t="s">
        <v>27</v>
      </c>
      <c r="C303" s="1040" t="s">
        <v>379</v>
      </c>
      <c r="D303" s="355" t="s">
        <v>128</v>
      </c>
      <c r="E303" s="355" t="s">
        <v>380</v>
      </c>
      <c r="F303" s="355" t="s">
        <v>245</v>
      </c>
      <c r="G303" s="355" t="s">
        <v>367</v>
      </c>
      <c r="H303" s="355" t="s">
        <v>368</v>
      </c>
      <c r="I303" s="355" t="s">
        <v>369</v>
      </c>
      <c r="J303" s="355" t="s">
        <v>370</v>
      </c>
      <c r="K303" s="355" t="s">
        <v>131</v>
      </c>
      <c r="L303" s="355" t="s">
        <v>130</v>
      </c>
      <c r="M303" s="355" t="s">
        <v>129</v>
      </c>
      <c r="N303" s="355" t="s">
        <v>374</v>
      </c>
      <c r="O303" s="355" t="s">
        <v>124</v>
      </c>
      <c r="P303" s="355" t="s">
        <v>125</v>
      </c>
      <c r="Q303" s="355" t="s">
        <v>126</v>
      </c>
      <c r="R303" s="355" t="s">
        <v>155</v>
      </c>
      <c r="S303" s="355" t="s">
        <v>157</v>
      </c>
      <c r="T303" s="355" t="s">
        <v>156</v>
      </c>
      <c r="U303" s="345" t="s">
        <v>280</v>
      </c>
      <c r="V303" s="355" t="s">
        <v>375</v>
      </c>
      <c r="W303" s="355" t="s">
        <v>373</v>
      </c>
      <c r="X303" s="835" t="s">
        <v>164</v>
      </c>
      <c r="Y303" s="995"/>
      <c r="Z303" s="995"/>
    </row>
    <row r="304" spans="2:26" s="540" customFormat="1" x14ac:dyDescent="0.45">
      <c r="B304" s="359">
        <v>0</v>
      </c>
      <c r="C304" s="1039">
        <v>0.34867118793993052</v>
      </c>
      <c r="D304" s="375">
        <v>0</v>
      </c>
      <c r="E304" s="833">
        <f>SUM(K32:K48)</f>
        <v>0.2829464491667667</v>
      </c>
      <c r="F304" s="375">
        <v>0</v>
      </c>
      <c r="G304" s="345">
        <v>0</v>
      </c>
      <c r="H304" s="376">
        <f t="shared" ref="H304:H324" si="58">IF(D304&gt;0,-1*G304*$C$300,0)</f>
        <v>0</v>
      </c>
      <c r="I304" s="376">
        <v>0</v>
      </c>
      <c r="J304" s="376">
        <v>0</v>
      </c>
      <c r="K304" s="379">
        <f t="shared" ref="K304:K324" si="59">D304+F304+H304+J304</f>
        <v>0</v>
      </c>
      <c r="L304" s="375">
        <f t="shared" ref="L304:L324" si="60">IF(F304&lt;&gt;0,-1*($C$203+$C$204)*D304,0)</f>
        <v>0</v>
      </c>
      <c r="M304" s="375">
        <f>K304+L304</f>
        <v>0</v>
      </c>
      <c r="N304" s="376">
        <f t="shared" ref="N304:N324" si="61">IF(V304&gt;0,V304-W304,0)</f>
        <v>0</v>
      </c>
      <c r="O304" s="347">
        <v>0</v>
      </c>
      <c r="P304" s="347">
        <v>0</v>
      </c>
      <c r="Q304" s="347">
        <v>0</v>
      </c>
      <c r="R304" s="376">
        <f>IF(M304&gt;0,-1*(M304+N304)*$C$202,0)</f>
        <v>0</v>
      </c>
      <c r="S304" s="375">
        <f t="shared" ref="S304:S324" si="62">IF(B304=$C$78,0,$C$205/12*(D305+F305+L305))</f>
        <v>2940469.2233637348</v>
      </c>
      <c r="T304" s="375">
        <f>S304</f>
        <v>2940469.2233637348</v>
      </c>
      <c r="U304" s="375">
        <f>-1*(C300+C301)</f>
        <v>-55786401</v>
      </c>
      <c r="V304" s="376">
        <v>0</v>
      </c>
      <c r="W304" s="347">
        <f>IF(B304&gt;$C$78,0,$C$301+SUM($J$304:J304))</f>
        <v>11932920</v>
      </c>
      <c r="X304" s="836">
        <f>-T304+U304</f>
        <v>-58726870.223363735</v>
      </c>
      <c r="Y304" s="995"/>
      <c r="Z304" s="995"/>
    </row>
    <row r="305" spans="2:26" s="540" customFormat="1" x14ac:dyDescent="0.45">
      <c r="B305" s="344">
        <v>1</v>
      </c>
      <c r="C305" s="1038">
        <f t="shared" ref="C305:C324" si="63">IF(B305&gt;$C$78,0,$C$304*(1+$C$199)^B305)</f>
        <v>0.356341954074609</v>
      </c>
      <c r="D305" s="376">
        <f t="shared" ref="D305:D324" si="64">C305*$C$198*1000000</f>
        <v>140859737.45667297</v>
      </c>
      <c r="E305" s="1038">
        <f t="shared" ref="E305:E324" si="65">IF(B305&gt;$C$78,0,$E$304*(1+$C$200)^B305)</f>
        <v>0.2891712710484356</v>
      </c>
      <c r="F305" s="376">
        <f t="shared" ref="F305:F324" si="66">-1*E305*$C$198*1000000</f>
        <v>-114307588.13026737</v>
      </c>
      <c r="G305" s="345">
        <v>0.1429</v>
      </c>
      <c r="H305" s="376">
        <f t="shared" si="58"/>
        <v>-6266662.4348999998</v>
      </c>
      <c r="I305" s="345">
        <v>1.391E-2</v>
      </c>
      <c r="J305" s="376">
        <f t="shared" ref="J305:J324" si="67">IF(D305&gt;0,-1*$C$301*I305,0)</f>
        <v>-165986.9172</v>
      </c>
      <c r="K305" s="377">
        <f t="shared" si="59"/>
        <v>20119499.9743056</v>
      </c>
      <c r="L305" s="376">
        <f t="shared" si="60"/>
        <v>-14790272.432950661</v>
      </c>
      <c r="M305" s="376">
        <f t="shared" ref="M305:M324" si="68">K305+L305</f>
        <v>5329227.5413549393</v>
      </c>
      <c r="N305" s="376">
        <f t="shared" si="61"/>
        <v>0</v>
      </c>
      <c r="O305" s="347">
        <f t="shared" ref="O305:O324" si="69">IF(M305&lt;0,M305*-1,0)</f>
        <v>0</v>
      </c>
      <c r="P305" s="347">
        <f t="shared" ref="P305:P324" si="70">P304+O305-Q305</f>
        <v>0</v>
      </c>
      <c r="Q305" s="347">
        <f t="shared" ref="Q305:Q324" si="71">IF(B305=$C$78+1,O305,IF(AND(M305&gt;0, P304&gt;0), MIN(M305,P304),0))</f>
        <v>0</v>
      </c>
      <c r="R305" s="376">
        <f t="shared" ref="R305:R324" si="72">IF(M305&gt;0,-1*(M305+N305-Q305)*$C$202,0)</f>
        <v>-1486854.4840380279</v>
      </c>
      <c r="S305" s="376">
        <f t="shared" si="62"/>
        <v>3005159.5462777377</v>
      </c>
      <c r="T305" s="376">
        <f t="shared" ref="T305:T324" si="73">(S305-S304)</f>
        <v>64690.322914002929</v>
      </c>
      <c r="U305" s="376"/>
      <c r="V305" s="376">
        <f t="shared" ref="V305:V324" si="74">IF(B305=$C$78,$C$301*(1-1/$C$79*B305),0)</f>
        <v>0</v>
      </c>
      <c r="W305" s="347">
        <f>IF(B305&gt;$C$78,0,$C$301+SUM($J$304:J305))</f>
        <v>11766933.082800001</v>
      </c>
      <c r="X305" s="378">
        <f t="shared" ref="X305:X324" si="75">M305+R305-1*(H305+J305)-T305+U305+V305</f>
        <v>10210332.086502908</v>
      </c>
      <c r="Y305" s="995"/>
      <c r="Z305" s="995"/>
    </row>
    <row r="306" spans="2:26" s="540" customFormat="1" x14ac:dyDescent="0.45">
      <c r="B306" s="344">
        <v>2</v>
      </c>
      <c r="C306" s="1038">
        <f t="shared" si="63"/>
        <v>0.36418147706425036</v>
      </c>
      <c r="D306" s="376">
        <f t="shared" si="64"/>
        <v>143958651.68071976</v>
      </c>
      <c r="E306" s="1038">
        <f t="shared" si="65"/>
        <v>0.29553303901150113</v>
      </c>
      <c r="F306" s="376">
        <f t="shared" si="66"/>
        <v>-116822355.06913324</v>
      </c>
      <c r="G306" s="345">
        <v>0.24490000000000001</v>
      </c>
      <c r="H306" s="376">
        <f t="shared" si="58"/>
        <v>-10739717.4969</v>
      </c>
      <c r="I306" s="345">
        <v>2.564E-2</v>
      </c>
      <c r="J306" s="376">
        <f t="shared" si="67"/>
        <v>-305960.06880000001</v>
      </c>
      <c r="K306" s="377">
        <f t="shared" si="59"/>
        <v>16090619.045886526</v>
      </c>
      <c r="L306" s="376">
        <f t="shared" si="60"/>
        <v>-15115658.426475575</v>
      </c>
      <c r="M306" s="376">
        <f t="shared" si="68"/>
        <v>974960.61941095069</v>
      </c>
      <c r="N306" s="376">
        <f t="shared" si="61"/>
        <v>0</v>
      </c>
      <c r="O306" s="347">
        <f t="shared" si="69"/>
        <v>0</v>
      </c>
      <c r="P306" s="347">
        <f t="shared" si="70"/>
        <v>0</v>
      </c>
      <c r="Q306" s="347">
        <f t="shared" si="71"/>
        <v>0</v>
      </c>
      <c r="R306" s="376">
        <f t="shared" si="72"/>
        <v>-272014.01281565521</v>
      </c>
      <c r="S306" s="376">
        <f t="shared" si="62"/>
        <v>3071273.0562958494</v>
      </c>
      <c r="T306" s="376">
        <f t="shared" si="73"/>
        <v>66113.510018111672</v>
      </c>
      <c r="U306" s="376"/>
      <c r="V306" s="376">
        <f t="shared" si="74"/>
        <v>0</v>
      </c>
      <c r="W306" s="347">
        <f>IF(B306&gt;$C$78,0,$C$301+SUM($J$304:J306))</f>
        <v>11460973.014</v>
      </c>
      <c r="X306" s="378">
        <f t="shared" si="75"/>
        <v>11682510.662277183</v>
      </c>
      <c r="Y306" s="995"/>
      <c r="Z306" s="995"/>
    </row>
    <row r="307" spans="2:26" s="540" customFormat="1" x14ac:dyDescent="0.45">
      <c r="B307" s="344">
        <v>3</v>
      </c>
      <c r="C307" s="1038">
        <f t="shared" si="63"/>
        <v>0.37219346955966393</v>
      </c>
      <c r="D307" s="376">
        <f t="shared" si="64"/>
        <v>147125742.01769561</v>
      </c>
      <c r="E307" s="1038">
        <f t="shared" si="65"/>
        <v>0.3020347658697542</v>
      </c>
      <c r="F307" s="376">
        <f t="shared" si="66"/>
        <v>-119392446.88065417</v>
      </c>
      <c r="G307" s="345">
        <v>0.1749</v>
      </c>
      <c r="H307" s="376">
        <f t="shared" si="58"/>
        <v>-7669973.8268999998</v>
      </c>
      <c r="I307" s="345">
        <v>2.564E-2</v>
      </c>
      <c r="J307" s="376">
        <f t="shared" si="67"/>
        <v>-305960.06880000001</v>
      </c>
      <c r="K307" s="377">
        <f t="shared" si="59"/>
        <v>19757361.241341438</v>
      </c>
      <c r="L307" s="376">
        <f t="shared" si="60"/>
        <v>-15448202.911858037</v>
      </c>
      <c r="M307" s="376">
        <f t="shared" si="68"/>
        <v>4309158.329483401</v>
      </c>
      <c r="N307" s="376">
        <f t="shared" si="61"/>
        <v>0</v>
      </c>
      <c r="O307" s="347">
        <f t="shared" si="69"/>
        <v>0</v>
      </c>
      <c r="P307" s="347">
        <f t="shared" si="70"/>
        <v>0</v>
      </c>
      <c r="Q307" s="347">
        <f t="shared" si="71"/>
        <v>0</v>
      </c>
      <c r="R307" s="376">
        <f t="shared" si="72"/>
        <v>-1202255.1739258687</v>
      </c>
      <c r="S307" s="376">
        <f t="shared" si="62"/>
        <v>3138841.0635343627</v>
      </c>
      <c r="T307" s="376">
        <f t="shared" si="73"/>
        <v>67568.007238513324</v>
      </c>
      <c r="U307" s="376"/>
      <c r="V307" s="376">
        <f t="shared" si="74"/>
        <v>0</v>
      </c>
      <c r="W307" s="347">
        <f>IF(B307&gt;$C$78,0,$C$301+SUM($J$304:J307))</f>
        <v>11155012.9452</v>
      </c>
      <c r="X307" s="378">
        <f t="shared" si="75"/>
        <v>11015269.044019019</v>
      </c>
      <c r="Y307" s="995"/>
      <c r="Z307" s="995"/>
    </row>
    <row r="308" spans="2:26" s="540" customFormat="1" x14ac:dyDescent="0.45">
      <c r="B308" s="344">
        <v>4</v>
      </c>
      <c r="C308" s="1038">
        <f t="shared" si="63"/>
        <v>0.38038172588997649</v>
      </c>
      <c r="D308" s="376">
        <f t="shared" si="64"/>
        <v>150362508.34208491</v>
      </c>
      <c r="E308" s="1038">
        <f t="shared" si="65"/>
        <v>0.30867953071888876</v>
      </c>
      <c r="F308" s="376">
        <f t="shared" si="66"/>
        <v>-122019080.71202855</v>
      </c>
      <c r="G308" s="345">
        <v>0.1249</v>
      </c>
      <c r="H308" s="376">
        <f t="shared" si="58"/>
        <v>-5477299.7768999999</v>
      </c>
      <c r="I308" s="345">
        <v>2.564E-2</v>
      </c>
      <c r="J308" s="376">
        <f t="shared" si="67"/>
        <v>-305960.06880000001</v>
      </c>
      <c r="K308" s="377">
        <f t="shared" si="59"/>
        <v>22560167.784356367</v>
      </c>
      <c r="L308" s="376">
        <f t="shared" si="60"/>
        <v>-15788063.375918915</v>
      </c>
      <c r="M308" s="376">
        <f t="shared" si="68"/>
        <v>6772104.4084374513</v>
      </c>
      <c r="N308" s="376">
        <f t="shared" si="61"/>
        <v>0</v>
      </c>
      <c r="O308" s="347">
        <f t="shared" si="69"/>
        <v>0</v>
      </c>
      <c r="P308" s="347">
        <f t="shared" si="70"/>
        <v>0</v>
      </c>
      <c r="Q308" s="347">
        <f t="shared" si="71"/>
        <v>0</v>
      </c>
      <c r="R308" s="376">
        <f t="shared" si="72"/>
        <v>-1889417.1299540487</v>
      </c>
      <c r="S308" s="376">
        <f t="shared" si="62"/>
        <v>3207895.5669321134</v>
      </c>
      <c r="T308" s="376">
        <f t="shared" si="73"/>
        <v>69054.503397750668</v>
      </c>
      <c r="U308" s="376"/>
      <c r="V308" s="376">
        <f t="shared" si="74"/>
        <v>0</v>
      </c>
      <c r="W308" s="347">
        <f>IF(B308&gt;$C$78,0,$C$301+SUM($J$304:J308))</f>
        <v>10849052.876399999</v>
      </c>
      <c r="X308" s="378">
        <f t="shared" si="75"/>
        <v>10596892.62078565</v>
      </c>
      <c r="Y308" s="995"/>
      <c r="Z308" s="995"/>
    </row>
    <row r="309" spans="2:26" s="540" customFormat="1" x14ac:dyDescent="0.45">
      <c r="B309" s="344">
        <v>5</v>
      </c>
      <c r="C309" s="1038">
        <f t="shared" si="63"/>
        <v>0.38875012385955598</v>
      </c>
      <c r="D309" s="376">
        <f t="shared" si="64"/>
        <v>153670483.52561077</v>
      </c>
      <c r="E309" s="1038">
        <f t="shared" si="65"/>
        <v>0.31547048039470432</v>
      </c>
      <c r="F309" s="376">
        <f t="shared" si="66"/>
        <v>-124703500.48769319</v>
      </c>
      <c r="G309" s="345">
        <v>8.9300000000000004E-2</v>
      </c>
      <c r="H309" s="376">
        <f t="shared" si="58"/>
        <v>-3916115.8533000001</v>
      </c>
      <c r="I309" s="345">
        <v>2.564E-2</v>
      </c>
      <c r="J309" s="376">
        <f t="shared" si="67"/>
        <v>-305960.06880000001</v>
      </c>
      <c r="K309" s="377">
        <f t="shared" si="59"/>
        <v>24744907.115817584</v>
      </c>
      <c r="L309" s="376">
        <f t="shared" si="60"/>
        <v>-16135400.770189131</v>
      </c>
      <c r="M309" s="376">
        <f t="shared" si="68"/>
        <v>8609506.3456284534</v>
      </c>
      <c r="N309" s="376">
        <f t="shared" si="61"/>
        <v>0</v>
      </c>
      <c r="O309" s="347">
        <f t="shared" si="69"/>
        <v>0</v>
      </c>
      <c r="P309" s="347">
        <f t="shared" si="70"/>
        <v>0</v>
      </c>
      <c r="Q309" s="347">
        <f t="shared" si="71"/>
        <v>0</v>
      </c>
      <c r="R309" s="376">
        <f t="shared" si="72"/>
        <v>-2402052.2704303381</v>
      </c>
      <c r="S309" s="376">
        <f t="shared" si="62"/>
        <v>3278469.2694046227</v>
      </c>
      <c r="T309" s="376">
        <f t="shared" si="73"/>
        <v>70573.702472509351</v>
      </c>
      <c r="U309" s="376"/>
      <c r="V309" s="376">
        <f t="shared" si="74"/>
        <v>0</v>
      </c>
      <c r="W309" s="347">
        <f>IF(B309&gt;$C$78,0,$C$301+SUM($J$304:J309))</f>
        <v>10543092.807599999</v>
      </c>
      <c r="X309" s="378">
        <f t="shared" si="75"/>
        <v>10358956.294825606</v>
      </c>
      <c r="Y309" s="995"/>
      <c r="Z309" s="995"/>
    </row>
    <row r="310" spans="2:26" s="540" customFormat="1" x14ac:dyDescent="0.45">
      <c r="B310" s="344">
        <v>6</v>
      </c>
      <c r="C310" s="1038">
        <f t="shared" si="63"/>
        <v>0.39730262658446619</v>
      </c>
      <c r="D310" s="376">
        <f t="shared" si="64"/>
        <v>157051234.16317421</v>
      </c>
      <c r="E310" s="1038">
        <f t="shared" si="65"/>
        <v>0.3224108309633878</v>
      </c>
      <c r="F310" s="376">
        <f t="shared" si="66"/>
        <v>-127446977.49842243</v>
      </c>
      <c r="G310" s="345">
        <v>8.9200000000000002E-2</v>
      </c>
      <c r="H310" s="376">
        <f t="shared" si="58"/>
        <v>-3911730.5052</v>
      </c>
      <c r="I310" s="345">
        <v>2.564E-2</v>
      </c>
      <c r="J310" s="376">
        <f t="shared" si="67"/>
        <v>-305960.06880000001</v>
      </c>
      <c r="K310" s="377">
        <f t="shared" si="59"/>
        <v>25386566.090751786</v>
      </c>
      <c r="L310" s="376">
        <f t="shared" si="60"/>
        <v>-16490379.587133292</v>
      </c>
      <c r="M310" s="376">
        <f t="shared" si="68"/>
        <v>8896186.5036184937</v>
      </c>
      <c r="N310" s="376">
        <f t="shared" si="61"/>
        <v>0</v>
      </c>
      <c r="O310" s="347">
        <f t="shared" si="69"/>
        <v>0</v>
      </c>
      <c r="P310" s="347">
        <f t="shared" si="70"/>
        <v>0</v>
      </c>
      <c r="Q310" s="347">
        <f t="shared" si="71"/>
        <v>0</v>
      </c>
      <c r="R310" s="376">
        <f t="shared" si="72"/>
        <v>-2482036.0345095596</v>
      </c>
      <c r="S310" s="376">
        <f t="shared" si="62"/>
        <v>3350595.593331513</v>
      </c>
      <c r="T310" s="376">
        <f t="shared" si="73"/>
        <v>72126.323926890269</v>
      </c>
      <c r="U310" s="376"/>
      <c r="V310" s="376">
        <f t="shared" si="74"/>
        <v>0</v>
      </c>
      <c r="W310" s="347">
        <f>IF(B310&gt;$C$78,0,$C$301+SUM($J$304:J310))</f>
        <v>10237132.7388</v>
      </c>
      <c r="X310" s="378">
        <f t="shared" si="75"/>
        <v>10559714.719182042</v>
      </c>
      <c r="Y310" s="995"/>
      <c r="Z310" s="995"/>
    </row>
    <row r="311" spans="2:26" s="540" customFormat="1" x14ac:dyDescent="0.45">
      <c r="B311" s="344">
        <v>7</v>
      </c>
      <c r="C311" s="1038">
        <f t="shared" si="63"/>
        <v>0.40604328436932446</v>
      </c>
      <c r="D311" s="376">
        <f t="shared" si="64"/>
        <v>160506361.31476402</v>
      </c>
      <c r="E311" s="1038">
        <f t="shared" si="65"/>
        <v>0.32950386924458236</v>
      </c>
      <c r="F311" s="376">
        <f t="shared" si="66"/>
        <v>-130250811.00338775</v>
      </c>
      <c r="G311" s="345">
        <v>8.9300000000000004E-2</v>
      </c>
      <c r="H311" s="376">
        <f t="shared" si="58"/>
        <v>-3916115.8533000001</v>
      </c>
      <c r="I311" s="345">
        <v>2.564E-2</v>
      </c>
      <c r="J311" s="376">
        <f t="shared" si="67"/>
        <v>-305960.06880000001</v>
      </c>
      <c r="K311" s="377">
        <f t="shared" si="59"/>
        <v>26033474.389276274</v>
      </c>
      <c r="L311" s="376">
        <f t="shared" si="60"/>
        <v>-16853167.938050222</v>
      </c>
      <c r="M311" s="376">
        <f t="shared" si="68"/>
        <v>9180306.4512260519</v>
      </c>
      <c r="N311" s="376">
        <f t="shared" si="61"/>
        <v>-1339470.2699999996</v>
      </c>
      <c r="O311" s="347">
        <f t="shared" si="69"/>
        <v>0</v>
      </c>
      <c r="P311" s="347">
        <f t="shared" si="70"/>
        <v>0</v>
      </c>
      <c r="Q311" s="347">
        <f t="shared" si="71"/>
        <v>0</v>
      </c>
      <c r="R311" s="376">
        <f t="shared" si="72"/>
        <v>-2187593.2945620683</v>
      </c>
      <c r="S311" s="376">
        <f t="shared" si="62"/>
        <v>0</v>
      </c>
      <c r="T311" s="376">
        <f t="shared" si="73"/>
        <v>-3350595.593331513</v>
      </c>
      <c r="U311" s="376"/>
      <c r="V311" s="376">
        <f t="shared" si="74"/>
        <v>8591702.4000000004</v>
      </c>
      <c r="W311" s="347">
        <f>IF(B311&gt;$C$78,0,$C$301+SUM($J$304:J311))</f>
        <v>9931172.6699999999</v>
      </c>
      <c r="X311" s="378">
        <f t="shared" si="75"/>
        <v>23157087.072095498</v>
      </c>
      <c r="Y311" s="995"/>
      <c r="Z311" s="995"/>
    </row>
    <row r="312" spans="2:26" s="540" customFormat="1" x14ac:dyDescent="0.45">
      <c r="B312" s="344">
        <v>8</v>
      </c>
      <c r="C312" s="1038">
        <f t="shared" si="63"/>
        <v>0</v>
      </c>
      <c r="D312" s="376">
        <f t="shared" si="64"/>
        <v>0</v>
      </c>
      <c r="E312" s="1038">
        <f t="shared" si="65"/>
        <v>0</v>
      </c>
      <c r="F312" s="376">
        <f t="shared" si="66"/>
        <v>0</v>
      </c>
      <c r="G312" s="345">
        <v>4.4600000000000001E-2</v>
      </c>
      <c r="H312" s="376">
        <f t="shared" si="58"/>
        <v>0</v>
      </c>
      <c r="I312" s="345">
        <v>2.564E-2</v>
      </c>
      <c r="J312" s="376">
        <f t="shared" si="67"/>
        <v>0</v>
      </c>
      <c r="K312" s="377">
        <f t="shared" si="59"/>
        <v>0</v>
      </c>
      <c r="L312" s="376">
        <f t="shared" si="60"/>
        <v>0</v>
      </c>
      <c r="M312" s="376">
        <f t="shared" si="68"/>
        <v>0</v>
      </c>
      <c r="N312" s="376">
        <f t="shared" si="61"/>
        <v>0</v>
      </c>
      <c r="O312" s="347">
        <f t="shared" si="69"/>
        <v>0</v>
      </c>
      <c r="P312" s="347">
        <f t="shared" si="70"/>
        <v>0</v>
      </c>
      <c r="Q312" s="347">
        <f t="shared" si="71"/>
        <v>0</v>
      </c>
      <c r="R312" s="376">
        <f t="shared" si="72"/>
        <v>0</v>
      </c>
      <c r="S312" s="376">
        <f t="shared" si="62"/>
        <v>0</v>
      </c>
      <c r="T312" s="376">
        <f t="shared" si="73"/>
        <v>0</v>
      </c>
      <c r="U312" s="376"/>
      <c r="V312" s="376">
        <f t="shared" si="74"/>
        <v>0</v>
      </c>
      <c r="W312" s="347">
        <f>IF(B312&gt;$C$78,0,$C$301+SUM($J$304:J312))</f>
        <v>0</v>
      </c>
      <c r="X312" s="378">
        <f t="shared" si="75"/>
        <v>0</v>
      </c>
      <c r="Y312" s="995"/>
      <c r="Z312" s="995"/>
    </row>
    <row r="313" spans="2:26" s="540" customFormat="1" x14ac:dyDescent="0.45">
      <c r="B313" s="344">
        <v>9</v>
      </c>
      <c r="C313" s="1038">
        <f t="shared" si="63"/>
        <v>0</v>
      </c>
      <c r="D313" s="376">
        <f t="shared" si="64"/>
        <v>0</v>
      </c>
      <c r="E313" s="1038">
        <f t="shared" si="65"/>
        <v>0</v>
      </c>
      <c r="F313" s="376">
        <f t="shared" si="66"/>
        <v>0</v>
      </c>
      <c r="G313" s="345">
        <v>0</v>
      </c>
      <c r="H313" s="376">
        <f t="shared" si="58"/>
        <v>0</v>
      </c>
      <c r="I313" s="345">
        <v>2.564E-2</v>
      </c>
      <c r="J313" s="376">
        <f t="shared" si="67"/>
        <v>0</v>
      </c>
      <c r="K313" s="377">
        <f t="shared" si="59"/>
        <v>0</v>
      </c>
      <c r="L313" s="376">
        <f t="shared" si="60"/>
        <v>0</v>
      </c>
      <c r="M313" s="376">
        <f t="shared" si="68"/>
        <v>0</v>
      </c>
      <c r="N313" s="376">
        <f t="shared" si="61"/>
        <v>0</v>
      </c>
      <c r="O313" s="347">
        <f t="shared" si="69"/>
        <v>0</v>
      </c>
      <c r="P313" s="347">
        <f t="shared" si="70"/>
        <v>0</v>
      </c>
      <c r="Q313" s="347">
        <f t="shared" si="71"/>
        <v>0</v>
      </c>
      <c r="R313" s="376">
        <f t="shared" si="72"/>
        <v>0</v>
      </c>
      <c r="S313" s="376">
        <f t="shared" si="62"/>
        <v>0</v>
      </c>
      <c r="T313" s="376">
        <f t="shared" si="73"/>
        <v>0</v>
      </c>
      <c r="U313" s="376"/>
      <c r="V313" s="376">
        <f t="shared" si="74"/>
        <v>0</v>
      </c>
      <c r="W313" s="347">
        <f>IF(B313&gt;$C$78,0,$C$301+SUM($J$304:J313))</f>
        <v>0</v>
      </c>
      <c r="X313" s="378">
        <f t="shared" si="75"/>
        <v>0</v>
      </c>
      <c r="Y313" s="995"/>
      <c r="Z313" s="995"/>
    </row>
    <row r="314" spans="2:26" s="540" customFormat="1" x14ac:dyDescent="0.45">
      <c r="B314" s="344">
        <v>10</v>
      </c>
      <c r="C314" s="1038">
        <f t="shared" si="63"/>
        <v>0</v>
      </c>
      <c r="D314" s="376">
        <f t="shared" si="64"/>
        <v>0</v>
      </c>
      <c r="E314" s="1038">
        <f t="shared" si="65"/>
        <v>0</v>
      </c>
      <c r="F314" s="376">
        <f t="shared" si="66"/>
        <v>0</v>
      </c>
      <c r="G314" s="345">
        <v>0</v>
      </c>
      <c r="H314" s="376">
        <f t="shared" si="58"/>
        <v>0</v>
      </c>
      <c r="I314" s="345">
        <v>2.564E-2</v>
      </c>
      <c r="J314" s="376">
        <f t="shared" si="67"/>
        <v>0</v>
      </c>
      <c r="K314" s="377">
        <f t="shared" si="59"/>
        <v>0</v>
      </c>
      <c r="L314" s="376">
        <f t="shared" si="60"/>
        <v>0</v>
      </c>
      <c r="M314" s="376">
        <f t="shared" si="68"/>
        <v>0</v>
      </c>
      <c r="N314" s="376">
        <f t="shared" si="61"/>
        <v>0</v>
      </c>
      <c r="O314" s="347">
        <f t="shared" si="69"/>
        <v>0</v>
      </c>
      <c r="P314" s="347">
        <f t="shared" si="70"/>
        <v>0</v>
      </c>
      <c r="Q314" s="347">
        <f t="shared" si="71"/>
        <v>0</v>
      </c>
      <c r="R314" s="376">
        <f t="shared" si="72"/>
        <v>0</v>
      </c>
      <c r="S314" s="376">
        <f t="shared" si="62"/>
        <v>0</v>
      </c>
      <c r="T314" s="376">
        <f t="shared" si="73"/>
        <v>0</v>
      </c>
      <c r="U314" s="376"/>
      <c r="V314" s="376">
        <f t="shared" si="74"/>
        <v>0</v>
      </c>
      <c r="W314" s="347">
        <f>IF(B314&gt;$C$78,0,$C$301+SUM($J$304:J314))</f>
        <v>0</v>
      </c>
      <c r="X314" s="378">
        <f t="shared" si="75"/>
        <v>0</v>
      </c>
      <c r="Y314" s="995"/>
      <c r="Z314" s="995"/>
    </row>
    <row r="315" spans="2:26" s="540" customFormat="1" x14ac:dyDescent="0.45">
      <c r="B315" s="344">
        <v>11</v>
      </c>
      <c r="C315" s="1038">
        <f t="shared" si="63"/>
        <v>0</v>
      </c>
      <c r="D315" s="376">
        <f t="shared" si="64"/>
        <v>0</v>
      </c>
      <c r="E315" s="1038">
        <f t="shared" si="65"/>
        <v>0</v>
      </c>
      <c r="F315" s="376">
        <f t="shared" si="66"/>
        <v>0</v>
      </c>
      <c r="G315" s="345">
        <v>0</v>
      </c>
      <c r="H315" s="376">
        <f t="shared" si="58"/>
        <v>0</v>
      </c>
      <c r="I315" s="345">
        <v>2.564E-2</v>
      </c>
      <c r="J315" s="376">
        <f t="shared" si="67"/>
        <v>0</v>
      </c>
      <c r="K315" s="377">
        <f t="shared" si="59"/>
        <v>0</v>
      </c>
      <c r="L315" s="376">
        <f t="shared" si="60"/>
        <v>0</v>
      </c>
      <c r="M315" s="376">
        <f t="shared" si="68"/>
        <v>0</v>
      </c>
      <c r="N315" s="376">
        <f t="shared" si="61"/>
        <v>0</v>
      </c>
      <c r="O315" s="347">
        <f t="shared" si="69"/>
        <v>0</v>
      </c>
      <c r="P315" s="347">
        <f t="shared" si="70"/>
        <v>0</v>
      </c>
      <c r="Q315" s="347">
        <f t="shared" si="71"/>
        <v>0</v>
      </c>
      <c r="R315" s="376">
        <f t="shared" si="72"/>
        <v>0</v>
      </c>
      <c r="S315" s="376">
        <f t="shared" si="62"/>
        <v>0</v>
      </c>
      <c r="T315" s="376">
        <f t="shared" si="73"/>
        <v>0</v>
      </c>
      <c r="U315" s="376"/>
      <c r="V315" s="376">
        <f t="shared" si="74"/>
        <v>0</v>
      </c>
      <c r="W315" s="347">
        <f>IF(B315&gt;$C$78,0,$C$301+SUM($J$304:J315))</f>
        <v>0</v>
      </c>
      <c r="X315" s="378">
        <f t="shared" si="75"/>
        <v>0</v>
      </c>
      <c r="Y315" s="995"/>
      <c r="Z315" s="995"/>
    </row>
    <row r="316" spans="2:26" s="540" customFormat="1" x14ac:dyDescent="0.45">
      <c r="B316" s="344">
        <v>12</v>
      </c>
      <c r="C316" s="1038">
        <f t="shared" si="63"/>
        <v>0</v>
      </c>
      <c r="D316" s="376">
        <f t="shared" si="64"/>
        <v>0</v>
      </c>
      <c r="E316" s="1038">
        <f t="shared" si="65"/>
        <v>0</v>
      </c>
      <c r="F316" s="376">
        <f t="shared" si="66"/>
        <v>0</v>
      </c>
      <c r="G316" s="345">
        <v>0</v>
      </c>
      <c r="H316" s="376">
        <f t="shared" si="58"/>
        <v>0</v>
      </c>
      <c r="I316" s="345">
        <v>2.564E-2</v>
      </c>
      <c r="J316" s="376">
        <f t="shared" si="67"/>
        <v>0</v>
      </c>
      <c r="K316" s="377">
        <f t="shared" si="59"/>
        <v>0</v>
      </c>
      <c r="L316" s="376">
        <f t="shared" si="60"/>
        <v>0</v>
      </c>
      <c r="M316" s="376">
        <f t="shared" si="68"/>
        <v>0</v>
      </c>
      <c r="N316" s="376">
        <f t="shared" si="61"/>
        <v>0</v>
      </c>
      <c r="O316" s="347">
        <f t="shared" si="69"/>
        <v>0</v>
      </c>
      <c r="P316" s="347">
        <f t="shared" si="70"/>
        <v>0</v>
      </c>
      <c r="Q316" s="347">
        <f t="shared" si="71"/>
        <v>0</v>
      </c>
      <c r="R316" s="376">
        <f t="shared" si="72"/>
        <v>0</v>
      </c>
      <c r="S316" s="376">
        <f t="shared" si="62"/>
        <v>0</v>
      </c>
      <c r="T316" s="376">
        <f t="shared" si="73"/>
        <v>0</v>
      </c>
      <c r="U316" s="376"/>
      <c r="V316" s="376">
        <f t="shared" si="74"/>
        <v>0</v>
      </c>
      <c r="W316" s="347">
        <f>IF(B316&gt;$C$78,0,$C$301+SUM($J$304:J316))</f>
        <v>0</v>
      </c>
      <c r="X316" s="378">
        <f t="shared" si="75"/>
        <v>0</v>
      </c>
      <c r="Y316" s="995"/>
      <c r="Z316" s="995"/>
    </row>
    <row r="317" spans="2:26" s="540" customFormat="1" x14ac:dyDescent="0.45">
      <c r="B317" s="344">
        <v>13</v>
      </c>
      <c r="C317" s="1038">
        <f t="shared" si="63"/>
        <v>0</v>
      </c>
      <c r="D317" s="376">
        <f t="shared" si="64"/>
        <v>0</v>
      </c>
      <c r="E317" s="1038">
        <f t="shared" si="65"/>
        <v>0</v>
      </c>
      <c r="F317" s="376">
        <f t="shared" si="66"/>
        <v>0</v>
      </c>
      <c r="G317" s="345">
        <v>0</v>
      </c>
      <c r="H317" s="376">
        <f t="shared" si="58"/>
        <v>0</v>
      </c>
      <c r="I317" s="345">
        <v>2.564E-2</v>
      </c>
      <c r="J317" s="376">
        <f t="shared" si="67"/>
        <v>0</v>
      </c>
      <c r="K317" s="377">
        <f t="shared" si="59"/>
        <v>0</v>
      </c>
      <c r="L317" s="376">
        <f t="shared" si="60"/>
        <v>0</v>
      </c>
      <c r="M317" s="376">
        <f t="shared" si="68"/>
        <v>0</v>
      </c>
      <c r="N317" s="376">
        <f t="shared" si="61"/>
        <v>0</v>
      </c>
      <c r="O317" s="347">
        <f t="shared" si="69"/>
        <v>0</v>
      </c>
      <c r="P317" s="347">
        <f t="shared" si="70"/>
        <v>0</v>
      </c>
      <c r="Q317" s="347">
        <f t="shared" si="71"/>
        <v>0</v>
      </c>
      <c r="R317" s="376">
        <f t="shared" si="72"/>
        <v>0</v>
      </c>
      <c r="S317" s="376">
        <f t="shared" si="62"/>
        <v>0</v>
      </c>
      <c r="T317" s="376">
        <f t="shared" si="73"/>
        <v>0</v>
      </c>
      <c r="U317" s="376"/>
      <c r="V317" s="376">
        <f t="shared" si="74"/>
        <v>0</v>
      </c>
      <c r="W317" s="347">
        <f>IF(B317&gt;$C$78,0,$C$301+SUM($J$304:J317))</f>
        <v>0</v>
      </c>
      <c r="X317" s="378">
        <f t="shared" si="75"/>
        <v>0</v>
      </c>
      <c r="Y317" s="995"/>
      <c r="Z317" s="995"/>
    </row>
    <row r="318" spans="2:26" s="540" customFormat="1" x14ac:dyDescent="0.45">
      <c r="B318" s="344">
        <v>14</v>
      </c>
      <c r="C318" s="1038">
        <f t="shared" si="63"/>
        <v>0</v>
      </c>
      <c r="D318" s="376">
        <f t="shared" si="64"/>
        <v>0</v>
      </c>
      <c r="E318" s="1038">
        <f t="shared" si="65"/>
        <v>0</v>
      </c>
      <c r="F318" s="376">
        <f t="shared" si="66"/>
        <v>0</v>
      </c>
      <c r="G318" s="345">
        <v>0</v>
      </c>
      <c r="H318" s="376">
        <f t="shared" si="58"/>
        <v>0</v>
      </c>
      <c r="I318" s="345">
        <v>2.564E-2</v>
      </c>
      <c r="J318" s="376">
        <f t="shared" si="67"/>
        <v>0</v>
      </c>
      <c r="K318" s="377">
        <f t="shared" si="59"/>
        <v>0</v>
      </c>
      <c r="L318" s="376">
        <f t="shared" si="60"/>
        <v>0</v>
      </c>
      <c r="M318" s="376">
        <f t="shared" si="68"/>
        <v>0</v>
      </c>
      <c r="N318" s="376">
        <f t="shared" si="61"/>
        <v>0</v>
      </c>
      <c r="O318" s="347">
        <f t="shared" si="69"/>
        <v>0</v>
      </c>
      <c r="P318" s="347">
        <f t="shared" si="70"/>
        <v>0</v>
      </c>
      <c r="Q318" s="347">
        <f t="shared" si="71"/>
        <v>0</v>
      </c>
      <c r="R318" s="376">
        <f t="shared" si="72"/>
        <v>0</v>
      </c>
      <c r="S318" s="376">
        <f t="shared" si="62"/>
        <v>0</v>
      </c>
      <c r="T318" s="376">
        <f t="shared" si="73"/>
        <v>0</v>
      </c>
      <c r="U318" s="376"/>
      <c r="V318" s="376">
        <f t="shared" si="74"/>
        <v>0</v>
      </c>
      <c r="W318" s="347">
        <f>IF(B318&gt;$C$78,0,$C$301+SUM($J$304:J318))</f>
        <v>0</v>
      </c>
      <c r="X318" s="378">
        <f t="shared" si="75"/>
        <v>0</v>
      </c>
      <c r="Y318" s="995"/>
      <c r="Z318" s="995"/>
    </row>
    <row r="319" spans="2:26" s="540" customFormat="1" x14ac:dyDescent="0.45">
      <c r="B319" s="344">
        <v>15</v>
      </c>
      <c r="C319" s="1038">
        <f t="shared" si="63"/>
        <v>0</v>
      </c>
      <c r="D319" s="376">
        <f t="shared" si="64"/>
        <v>0</v>
      </c>
      <c r="E319" s="1038">
        <f t="shared" si="65"/>
        <v>0</v>
      </c>
      <c r="F319" s="376">
        <f t="shared" si="66"/>
        <v>0</v>
      </c>
      <c r="G319" s="345">
        <v>0</v>
      </c>
      <c r="H319" s="376">
        <f t="shared" si="58"/>
        <v>0</v>
      </c>
      <c r="I319" s="345">
        <v>2.564E-2</v>
      </c>
      <c r="J319" s="376">
        <f t="shared" si="67"/>
        <v>0</v>
      </c>
      <c r="K319" s="377">
        <f t="shared" si="59"/>
        <v>0</v>
      </c>
      <c r="L319" s="376">
        <f t="shared" si="60"/>
        <v>0</v>
      </c>
      <c r="M319" s="376">
        <f t="shared" si="68"/>
        <v>0</v>
      </c>
      <c r="N319" s="376">
        <f t="shared" si="61"/>
        <v>0</v>
      </c>
      <c r="O319" s="347">
        <f t="shared" si="69"/>
        <v>0</v>
      </c>
      <c r="P319" s="347">
        <f t="shared" si="70"/>
        <v>0</v>
      </c>
      <c r="Q319" s="347">
        <f t="shared" si="71"/>
        <v>0</v>
      </c>
      <c r="R319" s="376">
        <f t="shared" si="72"/>
        <v>0</v>
      </c>
      <c r="S319" s="376">
        <f t="shared" si="62"/>
        <v>0</v>
      </c>
      <c r="T319" s="376">
        <f t="shared" si="73"/>
        <v>0</v>
      </c>
      <c r="U319" s="376"/>
      <c r="V319" s="376">
        <f t="shared" si="74"/>
        <v>0</v>
      </c>
      <c r="W319" s="347">
        <f>IF(B319&gt;$C$78,0,$C$301+SUM($J$304:J319))</f>
        <v>0</v>
      </c>
      <c r="X319" s="378">
        <f t="shared" si="75"/>
        <v>0</v>
      </c>
      <c r="Y319" s="995"/>
      <c r="Z319" s="995"/>
    </row>
    <row r="320" spans="2:26" s="540" customFormat="1" x14ac:dyDescent="0.45">
      <c r="B320" s="344">
        <v>16</v>
      </c>
      <c r="C320" s="1038">
        <f t="shared" si="63"/>
        <v>0</v>
      </c>
      <c r="D320" s="376">
        <f t="shared" si="64"/>
        <v>0</v>
      </c>
      <c r="E320" s="1038">
        <f t="shared" si="65"/>
        <v>0</v>
      </c>
      <c r="F320" s="376">
        <f t="shared" si="66"/>
        <v>0</v>
      </c>
      <c r="G320" s="345">
        <v>0</v>
      </c>
      <c r="H320" s="376">
        <f t="shared" si="58"/>
        <v>0</v>
      </c>
      <c r="I320" s="345">
        <v>2.564E-2</v>
      </c>
      <c r="J320" s="376">
        <f t="shared" si="67"/>
        <v>0</v>
      </c>
      <c r="K320" s="377">
        <f t="shared" si="59"/>
        <v>0</v>
      </c>
      <c r="L320" s="376">
        <f t="shared" si="60"/>
        <v>0</v>
      </c>
      <c r="M320" s="376">
        <f t="shared" si="68"/>
        <v>0</v>
      </c>
      <c r="N320" s="376">
        <f t="shared" si="61"/>
        <v>0</v>
      </c>
      <c r="O320" s="347">
        <f t="shared" si="69"/>
        <v>0</v>
      </c>
      <c r="P320" s="347">
        <f t="shared" si="70"/>
        <v>0</v>
      </c>
      <c r="Q320" s="347">
        <f t="shared" si="71"/>
        <v>0</v>
      </c>
      <c r="R320" s="376">
        <f t="shared" si="72"/>
        <v>0</v>
      </c>
      <c r="S320" s="376">
        <f t="shared" si="62"/>
        <v>0</v>
      </c>
      <c r="T320" s="376">
        <f t="shared" si="73"/>
        <v>0</v>
      </c>
      <c r="U320" s="376"/>
      <c r="V320" s="376">
        <f t="shared" si="74"/>
        <v>0</v>
      </c>
      <c r="W320" s="347">
        <f>IF(B320&gt;$C$78,0,$C$301+SUM($J$304:J320))</f>
        <v>0</v>
      </c>
      <c r="X320" s="378">
        <f t="shared" si="75"/>
        <v>0</v>
      </c>
      <c r="Y320" s="995"/>
      <c r="Z320" s="995"/>
    </row>
    <row r="321" spans="2:26" s="540" customFormat="1" x14ac:dyDescent="0.45">
      <c r="B321" s="344">
        <v>17</v>
      </c>
      <c r="C321" s="1038">
        <f t="shared" si="63"/>
        <v>0</v>
      </c>
      <c r="D321" s="376">
        <f t="shared" si="64"/>
        <v>0</v>
      </c>
      <c r="E321" s="1038">
        <f t="shared" si="65"/>
        <v>0</v>
      </c>
      <c r="F321" s="376">
        <f t="shared" si="66"/>
        <v>0</v>
      </c>
      <c r="G321" s="345">
        <v>0</v>
      </c>
      <c r="H321" s="376">
        <f t="shared" si="58"/>
        <v>0</v>
      </c>
      <c r="I321" s="345">
        <v>2.564E-2</v>
      </c>
      <c r="J321" s="376">
        <f t="shared" si="67"/>
        <v>0</v>
      </c>
      <c r="K321" s="377">
        <f t="shared" si="59"/>
        <v>0</v>
      </c>
      <c r="L321" s="376">
        <f t="shared" si="60"/>
        <v>0</v>
      </c>
      <c r="M321" s="376">
        <f t="shared" si="68"/>
        <v>0</v>
      </c>
      <c r="N321" s="376">
        <f t="shared" si="61"/>
        <v>0</v>
      </c>
      <c r="O321" s="347">
        <f t="shared" si="69"/>
        <v>0</v>
      </c>
      <c r="P321" s="347">
        <f t="shared" si="70"/>
        <v>0</v>
      </c>
      <c r="Q321" s="347">
        <f t="shared" si="71"/>
        <v>0</v>
      </c>
      <c r="R321" s="376">
        <f t="shared" si="72"/>
        <v>0</v>
      </c>
      <c r="S321" s="376">
        <f t="shared" si="62"/>
        <v>0</v>
      </c>
      <c r="T321" s="376">
        <f t="shared" si="73"/>
        <v>0</v>
      </c>
      <c r="U321" s="376"/>
      <c r="V321" s="376">
        <f t="shared" si="74"/>
        <v>0</v>
      </c>
      <c r="W321" s="347">
        <f>IF(B321&gt;$C$78,0,$C$301+SUM($J$304:J321))</f>
        <v>0</v>
      </c>
      <c r="X321" s="378">
        <f t="shared" si="75"/>
        <v>0</v>
      </c>
      <c r="Y321" s="995"/>
      <c r="Z321" s="995"/>
    </row>
    <row r="322" spans="2:26" s="540" customFormat="1" x14ac:dyDescent="0.45">
      <c r="B322" s="344">
        <v>18</v>
      </c>
      <c r="C322" s="1038">
        <f t="shared" si="63"/>
        <v>0</v>
      </c>
      <c r="D322" s="376">
        <f t="shared" si="64"/>
        <v>0</v>
      </c>
      <c r="E322" s="1038">
        <f t="shared" si="65"/>
        <v>0</v>
      </c>
      <c r="F322" s="376">
        <f t="shared" si="66"/>
        <v>0</v>
      </c>
      <c r="G322" s="345">
        <v>0</v>
      </c>
      <c r="H322" s="376">
        <f t="shared" si="58"/>
        <v>0</v>
      </c>
      <c r="I322" s="345">
        <v>2.564E-2</v>
      </c>
      <c r="J322" s="376">
        <f t="shared" si="67"/>
        <v>0</v>
      </c>
      <c r="K322" s="377">
        <f t="shared" si="59"/>
        <v>0</v>
      </c>
      <c r="L322" s="376">
        <f t="shared" si="60"/>
        <v>0</v>
      </c>
      <c r="M322" s="376">
        <f t="shared" si="68"/>
        <v>0</v>
      </c>
      <c r="N322" s="376">
        <f t="shared" si="61"/>
        <v>0</v>
      </c>
      <c r="O322" s="347">
        <f t="shared" si="69"/>
        <v>0</v>
      </c>
      <c r="P322" s="347">
        <f t="shared" si="70"/>
        <v>0</v>
      </c>
      <c r="Q322" s="347">
        <f t="shared" si="71"/>
        <v>0</v>
      </c>
      <c r="R322" s="376">
        <f t="shared" si="72"/>
        <v>0</v>
      </c>
      <c r="S322" s="376">
        <f t="shared" si="62"/>
        <v>0</v>
      </c>
      <c r="T322" s="376">
        <f t="shared" si="73"/>
        <v>0</v>
      </c>
      <c r="U322" s="376"/>
      <c r="V322" s="376">
        <f t="shared" si="74"/>
        <v>0</v>
      </c>
      <c r="W322" s="347">
        <f>IF(B322&gt;$C$78,0,$C$301+SUM($J$304:J322))</f>
        <v>0</v>
      </c>
      <c r="X322" s="378">
        <f t="shared" si="75"/>
        <v>0</v>
      </c>
      <c r="Y322" s="995"/>
      <c r="Z322" s="995"/>
    </row>
    <row r="323" spans="2:26" s="540" customFormat="1" x14ac:dyDescent="0.45">
      <c r="B323" s="344">
        <v>19</v>
      </c>
      <c r="C323" s="1038">
        <f t="shared" si="63"/>
        <v>0</v>
      </c>
      <c r="D323" s="376">
        <f t="shared" si="64"/>
        <v>0</v>
      </c>
      <c r="E323" s="1038">
        <f t="shared" si="65"/>
        <v>0</v>
      </c>
      <c r="F323" s="376">
        <f t="shared" si="66"/>
        <v>0</v>
      </c>
      <c r="G323" s="345">
        <v>0</v>
      </c>
      <c r="H323" s="376">
        <f t="shared" si="58"/>
        <v>0</v>
      </c>
      <c r="I323" s="345">
        <v>2.564E-2</v>
      </c>
      <c r="J323" s="376">
        <f t="shared" si="67"/>
        <v>0</v>
      </c>
      <c r="K323" s="377">
        <f t="shared" si="59"/>
        <v>0</v>
      </c>
      <c r="L323" s="376">
        <f t="shared" si="60"/>
        <v>0</v>
      </c>
      <c r="M323" s="376">
        <f t="shared" si="68"/>
        <v>0</v>
      </c>
      <c r="N323" s="376">
        <f t="shared" si="61"/>
        <v>0</v>
      </c>
      <c r="O323" s="347">
        <f t="shared" si="69"/>
        <v>0</v>
      </c>
      <c r="P323" s="347">
        <f t="shared" si="70"/>
        <v>0</v>
      </c>
      <c r="Q323" s="347">
        <f t="shared" si="71"/>
        <v>0</v>
      </c>
      <c r="R323" s="376">
        <f t="shared" si="72"/>
        <v>0</v>
      </c>
      <c r="S323" s="376">
        <f t="shared" si="62"/>
        <v>0</v>
      </c>
      <c r="T323" s="376">
        <f t="shared" si="73"/>
        <v>0</v>
      </c>
      <c r="U323" s="376"/>
      <c r="V323" s="376">
        <f t="shared" si="74"/>
        <v>0</v>
      </c>
      <c r="W323" s="347">
        <f>IF(B323&gt;$C$78,0,$C$301+SUM($J$304:J323))</f>
        <v>0</v>
      </c>
      <c r="X323" s="378">
        <f t="shared" si="75"/>
        <v>0</v>
      </c>
      <c r="Y323" s="995"/>
      <c r="Z323" s="995"/>
    </row>
    <row r="324" spans="2:26" s="540" customFormat="1" x14ac:dyDescent="0.45">
      <c r="B324" s="344">
        <v>20</v>
      </c>
      <c r="C324" s="1038">
        <f t="shared" si="63"/>
        <v>0</v>
      </c>
      <c r="D324" s="376">
        <f t="shared" si="64"/>
        <v>0</v>
      </c>
      <c r="E324" s="1038">
        <f t="shared" si="65"/>
        <v>0</v>
      </c>
      <c r="F324" s="376">
        <f t="shared" si="66"/>
        <v>0</v>
      </c>
      <c r="G324" s="345">
        <v>0</v>
      </c>
      <c r="H324" s="376">
        <f t="shared" si="58"/>
        <v>0</v>
      </c>
      <c r="I324" s="345">
        <v>2.564E-2</v>
      </c>
      <c r="J324" s="376">
        <f t="shared" si="67"/>
        <v>0</v>
      </c>
      <c r="K324" s="377">
        <f t="shared" si="59"/>
        <v>0</v>
      </c>
      <c r="L324" s="376">
        <f t="shared" si="60"/>
        <v>0</v>
      </c>
      <c r="M324" s="376">
        <f t="shared" si="68"/>
        <v>0</v>
      </c>
      <c r="N324" s="376">
        <f t="shared" si="61"/>
        <v>0</v>
      </c>
      <c r="O324" s="347">
        <f t="shared" si="69"/>
        <v>0</v>
      </c>
      <c r="P324" s="347">
        <f t="shared" si="70"/>
        <v>0</v>
      </c>
      <c r="Q324" s="347">
        <f t="shared" si="71"/>
        <v>0</v>
      </c>
      <c r="R324" s="376">
        <f t="shared" si="72"/>
        <v>0</v>
      </c>
      <c r="S324" s="376">
        <f t="shared" si="62"/>
        <v>0</v>
      </c>
      <c r="T324" s="376">
        <f t="shared" si="73"/>
        <v>0</v>
      </c>
      <c r="U324" s="376"/>
      <c r="V324" s="376">
        <f t="shared" si="74"/>
        <v>0</v>
      </c>
      <c r="W324" s="347">
        <f>IF(B324&gt;$C$78,0,$C$301+SUM($J$304:J324))</f>
        <v>0</v>
      </c>
      <c r="X324" s="378">
        <f t="shared" si="75"/>
        <v>0</v>
      </c>
      <c r="Y324" s="995"/>
      <c r="Z324" s="995"/>
    </row>
    <row r="325" spans="2:26" s="540" customFormat="1" x14ac:dyDescent="0.45">
      <c r="B325" s="344"/>
      <c r="C325" s="345"/>
      <c r="D325" s="349"/>
      <c r="E325" s="345"/>
      <c r="F325" s="349"/>
      <c r="G325" s="345"/>
      <c r="H325" s="349"/>
      <c r="I325" s="345"/>
      <c r="J325" s="349"/>
      <c r="K325" s="349"/>
      <c r="L325" s="349"/>
      <c r="M325" s="349"/>
      <c r="N325" s="345"/>
      <c r="O325" s="345"/>
      <c r="P325" s="345"/>
      <c r="Q325" s="345"/>
      <c r="R325" s="349"/>
      <c r="S325" s="349"/>
      <c r="T325" s="345"/>
      <c r="U325" s="345"/>
      <c r="V325" s="345"/>
      <c r="W325" s="348" t="s">
        <v>158</v>
      </c>
      <c r="X325" s="353">
        <f>NPV($C$201,X305:X324)+X304</f>
        <v>0</v>
      </c>
      <c r="Y325" s="995"/>
      <c r="Z325" s="995"/>
    </row>
    <row r="326" spans="2:26" s="540" customFormat="1" x14ac:dyDescent="0.45">
      <c r="B326" s="354"/>
      <c r="C326" s="355"/>
      <c r="D326" s="834"/>
      <c r="E326" s="355"/>
      <c r="F326" s="834"/>
      <c r="G326" s="355"/>
      <c r="H326" s="834"/>
      <c r="I326" s="355"/>
      <c r="J326" s="834"/>
      <c r="K326" s="834"/>
      <c r="L326" s="834"/>
      <c r="M326" s="834"/>
      <c r="N326" s="355"/>
      <c r="O326" s="355"/>
      <c r="P326" s="355"/>
      <c r="Q326" s="355"/>
      <c r="R326" s="834"/>
      <c r="S326" s="834"/>
      <c r="T326" s="355"/>
      <c r="U326" s="355"/>
      <c r="V326" s="355"/>
      <c r="W326" s="356" t="s">
        <v>134</v>
      </c>
      <c r="X326" s="838">
        <f>IRR(X304:X324,0.1)</f>
        <v>0.10000000000000053</v>
      </c>
      <c r="Y326" s="995"/>
      <c r="Z326" s="995"/>
    </row>
    <row r="327" spans="2:26" s="540" customFormat="1" x14ac:dyDescent="0.45">
      <c r="B327" s="631"/>
      <c r="C327" s="631"/>
      <c r="D327" s="631"/>
      <c r="E327" s="631"/>
      <c r="F327" s="631"/>
      <c r="G327" s="631"/>
      <c r="H327" s="631"/>
      <c r="I327" s="631"/>
      <c r="J327" s="631"/>
      <c r="K327" s="631"/>
      <c r="L327" s="631"/>
      <c r="M327" s="631"/>
      <c r="N327" s="631"/>
      <c r="O327" s="631"/>
      <c r="P327" s="631"/>
      <c r="Q327" s="631"/>
      <c r="R327" s="631"/>
      <c r="U327" s="995"/>
      <c r="V327" s="995"/>
      <c r="W327" s="995"/>
      <c r="X327" s="995"/>
      <c r="Y327" s="995"/>
      <c r="Z327" s="995"/>
    </row>
    <row r="328" spans="2:26" s="458" customFormat="1" x14ac:dyDescent="0.45">
      <c r="B328" s="605" t="s">
        <v>243</v>
      </c>
      <c r="C328" s="522"/>
      <c r="D328" s="522"/>
      <c r="E328" s="522"/>
      <c r="F328" s="522"/>
      <c r="G328" s="522"/>
      <c r="H328" s="522"/>
      <c r="I328" s="606"/>
      <c r="J328" s="473"/>
      <c r="K328" s="473"/>
      <c r="L328" s="473"/>
      <c r="M328" s="473"/>
      <c r="N328" s="473"/>
      <c r="O328" s="473"/>
      <c r="P328" s="473"/>
      <c r="Q328" s="473"/>
      <c r="R328" s="473"/>
      <c r="U328" s="995"/>
      <c r="V328" s="995"/>
      <c r="W328" s="995"/>
      <c r="X328" s="995"/>
      <c r="Y328" s="995"/>
      <c r="Z328" s="995"/>
    </row>
    <row r="329" spans="2:26" s="458" customFormat="1" x14ac:dyDescent="0.45">
      <c r="B329" s="810" t="s">
        <v>385</v>
      </c>
      <c r="C329" s="214"/>
      <c r="D329" s="214"/>
      <c r="E329" s="214"/>
      <c r="F329" s="214"/>
      <c r="G329" s="214"/>
      <c r="H329" s="214"/>
      <c r="I329" s="368"/>
      <c r="J329" s="473"/>
      <c r="K329" s="473"/>
      <c r="L329" s="473"/>
      <c r="M329" s="473"/>
      <c r="N329" s="473"/>
      <c r="O329" s="473"/>
      <c r="P329" s="473"/>
      <c r="Q329" s="473"/>
      <c r="R329" s="473"/>
      <c r="U329" s="995"/>
      <c r="V329" s="995"/>
      <c r="W329" s="995"/>
      <c r="X329" s="995"/>
      <c r="Y329" s="995"/>
      <c r="Z329" s="995"/>
    </row>
    <row r="330" spans="2:26" s="458" customFormat="1" x14ac:dyDescent="0.45">
      <c r="B330" s="580" t="s">
        <v>364</v>
      </c>
      <c r="C330" s="527">
        <f>4.6%*1</f>
        <v>4.5999999999999999E-2</v>
      </c>
      <c r="D330" s="734" t="s">
        <v>0</v>
      </c>
      <c r="E330" s="734"/>
      <c r="F330" s="734"/>
      <c r="G330" s="734"/>
      <c r="H330" s="734"/>
      <c r="I330" s="595"/>
      <c r="L330" s="473"/>
      <c r="M330" s="473"/>
      <c r="N330" s="473"/>
      <c r="O330" s="473"/>
      <c r="P330" s="473"/>
      <c r="Q330" s="473"/>
      <c r="R330" s="473"/>
    </row>
    <row r="331" spans="2:26" s="458" customFormat="1" x14ac:dyDescent="0.45">
      <c r="B331" s="580" t="s">
        <v>365</v>
      </c>
      <c r="C331" s="527">
        <v>0.5</v>
      </c>
      <c r="D331" s="734" t="s">
        <v>0</v>
      </c>
      <c r="E331" s="734"/>
      <c r="F331" s="734"/>
      <c r="G331" s="734"/>
      <c r="H331" s="734"/>
      <c r="I331" s="595"/>
      <c r="L331" s="473"/>
      <c r="M331" s="210"/>
      <c r="N331" s="210"/>
      <c r="O331" s="210"/>
      <c r="P331" s="473"/>
      <c r="Q331" s="473"/>
      <c r="R331" s="473"/>
    </row>
    <row r="332" spans="2:26" s="458" customFormat="1" x14ac:dyDescent="0.45">
      <c r="B332" s="580" t="s">
        <v>110</v>
      </c>
      <c r="C332" s="734">
        <v>5</v>
      </c>
      <c r="D332" s="734" t="s">
        <v>111</v>
      </c>
      <c r="E332" s="734"/>
      <c r="F332" s="734"/>
      <c r="G332" s="734"/>
      <c r="H332" s="734"/>
      <c r="I332" s="595"/>
      <c r="L332" s="473"/>
      <c r="M332" s="210"/>
      <c r="N332" s="119"/>
      <c r="O332" s="222"/>
      <c r="P332" s="473"/>
      <c r="Q332" s="473"/>
      <c r="R332" s="473"/>
    </row>
    <row r="333" spans="2:26" s="458" customFormat="1" x14ac:dyDescent="0.45">
      <c r="B333" s="580" t="s">
        <v>398</v>
      </c>
      <c r="C333" s="734" t="s">
        <v>138</v>
      </c>
      <c r="D333" s="734"/>
      <c r="E333" s="734"/>
      <c r="F333" s="734"/>
      <c r="G333" s="734"/>
      <c r="H333" s="734"/>
      <c r="I333" s="595"/>
      <c r="L333" s="473"/>
      <c r="M333" s="210"/>
      <c r="N333" s="119"/>
      <c r="O333" s="222"/>
      <c r="P333" s="473"/>
      <c r="Q333" s="473"/>
      <c r="R333" s="473"/>
    </row>
    <row r="334" spans="2:26" s="458" customFormat="1" x14ac:dyDescent="0.45">
      <c r="B334" s="580" t="str">
        <f t="shared" ref="B334:B348" si="76">B30</f>
        <v>Silicon Feedstock</v>
      </c>
      <c r="C334" s="578">
        <f>G30*(1+$C$200)</f>
        <v>0.18157833757833758</v>
      </c>
      <c r="D334" s="723"/>
      <c r="E334" s="734"/>
      <c r="F334" s="734"/>
      <c r="G334" s="734"/>
      <c r="H334" s="734"/>
      <c r="I334" s="595"/>
      <c r="L334" s="473"/>
      <c r="M334" s="210"/>
      <c r="N334" s="119"/>
      <c r="O334" s="222"/>
      <c r="P334" s="473"/>
      <c r="Q334" s="473"/>
      <c r="R334" s="473"/>
    </row>
    <row r="335" spans="2:26" s="458" customFormat="1" x14ac:dyDescent="0.45">
      <c r="B335" s="580" t="str">
        <f t="shared" si="76"/>
        <v>Depreciation</v>
      </c>
      <c r="C335" s="578">
        <f>-1*SUM(H218,J218,H247,J247,H276,J276,H305,J305)/(C198*1000000)</f>
        <v>0.10739276060783653</v>
      </c>
      <c r="D335" s="723"/>
      <c r="E335" s="734"/>
      <c r="F335" s="734"/>
      <c r="G335" s="734"/>
      <c r="H335" s="734"/>
      <c r="I335" s="595"/>
      <c r="L335" s="473"/>
      <c r="M335" s="210"/>
      <c r="N335" s="212"/>
      <c r="O335" s="222"/>
      <c r="P335" s="473"/>
      <c r="Q335" s="473"/>
      <c r="R335" s="473"/>
    </row>
    <row r="336" spans="2:26" s="458" customFormat="1" x14ac:dyDescent="0.45">
      <c r="B336" s="580" t="str">
        <f t="shared" si="76"/>
        <v>Maintenance</v>
      </c>
      <c r="C336" s="578">
        <f t="shared" ref="C336:C352" si="77">G32*(1+$C$200)</f>
        <v>4.1875620898933416E-2</v>
      </c>
      <c r="D336" s="723"/>
      <c r="E336" s="734"/>
      <c r="F336" s="734"/>
      <c r="G336" s="734"/>
      <c r="H336" s="734"/>
      <c r="I336" s="595"/>
      <c r="L336" s="473"/>
      <c r="M336" s="210"/>
      <c r="N336" s="212"/>
      <c r="O336" s="222"/>
      <c r="P336" s="473"/>
      <c r="Q336" s="473"/>
      <c r="R336" s="473"/>
    </row>
    <row r="337" spans="2:18" s="458" customFormat="1" x14ac:dyDescent="0.45">
      <c r="B337" s="580" t="str">
        <f t="shared" si="76"/>
        <v>Labor</v>
      </c>
      <c r="C337" s="578">
        <f t="shared" si="77"/>
        <v>0.11737847649396088</v>
      </c>
      <c r="D337" s="723"/>
      <c r="E337" s="734"/>
      <c r="F337" s="578"/>
      <c r="G337" s="734"/>
      <c r="H337" s="734"/>
      <c r="I337" s="595"/>
      <c r="L337" s="473"/>
      <c r="M337" s="210"/>
      <c r="N337" s="119"/>
      <c r="O337" s="222"/>
      <c r="P337" s="473"/>
      <c r="Q337" s="473"/>
      <c r="R337" s="473"/>
    </row>
    <row r="338" spans="2:18" s="458" customFormat="1" x14ac:dyDescent="0.45">
      <c r="B338" s="580" t="str">
        <f t="shared" si="76"/>
        <v>Input Electricity</v>
      </c>
      <c r="C338" s="578">
        <f t="shared" si="77"/>
        <v>5.104287398192256E-2</v>
      </c>
      <c r="D338" s="723"/>
      <c r="E338" s="734"/>
      <c r="F338" s="578"/>
      <c r="G338" s="734"/>
      <c r="H338" s="734"/>
      <c r="I338" s="595"/>
      <c r="J338" s="473"/>
      <c r="K338" s="473"/>
      <c r="L338" s="473"/>
      <c r="M338" s="473"/>
      <c r="N338" s="473"/>
      <c r="O338" s="473"/>
      <c r="P338" s="473"/>
      <c r="Q338" s="473"/>
      <c r="R338" s="473"/>
    </row>
    <row r="339" spans="2:18" s="458" customFormat="1" x14ac:dyDescent="0.45">
      <c r="B339" s="580" t="str">
        <f t="shared" si="76"/>
        <v>Metal Paste</v>
      </c>
      <c r="C339" s="578">
        <f t="shared" si="77"/>
        <v>8.2644213253187618E-2</v>
      </c>
      <c r="D339" s="723"/>
      <c r="E339" s="734"/>
      <c r="F339" s="734"/>
      <c r="G339" s="734"/>
      <c r="H339" s="734"/>
      <c r="I339" s="595"/>
      <c r="J339" s="473"/>
      <c r="K339" s="473"/>
      <c r="L339" s="473"/>
      <c r="M339" s="473"/>
      <c r="N339" s="473"/>
      <c r="O339" s="473"/>
      <c r="P339" s="473"/>
      <c r="Q339" s="473"/>
      <c r="R339" s="473"/>
    </row>
    <row r="340" spans="2:18" s="458" customFormat="1" x14ac:dyDescent="0.45">
      <c r="B340" s="580" t="str">
        <f t="shared" si="76"/>
        <v>Crucible</v>
      </c>
      <c r="C340" s="578">
        <f t="shared" si="77"/>
        <v>1.433267456055504E-2</v>
      </c>
      <c r="D340" s="723"/>
      <c r="E340" s="734"/>
      <c r="F340" s="734"/>
      <c r="G340" s="734"/>
      <c r="H340" s="734"/>
      <c r="I340" s="595"/>
      <c r="J340" s="473"/>
      <c r="K340" s="473"/>
      <c r="L340" s="473"/>
      <c r="M340" s="996"/>
      <c r="N340" s="473"/>
      <c r="O340" s="473"/>
      <c r="P340" s="473"/>
      <c r="Q340" s="473"/>
      <c r="R340" s="473"/>
    </row>
    <row r="341" spans="2:18" s="458" customFormat="1" x14ac:dyDescent="0.45">
      <c r="B341" s="580" t="str">
        <f t="shared" si="76"/>
        <v>Wire</v>
      </c>
      <c r="C341" s="578">
        <f t="shared" si="77"/>
        <v>2.3028200630944712E-2</v>
      </c>
      <c r="D341" s="723"/>
      <c r="E341" s="734"/>
      <c r="F341" s="734"/>
      <c r="G341" s="734"/>
      <c r="H341" s="734"/>
      <c r="I341" s="595"/>
      <c r="J341" s="473"/>
      <c r="K341" s="473"/>
      <c r="L341" s="473"/>
      <c r="M341" s="473"/>
      <c r="N341" s="473"/>
      <c r="O341" s="473"/>
      <c r="P341" s="473"/>
      <c r="Q341" s="473"/>
      <c r="R341" s="473"/>
    </row>
    <row r="342" spans="2:18" s="458" customFormat="1" x14ac:dyDescent="0.45">
      <c r="B342" s="580" t="str">
        <f t="shared" si="76"/>
        <v>Slurry</v>
      </c>
      <c r="C342" s="578">
        <f t="shared" si="77"/>
        <v>3.2917525521075811E-2</v>
      </c>
      <c r="D342" s="723"/>
      <c r="E342" s="734"/>
      <c r="F342" s="734"/>
      <c r="G342" s="734"/>
      <c r="H342" s="734"/>
      <c r="I342" s="595"/>
      <c r="J342" s="473"/>
      <c r="K342" s="473"/>
      <c r="L342" s="473"/>
      <c r="M342" s="473"/>
      <c r="N342" s="473"/>
      <c r="O342" s="473"/>
      <c r="P342" s="473"/>
      <c r="Q342" s="473"/>
      <c r="R342" s="473"/>
    </row>
    <row r="343" spans="2:18" s="458" customFormat="1" x14ac:dyDescent="0.45">
      <c r="B343" s="580" t="str">
        <f t="shared" si="76"/>
        <v>Glass</v>
      </c>
      <c r="C343" s="578">
        <f t="shared" si="77"/>
        <v>5.0918645918645915E-2</v>
      </c>
      <c r="D343" s="723"/>
      <c r="E343" s="734"/>
      <c r="F343" s="734"/>
      <c r="G343" s="734"/>
      <c r="H343" s="734"/>
      <c r="I343" s="595"/>
      <c r="J343" s="473"/>
      <c r="K343" s="473"/>
      <c r="L343" s="473"/>
      <c r="M343" s="473"/>
      <c r="N343" s="473"/>
      <c r="O343" s="473"/>
      <c r="P343" s="473"/>
      <c r="Q343" s="473"/>
      <c r="R343" s="473"/>
    </row>
    <row r="344" spans="2:18" s="458" customFormat="1" x14ac:dyDescent="0.45">
      <c r="B344" s="580" t="str">
        <f t="shared" si="76"/>
        <v>Frame</v>
      </c>
      <c r="C344" s="578">
        <f t="shared" si="77"/>
        <v>5.8901274613525324E-2</v>
      </c>
      <c r="D344" s="723"/>
      <c r="E344" s="734"/>
      <c r="F344" s="734"/>
      <c r="G344" s="734"/>
      <c r="H344" s="578"/>
      <c r="I344" s="595"/>
      <c r="J344" s="473"/>
      <c r="K344" s="473"/>
      <c r="L344" s="473"/>
      <c r="M344" s="473"/>
      <c r="N344" s="473"/>
      <c r="O344" s="473"/>
      <c r="P344" s="473"/>
      <c r="Q344" s="473"/>
      <c r="R344" s="473"/>
    </row>
    <row r="345" spans="2:18" s="458" customFormat="1" x14ac:dyDescent="0.45">
      <c r="B345" s="580" t="str">
        <f t="shared" si="76"/>
        <v>Encapsulant</v>
      </c>
      <c r="C345" s="578">
        <f t="shared" si="77"/>
        <v>3.4875784875784875E-2</v>
      </c>
      <c r="D345" s="723"/>
      <c r="E345" s="734"/>
      <c r="F345" s="734"/>
      <c r="G345" s="734"/>
      <c r="H345" s="734"/>
      <c r="I345" s="595"/>
      <c r="J345" s="473"/>
      <c r="K345" s="473"/>
      <c r="L345" s="473"/>
      <c r="M345" s="473"/>
      <c r="N345" s="473"/>
      <c r="O345" s="473"/>
      <c r="P345" s="473"/>
      <c r="Q345" s="473"/>
      <c r="R345" s="473"/>
    </row>
    <row r="346" spans="2:18" s="458" customFormat="1" x14ac:dyDescent="0.45">
      <c r="B346" s="580" t="str">
        <f t="shared" si="76"/>
        <v>JB and Cable</v>
      </c>
      <c r="C346" s="578">
        <f t="shared" si="77"/>
        <v>2.5509079996259482E-2</v>
      </c>
      <c r="D346" s="723"/>
      <c r="E346" s="734"/>
      <c r="F346" s="734"/>
      <c r="G346" s="734"/>
      <c r="H346" s="734"/>
      <c r="I346" s="595"/>
      <c r="J346" s="473"/>
      <c r="K346" s="473"/>
      <c r="L346" s="473"/>
      <c r="M346" s="473"/>
      <c r="N346" s="473"/>
      <c r="O346" s="473"/>
      <c r="P346" s="473"/>
      <c r="Q346" s="473"/>
      <c r="R346" s="473"/>
    </row>
    <row r="347" spans="2:18" s="458" customFormat="1" x14ac:dyDescent="0.45">
      <c r="B347" s="580" t="str">
        <f t="shared" si="76"/>
        <v>Chemicals</v>
      </c>
      <c r="C347" s="578">
        <f t="shared" si="77"/>
        <v>2.5253989196296886E-2</v>
      </c>
      <c r="D347" s="723"/>
      <c r="E347" s="734"/>
      <c r="F347" s="734"/>
      <c r="G347" s="734"/>
      <c r="H347" s="734"/>
      <c r="I347" s="595"/>
      <c r="J347" s="473"/>
      <c r="K347" s="473"/>
      <c r="L347" s="473"/>
      <c r="M347" s="473"/>
      <c r="N347" s="473"/>
      <c r="O347" s="473"/>
      <c r="P347" s="473"/>
      <c r="Q347" s="473"/>
      <c r="R347" s="473"/>
    </row>
    <row r="348" spans="2:18" s="458" customFormat="1" x14ac:dyDescent="0.45">
      <c r="B348" s="580" t="str">
        <f t="shared" si="76"/>
        <v>Backsheet</v>
      </c>
      <c r="C348" s="578">
        <f t="shared" si="77"/>
        <v>4.882609882609882E-2</v>
      </c>
      <c r="D348" s="723"/>
      <c r="E348" s="734"/>
      <c r="F348" s="734"/>
      <c r="G348" s="734"/>
      <c r="H348" s="734"/>
      <c r="I348" s="595"/>
      <c r="J348" s="473"/>
      <c r="K348" s="473"/>
      <c r="L348" s="473"/>
      <c r="M348" s="473"/>
      <c r="N348" s="473"/>
      <c r="O348" s="473"/>
      <c r="P348" s="473"/>
      <c r="Q348" s="473"/>
      <c r="R348" s="473"/>
    </row>
    <row r="349" spans="2:18" s="458" customFormat="1" x14ac:dyDescent="0.45">
      <c r="B349" s="580" t="str">
        <f>B45</f>
        <v>Ribbon</v>
      </c>
      <c r="C349" s="578">
        <f t="shared" si="77"/>
        <v>3.2783237783237773E-2</v>
      </c>
      <c r="D349" s="723"/>
      <c r="E349" s="734"/>
      <c r="F349" s="734"/>
      <c r="G349" s="734"/>
      <c r="H349" s="734"/>
      <c r="I349" s="595"/>
      <c r="J349" s="473"/>
      <c r="K349" s="473"/>
      <c r="L349" s="473"/>
      <c r="M349" s="473"/>
      <c r="N349" s="473"/>
      <c r="O349" s="473"/>
      <c r="P349" s="473"/>
      <c r="Q349" s="473"/>
      <c r="R349" s="473"/>
    </row>
    <row r="350" spans="2:18" s="458" customFormat="1" x14ac:dyDescent="0.45">
      <c r="B350" s="580" t="str">
        <f>B46</f>
        <v>Packaging</v>
      </c>
      <c r="C350" s="578">
        <f t="shared" si="77"/>
        <v>3.1388206388206388E-3</v>
      </c>
      <c r="D350" s="723"/>
      <c r="E350" s="734"/>
      <c r="F350" s="734"/>
      <c r="G350" s="734"/>
      <c r="H350" s="734"/>
      <c r="I350" s="595"/>
      <c r="J350" s="473"/>
      <c r="K350" s="473"/>
      <c r="L350" s="473"/>
      <c r="M350" s="473"/>
      <c r="N350" s="473"/>
      <c r="O350" s="473"/>
      <c r="P350" s="473"/>
      <c r="Q350" s="473"/>
      <c r="R350" s="473"/>
    </row>
    <row r="351" spans="2:18" s="458" customFormat="1" x14ac:dyDescent="0.45">
      <c r="B351" s="580" t="str">
        <f>B47</f>
        <v>Screens</v>
      </c>
      <c r="C351" s="578">
        <f t="shared" si="77"/>
        <v>9.1103857129498159E-3</v>
      </c>
      <c r="D351" s="723"/>
      <c r="E351" s="734"/>
      <c r="F351" s="734"/>
      <c r="G351" s="734"/>
      <c r="H351" s="734"/>
      <c r="I351" s="595"/>
      <c r="J351" s="473"/>
      <c r="K351" s="473"/>
      <c r="L351" s="473"/>
      <c r="M351" s="473"/>
      <c r="N351" s="473"/>
      <c r="O351" s="473"/>
      <c r="P351" s="473"/>
      <c r="Q351" s="473"/>
      <c r="R351" s="473"/>
    </row>
    <row r="352" spans="2:18" s="458" customFormat="1" x14ac:dyDescent="0.45">
      <c r="B352" s="580" t="str">
        <f>B48</f>
        <v>Shipping costs</v>
      </c>
      <c r="C352" s="578">
        <f t="shared" si="77"/>
        <v>0</v>
      </c>
      <c r="D352" s="723"/>
      <c r="E352" s="734"/>
      <c r="F352" s="734"/>
      <c r="G352" s="734"/>
      <c r="H352" s="734"/>
      <c r="I352" s="595"/>
      <c r="J352" s="473"/>
      <c r="K352" s="473"/>
      <c r="L352" s="473"/>
      <c r="M352" s="473"/>
      <c r="N352" s="473"/>
      <c r="O352" s="473"/>
      <c r="P352" s="473"/>
      <c r="Q352" s="473"/>
      <c r="R352" s="473"/>
    </row>
    <row r="353" spans="1:18" s="458" customFormat="1" x14ac:dyDescent="0.45">
      <c r="B353" s="580"/>
      <c r="C353" s="578"/>
      <c r="D353" s="723"/>
      <c r="E353" s="734"/>
      <c r="F353" s="734"/>
      <c r="G353" s="734"/>
      <c r="H353" s="734"/>
      <c r="I353" s="595"/>
      <c r="J353" s="473"/>
      <c r="K353" s="473"/>
      <c r="L353" s="473"/>
      <c r="M353" s="473"/>
      <c r="N353" s="473"/>
      <c r="O353" s="473"/>
      <c r="P353" s="473"/>
      <c r="Q353" s="473"/>
      <c r="R353" s="473"/>
    </row>
    <row r="354" spans="1:18" s="458" customFormat="1" x14ac:dyDescent="0.45">
      <c r="B354" s="504" t="s">
        <v>354</v>
      </c>
      <c r="C354" s="734"/>
      <c r="D354" s="936" t="s">
        <v>356</v>
      </c>
      <c r="E354" s="734"/>
      <c r="F354" s="734"/>
      <c r="G354" s="936" t="s">
        <v>384</v>
      </c>
      <c r="H354" s="734"/>
      <c r="I354" s="595"/>
      <c r="J354" s="473"/>
      <c r="K354" s="473"/>
      <c r="L354" s="473"/>
      <c r="M354" s="473"/>
      <c r="N354" s="473"/>
      <c r="O354" s="473"/>
      <c r="P354" s="473"/>
      <c r="Q354" s="473"/>
      <c r="R354" s="473"/>
    </row>
    <row r="355" spans="1:18" s="458" customFormat="1" x14ac:dyDescent="0.45">
      <c r="B355" s="580" t="s">
        <v>247</v>
      </c>
      <c r="C355" s="734"/>
      <c r="D355" s="523" t="s">
        <v>250</v>
      </c>
      <c r="E355" s="523" t="s">
        <v>249</v>
      </c>
      <c r="F355" s="523" t="s">
        <v>284</v>
      </c>
      <c r="G355" s="523" t="s">
        <v>250</v>
      </c>
      <c r="H355" s="523" t="s">
        <v>249</v>
      </c>
      <c r="I355" s="524" t="s">
        <v>284</v>
      </c>
      <c r="J355" s="473"/>
      <c r="K355" s="473"/>
      <c r="L355" s="473"/>
      <c r="M355" s="473"/>
      <c r="N355" s="473"/>
      <c r="O355" s="473"/>
      <c r="P355" s="473"/>
      <c r="Q355" s="473"/>
      <c r="R355" s="473"/>
    </row>
    <row r="356" spans="1:18" s="458" customFormat="1" ht="14.45" customHeight="1" x14ac:dyDescent="0.45">
      <c r="B356" s="580"/>
      <c r="C356" s="734" t="s">
        <v>238</v>
      </c>
      <c r="D356" s="369">
        <f>SUM(C218,C247,C276,C305)</f>
        <v>1.1318671466965951</v>
      </c>
      <c r="E356" s="369">
        <f t="shared" ref="E356:E361" si="78">D356</f>
        <v>1.1318671466965951</v>
      </c>
      <c r="F356" s="369">
        <f>D356</f>
        <v>1.1318671466965951</v>
      </c>
      <c r="G356" s="369">
        <f>SUM(C224,C253,C282,C311)</f>
        <v>1.2897360203008696</v>
      </c>
      <c r="H356" s="369">
        <f t="shared" ref="H356:H361" si="79">G356</f>
        <v>1.2897360203008696</v>
      </c>
      <c r="I356" s="525">
        <f>G356</f>
        <v>1.2897360203008696</v>
      </c>
      <c r="J356" s="473"/>
      <c r="K356" s="473"/>
      <c r="L356" s="473"/>
      <c r="M356" s="473"/>
      <c r="N356" s="473"/>
      <c r="O356" s="473"/>
      <c r="P356" s="473"/>
      <c r="Q356" s="473"/>
      <c r="R356" s="473"/>
    </row>
    <row r="357" spans="1:18" s="458" customFormat="1" ht="14.45" customHeight="1" x14ac:dyDescent="0.45">
      <c r="A357" s="992"/>
      <c r="B357" s="530"/>
      <c r="C357" s="734" t="s">
        <v>239</v>
      </c>
      <c r="D357" s="369">
        <f>SUM(C334,C339:C352)</f>
        <v>0.62381826910572025</v>
      </c>
      <c r="E357" s="369">
        <f t="shared" si="78"/>
        <v>0.62381826910572025</v>
      </c>
      <c r="F357" s="369">
        <f>D357</f>
        <v>0.62381826910572025</v>
      </c>
      <c r="G357" s="369">
        <f>D357*(1+$C$200)^(7-1)</f>
        <v>0.7108262609578655</v>
      </c>
      <c r="H357" s="369">
        <f t="shared" si="79"/>
        <v>0.7108262609578655</v>
      </c>
      <c r="I357" s="525">
        <f>G357</f>
        <v>0.7108262609578655</v>
      </c>
      <c r="J357" s="473"/>
      <c r="K357" s="473"/>
      <c r="L357" s="473"/>
      <c r="M357" s="473"/>
      <c r="N357" s="473"/>
      <c r="O357" s="473"/>
      <c r="P357" s="473"/>
      <c r="Q357" s="473"/>
      <c r="R357" s="473"/>
    </row>
    <row r="358" spans="1:18" s="458" customFormat="1" x14ac:dyDescent="0.45">
      <c r="B358" s="530"/>
      <c r="C358" s="734" t="s">
        <v>240</v>
      </c>
      <c r="D358" s="369">
        <f>$C$337</f>
        <v>0.11737847649396088</v>
      </c>
      <c r="E358" s="369">
        <f t="shared" si="78"/>
        <v>0.11737847649396088</v>
      </c>
      <c r="F358" s="369">
        <f>D358</f>
        <v>0.11737847649396088</v>
      </c>
      <c r="G358" s="369">
        <f>D358*(1+$C$200)^(7-1)</f>
        <v>0.13375001614291107</v>
      </c>
      <c r="H358" s="369">
        <f t="shared" si="79"/>
        <v>0.13375001614291107</v>
      </c>
      <c r="I358" s="525">
        <f>G358</f>
        <v>0.13375001614291107</v>
      </c>
      <c r="J358" s="473"/>
      <c r="K358" s="473"/>
      <c r="L358" s="473"/>
      <c r="M358" s="473"/>
      <c r="N358" s="473"/>
      <c r="O358" s="473"/>
      <c r="P358" s="473"/>
      <c r="Q358" s="473"/>
      <c r="R358" s="473"/>
    </row>
    <row r="359" spans="1:18" s="458" customFormat="1" x14ac:dyDescent="0.45">
      <c r="B359" s="530"/>
      <c r="C359" s="734" t="s">
        <v>20</v>
      </c>
      <c r="D359" s="369">
        <f>$C$338</f>
        <v>5.104287398192256E-2</v>
      </c>
      <c r="E359" s="369">
        <f t="shared" si="78"/>
        <v>5.104287398192256E-2</v>
      </c>
      <c r="F359" s="369">
        <f>D359</f>
        <v>5.104287398192256E-2</v>
      </c>
      <c r="G359" s="369">
        <f>D359*(1+$C$200)^(7-1)</f>
        <v>5.8162155643704964E-2</v>
      </c>
      <c r="H359" s="369">
        <f t="shared" si="79"/>
        <v>5.8162155643704964E-2</v>
      </c>
      <c r="I359" s="525">
        <f>G359</f>
        <v>5.8162155643704964E-2</v>
      </c>
      <c r="J359" s="473"/>
      <c r="K359" s="473"/>
      <c r="L359" s="473"/>
      <c r="M359" s="473"/>
      <c r="N359" s="473"/>
      <c r="O359" s="473"/>
      <c r="P359" s="473"/>
      <c r="Q359" s="473"/>
      <c r="R359" s="473"/>
    </row>
    <row r="360" spans="1:18" s="458" customFormat="1" x14ac:dyDescent="0.45">
      <c r="B360" s="530"/>
      <c r="C360" s="734" t="s">
        <v>61</v>
      </c>
      <c r="D360" s="369">
        <f>$C$336</f>
        <v>4.1875620898933416E-2</v>
      </c>
      <c r="E360" s="369">
        <f t="shared" si="78"/>
        <v>4.1875620898933416E-2</v>
      </c>
      <c r="F360" s="369">
        <f>D360</f>
        <v>4.1875620898933416E-2</v>
      </c>
      <c r="G360" s="369">
        <f>D360*(1+$C$200)^(7-1)</f>
        <v>4.7716286141394351E-2</v>
      </c>
      <c r="H360" s="369">
        <f t="shared" si="79"/>
        <v>4.7716286141394351E-2</v>
      </c>
      <c r="I360" s="525">
        <f>G360</f>
        <v>4.7716286141394351E-2</v>
      </c>
      <c r="J360" s="473"/>
      <c r="K360" s="473"/>
      <c r="L360" s="473"/>
      <c r="M360" s="473"/>
      <c r="N360" s="473"/>
      <c r="O360" s="473"/>
      <c r="P360" s="473"/>
      <c r="Q360" s="473"/>
      <c r="R360" s="473"/>
    </row>
    <row r="361" spans="1:18" s="458" customFormat="1" x14ac:dyDescent="0.45">
      <c r="B361" s="530"/>
      <c r="C361" s="734" t="s">
        <v>246</v>
      </c>
      <c r="D361" s="369">
        <f>-1*SUM(H218,J218,H247,J247,H276,J276,H305,J305)/(C198*1000000)</f>
        <v>0.10739276060783653</v>
      </c>
      <c r="E361" s="369">
        <f t="shared" si="78"/>
        <v>0.10739276060783653</v>
      </c>
      <c r="F361" s="369"/>
      <c r="G361" s="369">
        <f>-1*SUM(H253,J253,H282,J282,H311,J311,H225,J225)/(C198*1000000)</f>
        <v>6.2361875613116693E-2</v>
      </c>
      <c r="H361" s="369">
        <f t="shared" si="79"/>
        <v>6.2361875613116693E-2</v>
      </c>
      <c r="I361" s="595"/>
      <c r="J361" s="473"/>
      <c r="K361" s="473"/>
      <c r="L361" s="473"/>
      <c r="M361" s="473"/>
      <c r="N361" s="473"/>
      <c r="O361" s="473"/>
      <c r="P361" s="473"/>
      <c r="Q361" s="473"/>
      <c r="R361" s="473"/>
    </row>
    <row r="362" spans="1:18" s="458" customFormat="1" x14ac:dyDescent="0.45">
      <c r="B362" s="580"/>
      <c r="C362" s="734" t="s">
        <v>244</v>
      </c>
      <c r="D362" s="369">
        <f>($C$203+$C$204)*D356</f>
        <v>0.11884605040314247</v>
      </c>
      <c r="E362" s="369"/>
      <c r="F362" s="369"/>
      <c r="G362" s="369">
        <f>($C$203+$C$204)*G356</f>
        <v>0.1354222821315913</v>
      </c>
      <c r="H362" s="734"/>
      <c r="I362" s="595"/>
      <c r="J362" s="473"/>
      <c r="K362" s="473"/>
      <c r="L362" s="473"/>
      <c r="M362" s="473"/>
      <c r="N362" s="473"/>
      <c r="O362" s="473"/>
      <c r="P362" s="473"/>
      <c r="Q362" s="473"/>
      <c r="R362" s="473"/>
    </row>
    <row r="363" spans="1:18" s="458" customFormat="1" x14ac:dyDescent="0.45">
      <c r="B363" s="580"/>
      <c r="C363" s="734" t="s">
        <v>241</v>
      </c>
      <c r="D363" s="369">
        <f>-1*ISPMT(C330,1,C332,C210*C331)/(C198*1000000)</f>
        <v>1.6073579076793364E-2</v>
      </c>
      <c r="E363" s="369"/>
      <c r="F363" s="369"/>
      <c r="G363" s="369">
        <f>-1*ISPMT(C330,5,C332,C210*C331)/(C198*1000000)</f>
        <v>0</v>
      </c>
      <c r="H363" s="734"/>
      <c r="I363" s="595"/>
      <c r="J363" s="473"/>
      <c r="K363" s="473"/>
      <c r="L363" s="473"/>
      <c r="M363" s="473"/>
      <c r="N363" s="473"/>
      <c r="O363" s="473"/>
      <c r="P363" s="473"/>
      <c r="Q363" s="473"/>
      <c r="R363" s="473"/>
    </row>
    <row r="364" spans="1:18" s="458" customFormat="1" x14ac:dyDescent="0.45">
      <c r="B364" s="580"/>
      <c r="C364" s="734" t="s">
        <v>242</v>
      </c>
      <c r="D364" s="369">
        <f>(D356-SUM(D357:D363))*$C$202</f>
        <v>1.5467624999791704E-2</v>
      </c>
      <c r="E364" s="369"/>
      <c r="F364" s="369"/>
      <c r="G364" s="369">
        <f>(G356-SUM(G357:G363))*$C$202</f>
        <v>3.9477703084009691E-2</v>
      </c>
      <c r="H364" s="734"/>
      <c r="I364" s="595"/>
      <c r="J364" s="473"/>
      <c r="K364" s="473"/>
      <c r="L364" s="473"/>
      <c r="M364" s="473"/>
      <c r="N364" s="473"/>
      <c r="O364" s="473"/>
      <c r="P364" s="473"/>
      <c r="Q364" s="473"/>
      <c r="R364" s="473"/>
    </row>
    <row r="365" spans="1:18" s="458" customFormat="1" x14ac:dyDescent="0.45">
      <c r="B365" s="580"/>
      <c r="C365" s="734" t="s">
        <v>338</v>
      </c>
      <c r="D365" s="369">
        <f>D356-SUM(D357:D364)</f>
        <v>3.9971891128494086E-2</v>
      </c>
      <c r="E365" s="734"/>
      <c r="F365" s="734"/>
      <c r="G365" s="369">
        <f>G356-SUM(G357:G364)</f>
        <v>0.10201944058627599</v>
      </c>
      <c r="H365" s="734"/>
      <c r="I365" s="595"/>
      <c r="J365" s="473"/>
      <c r="K365" s="473"/>
      <c r="L365" s="473"/>
      <c r="M365" s="473"/>
      <c r="N365" s="473"/>
      <c r="O365" s="473"/>
      <c r="P365" s="473"/>
      <c r="Q365" s="473"/>
      <c r="R365" s="473"/>
    </row>
    <row r="366" spans="1:18" s="540" customFormat="1" x14ac:dyDescent="0.45">
      <c r="B366" s="580"/>
      <c r="C366" s="734"/>
      <c r="D366" s="734"/>
      <c r="E366" s="734"/>
      <c r="F366" s="734"/>
      <c r="G366" s="734"/>
      <c r="H366" s="734"/>
      <c r="I366" s="595"/>
      <c r="J366" s="631"/>
      <c r="K366" s="631"/>
      <c r="L366" s="631"/>
      <c r="M366" s="631"/>
      <c r="N366" s="631"/>
      <c r="O366" s="631"/>
      <c r="P366" s="631"/>
      <c r="Q366" s="631"/>
      <c r="R366" s="631"/>
    </row>
    <row r="367" spans="1:18" s="458" customFormat="1" x14ac:dyDescent="0.45">
      <c r="B367" s="580" t="s">
        <v>248</v>
      </c>
      <c r="C367" s="734" t="s">
        <v>238</v>
      </c>
      <c r="D367" s="527">
        <v>1</v>
      </c>
      <c r="E367" s="723">
        <f t="shared" ref="E367:E372" si="80">D367</f>
        <v>1</v>
      </c>
      <c r="F367" s="723">
        <f>D367</f>
        <v>1</v>
      </c>
      <c r="G367" s="723">
        <v>1</v>
      </c>
      <c r="H367" s="723">
        <f t="shared" ref="H367:H372" si="81">G367</f>
        <v>1</v>
      </c>
      <c r="I367" s="526">
        <f>G367</f>
        <v>1</v>
      </c>
      <c r="J367" s="473"/>
      <c r="K367" s="473"/>
      <c r="L367" s="473"/>
      <c r="M367" s="473"/>
      <c r="N367" s="473"/>
      <c r="O367" s="473"/>
      <c r="P367" s="473"/>
      <c r="Q367" s="473"/>
      <c r="R367" s="473"/>
    </row>
    <row r="368" spans="1:18" s="458" customFormat="1" x14ac:dyDescent="0.45">
      <c r="B368" s="531"/>
      <c r="C368" s="734" t="s">
        <v>239</v>
      </c>
      <c r="D368" s="527">
        <f>D357/$D$356</f>
        <v>0.5511408922207538</v>
      </c>
      <c r="E368" s="723">
        <f t="shared" si="80"/>
        <v>0.5511408922207538</v>
      </c>
      <c r="F368" s="723">
        <f>D368</f>
        <v>0.5511408922207538</v>
      </c>
      <c r="G368" s="723">
        <f>G357/$G$356</f>
        <v>0.5511408922207538</v>
      </c>
      <c r="H368" s="723">
        <f t="shared" si="81"/>
        <v>0.5511408922207538</v>
      </c>
      <c r="I368" s="526">
        <f>G368</f>
        <v>0.5511408922207538</v>
      </c>
      <c r="J368" s="473"/>
      <c r="K368" s="473"/>
      <c r="L368" s="473"/>
      <c r="M368" s="473"/>
      <c r="N368" s="473"/>
      <c r="O368" s="473"/>
      <c r="P368" s="473"/>
      <c r="Q368" s="473"/>
      <c r="R368" s="473"/>
    </row>
    <row r="369" spans="1:18" s="458" customFormat="1" x14ac:dyDescent="0.45">
      <c r="B369" s="531"/>
      <c r="C369" s="734" t="s">
        <v>240</v>
      </c>
      <c r="D369" s="527">
        <f t="shared" ref="D369:D375" si="82">D358/$D$356</f>
        <v>0.1037034044468339</v>
      </c>
      <c r="E369" s="723">
        <f t="shared" si="80"/>
        <v>0.1037034044468339</v>
      </c>
      <c r="F369" s="723">
        <f>D369</f>
        <v>0.1037034044468339</v>
      </c>
      <c r="G369" s="723">
        <f t="shared" ref="G369:G375" si="83">G358/$G$356</f>
        <v>0.1037034044468339</v>
      </c>
      <c r="H369" s="723">
        <f t="shared" si="81"/>
        <v>0.1037034044468339</v>
      </c>
      <c r="I369" s="526">
        <f>G369</f>
        <v>0.1037034044468339</v>
      </c>
      <c r="J369" s="473"/>
      <c r="K369" s="473"/>
      <c r="L369" s="473"/>
      <c r="M369" s="473"/>
      <c r="N369" s="473"/>
      <c r="O369" s="473"/>
      <c r="P369" s="473"/>
      <c r="Q369" s="473"/>
      <c r="R369" s="473"/>
    </row>
    <row r="370" spans="1:18" s="458" customFormat="1" x14ac:dyDescent="0.45">
      <c r="B370" s="531"/>
      <c r="C370" s="734" t="s">
        <v>20</v>
      </c>
      <c r="D370" s="527">
        <f t="shared" si="82"/>
        <v>4.5096170633535458E-2</v>
      </c>
      <c r="E370" s="723">
        <f t="shared" si="80"/>
        <v>4.5096170633535458E-2</v>
      </c>
      <c r="F370" s="723">
        <f>D370</f>
        <v>4.5096170633535458E-2</v>
      </c>
      <c r="G370" s="723">
        <f t="shared" si="83"/>
        <v>4.5096170633535451E-2</v>
      </c>
      <c r="H370" s="723">
        <f t="shared" si="81"/>
        <v>4.5096170633535451E-2</v>
      </c>
      <c r="I370" s="526">
        <f>G370</f>
        <v>4.5096170633535451E-2</v>
      </c>
      <c r="J370" s="473"/>
      <c r="K370" s="473"/>
      <c r="L370" s="473"/>
      <c r="M370" s="473"/>
      <c r="N370" s="473"/>
      <c r="O370" s="473"/>
      <c r="P370" s="473"/>
      <c r="Q370" s="473"/>
      <c r="R370" s="473"/>
    </row>
    <row r="371" spans="1:18" s="458" customFormat="1" x14ac:dyDescent="0.45">
      <c r="B371" s="531"/>
      <c r="C371" s="734" t="s">
        <v>61</v>
      </c>
      <c r="D371" s="527">
        <f t="shared" si="82"/>
        <v>3.6996939986419161E-2</v>
      </c>
      <c r="E371" s="723">
        <f t="shared" si="80"/>
        <v>3.6996939986419161E-2</v>
      </c>
      <c r="F371" s="723">
        <f>D371</f>
        <v>3.6996939986419161E-2</v>
      </c>
      <c r="G371" s="723">
        <f t="shared" si="83"/>
        <v>3.6996939986419154E-2</v>
      </c>
      <c r="H371" s="723">
        <f t="shared" si="81"/>
        <v>3.6996939986419154E-2</v>
      </c>
      <c r="I371" s="526">
        <f>G371</f>
        <v>3.6996939986419154E-2</v>
      </c>
      <c r="J371" s="473"/>
      <c r="K371" s="473"/>
      <c r="L371" s="473"/>
      <c r="M371" s="473"/>
      <c r="N371" s="473"/>
      <c r="O371" s="473"/>
      <c r="P371" s="473"/>
      <c r="Q371" s="473"/>
      <c r="R371" s="473"/>
    </row>
    <row r="372" spans="1:18" s="458" customFormat="1" x14ac:dyDescent="0.45">
      <c r="B372" s="531"/>
      <c r="C372" s="734" t="s">
        <v>246</v>
      </c>
      <c r="D372" s="527">
        <f t="shared" si="82"/>
        <v>9.4881065256878533E-2</v>
      </c>
      <c r="E372" s="723">
        <f t="shared" si="80"/>
        <v>9.4881065256878533E-2</v>
      </c>
      <c r="F372" s="723"/>
      <c r="G372" s="723">
        <f t="shared" si="83"/>
        <v>4.8352433855859057E-2</v>
      </c>
      <c r="H372" s="723">
        <f t="shared" si="81"/>
        <v>4.8352433855859057E-2</v>
      </c>
      <c r="I372" s="526"/>
      <c r="J372" s="473"/>
      <c r="K372" s="473"/>
      <c r="L372" s="473"/>
      <c r="M372" s="473"/>
      <c r="N372" s="473"/>
      <c r="O372" s="473"/>
      <c r="P372" s="473"/>
      <c r="Q372" s="473"/>
      <c r="R372" s="473"/>
    </row>
    <row r="373" spans="1:18" s="458" customFormat="1" x14ac:dyDescent="0.45">
      <c r="B373" s="580"/>
      <c r="C373" s="734" t="s">
        <v>244</v>
      </c>
      <c r="D373" s="527">
        <f t="shared" si="82"/>
        <v>0.105</v>
      </c>
      <c r="E373" s="734"/>
      <c r="F373" s="723"/>
      <c r="G373" s="723">
        <f t="shared" si="83"/>
        <v>0.10499999999999998</v>
      </c>
      <c r="H373" s="734"/>
      <c r="I373" s="526"/>
      <c r="J373" s="473"/>
      <c r="K373" s="473"/>
      <c r="L373" s="473"/>
      <c r="M373" s="473"/>
      <c r="N373" s="473"/>
      <c r="O373" s="473"/>
      <c r="P373" s="473"/>
      <c r="Q373" s="473"/>
      <c r="R373" s="473"/>
    </row>
    <row r="374" spans="1:18" s="458" customFormat="1" x14ac:dyDescent="0.45">
      <c r="B374" s="580"/>
      <c r="C374" s="734" t="s">
        <v>241</v>
      </c>
      <c r="D374" s="527">
        <f t="shared" si="82"/>
        <v>1.420094144768211E-2</v>
      </c>
      <c r="E374" s="734"/>
      <c r="F374" s="734"/>
      <c r="G374" s="723">
        <f t="shared" si="83"/>
        <v>0</v>
      </c>
      <c r="H374" s="734"/>
      <c r="I374" s="595"/>
      <c r="J374" s="473"/>
      <c r="K374" s="473"/>
      <c r="L374" s="473"/>
      <c r="M374" s="473"/>
      <c r="N374" s="473"/>
      <c r="O374" s="473"/>
      <c r="P374" s="473"/>
      <c r="Q374" s="473"/>
      <c r="R374" s="473"/>
    </row>
    <row r="375" spans="1:18" s="458" customFormat="1" x14ac:dyDescent="0.45">
      <c r="B375" s="580"/>
      <c r="C375" s="734" t="s">
        <v>242</v>
      </c>
      <c r="D375" s="527">
        <f t="shared" si="82"/>
        <v>1.3665583496203296E-2</v>
      </c>
      <c r="E375" s="734"/>
      <c r="F375" s="734"/>
      <c r="G375" s="723">
        <f t="shared" si="83"/>
        <v>3.0609134320990997E-2</v>
      </c>
      <c r="H375" s="734"/>
      <c r="I375" s="595"/>
      <c r="J375" s="473"/>
      <c r="K375" s="473"/>
      <c r="L375" s="473"/>
      <c r="M375" s="473"/>
      <c r="N375" s="473"/>
      <c r="O375" s="473"/>
      <c r="P375" s="473"/>
      <c r="Q375" s="473"/>
      <c r="R375" s="473"/>
    </row>
    <row r="376" spans="1:18" s="458" customFormat="1" x14ac:dyDescent="0.45">
      <c r="B376" s="580"/>
      <c r="C376" s="734"/>
      <c r="D376" s="527"/>
      <c r="E376" s="734"/>
      <c r="F376" s="734"/>
      <c r="G376" s="734"/>
      <c r="H376" s="734"/>
      <c r="I376" s="595"/>
      <c r="J376" s="473"/>
      <c r="K376" s="473"/>
      <c r="L376" s="473"/>
      <c r="M376" s="473"/>
      <c r="N376" s="473"/>
      <c r="O376" s="473"/>
      <c r="P376" s="473"/>
      <c r="Q376" s="473"/>
      <c r="R376" s="473"/>
    </row>
    <row r="377" spans="1:18" s="458" customFormat="1" x14ac:dyDescent="0.45">
      <c r="B377" s="580"/>
      <c r="C377" s="734"/>
      <c r="D377" s="527"/>
      <c r="E377" s="734"/>
      <c r="F377" s="734"/>
      <c r="G377" s="734"/>
      <c r="H377" s="734"/>
      <c r="I377" s="595"/>
      <c r="J377" s="473"/>
      <c r="K377" s="473"/>
      <c r="L377" s="473"/>
      <c r="M377" s="473"/>
      <c r="N377" s="473"/>
      <c r="O377" s="473"/>
      <c r="P377" s="473"/>
      <c r="Q377" s="473"/>
      <c r="R377" s="473"/>
    </row>
    <row r="378" spans="1:18" s="458" customFormat="1" x14ac:dyDescent="0.45">
      <c r="B378" s="580"/>
      <c r="C378" s="734" t="s">
        <v>388</v>
      </c>
      <c r="D378" s="527">
        <f>(E356-SUM(E357:E364))/E356</f>
        <v>0.16818152745557924</v>
      </c>
      <c r="E378" s="734"/>
      <c r="F378" s="734"/>
      <c r="G378" s="527">
        <f>(G356-SUM(G357:G361))/G356</f>
        <v>0.21471015885659861</v>
      </c>
      <c r="H378" s="734"/>
      <c r="I378" s="595"/>
      <c r="J378" s="473"/>
      <c r="K378" s="473"/>
      <c r="L378" s="473"/>
      <c r="M378" s="473"/>
      <c r="N378" s="473"/>
      <c r="O378" s="473"/>
      <c r="P378" s="473"/>
      <c r="Q378" s="473"/>
      <c r="R378" s="473"/>
    </row>
    <row r="379" spans="1:18" s="458" customFormat="1" x14ac:dyDescent="0.45">
      <c r="B379" s="511"/>
      <c r="C379" s="528" t="s">
        <v>251</v>
      </c>
      <c r="D379" s="529">
        <f>(D356-SUM(D357:D364))/D356</f>
        <v>3.5315002511693921E-2</v>
      </c>
      <c r="E379" s="528"/>
      <c r="F379" s="528"/>
      <c r="G379" s="529">
        <f>(G356-SUM(G357:G364))/G356</f>
        <v>7.9101024535607592E-2</v>
      </c>
      <c r="H379" s="528"/>
      <c r="I379" s="513"/>
      <c r="J379" s="473"/>
      <c r="K379" s="473"/>
      <c r="L379" s="473"/>
      <c r="M379" s="473"/>
      <c r="N379" s="473"/>
      <c r="O379" s="473"/>
      <c r="P379" s="473"/>
      <c r="Q379" s="473"/>
      <c r="R379" s="473"/>
    </row>
    <row r="380" spans="1:18" s="458" customFormat="1" x14ac:dyDescent="0.45">
      <c r="B380" s="473"/>
      <c r="C380" s="473"/>
      <c r="D380" s="520"/>
      <c r="E380" s="473"/>
      <c r="F380" s="473"/>
      <c r="G380" s="473"/>
      <c r="H380" s="473"/>
      <c r="I380" s="473"/>
      <c r="J380" s="473"/>
      <c r="K380" s="473"/>
      <c r="L380" s="473"/>
      <c r="M380" s="473"/>
      <c r="N380" s="473"/>
      <c r="O380" s="473"/>
      <c r="P380" s="473"/>
      <c r="Q380" s="473"/>
      <c r="R380" s="473"/>
    </row>
    <row r="381" spans="1:18" s="458" customFormat="1" x14ac:dyDescent="0.45">
      <c r="B381" s="473"/>
      <c r="C381" s="473"/>
      <c r="D381" s="473"/>
      <c r="E381" s="473"/>
      <c r="F381" s="473"/>
      <c r="G381" s="473"/>
      <c r="H381" s="473"/>
      <c r="I381" s="473"/>
      <c r="J381" s="473"/>
      <c r="K381" s="473"/>
      <c r="L381" s="473"/>
      <c r="M381" s="473"/>
      <c r="N381" s="473"/>
      <c r="O381" s="473"/>
      <c r="P381" s="473"/>
      <c r="Q381" s="473"/>
      <c r="R381" s="473"/>
    </row>
    <row r="382" spans="1:18" x14ac:dyDescent="0.45">
      <c r="A382" s="210"/>
    </row>
    <row r="383" spans="1:18" x14ac:dyDescent="0.45">
      <c r="A383" s="210"/>
      <c r="L383" s="521"/>
    </row>
  </sheetData>
  <mergeCells count="2">
    <mergeCell ref="L28:N28"/>
    <mergeCell ref="I28:K28"/>
  </mergeCells>
  <hyperlinks>
    <hyperlink ref="A4" r:id="rId1" display="dmpowell@mit.edu"/>
  </hyperlinks>
  <pageMargins left="0.7" right="0.7" top="0.75" bottom="0.75" header="0.3" footer="0.3"/>
  <pageSetup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2"/>
  <sheetViews>
    <sheetView zoomScale="50" zoomScaleNormal="50" workbookViewId="0"/>
  </sheetViews>
  <sheetFormatPr defaultColWidth="8.86328125" defaultRowHeight="14.25" x14ac:dyDescent="0.45"/>
  <cols>
    <col min="1" max="1" width="8.86328125" style="226"/>
    <col min="2" max="2" width="30.6640625" style="222" customWidth="1"/>
    <col min="3" max="6" width="19" style="222" customWidth="1"/>
    <col min="7" max="7" width="24.796875" style="222" customWidth="1"/>
    <col min="8" max="24" width="19" style="222" customWidth="1"/>
    <col min="25" max="25" width="21.19921875" style="222" customWidth="1"/>
    <col min="26" max="26" width="19.19921875" style="222" customWidth="1"/>
    <col min="27" max="27" width="17.33203125" style="222" customWidth="1"/>
    <col min="28" max="28" width="16.46484375" style="222" customWidth="1"/>
    <col min="29" max="29" width="11.1328125" style="222" customWidth="1"/>
    <col min="30" max="36" width="8.86328125" style="222"/>
    <col min="37" max="37" width="12.19921875" style="222" customWidth="1"/>
    <col min="38" max="16384" width="8.86328125" style="222"/>
  </cols>
  <sheetData>
    <row r="1" spans="1:39" ht="30.75" x14ac:dyDescent="0.9">
      <c r="A1" s="637" t="s">
        <v>394</v>
      </c>
      <c r="S1" s="462"/>
      <c r="T1" s="462"/>
      <c r="U1" s="462"/>
      <c r="V1" s="462"/>
      <c r="W1" s="462"/>
      <c r="X1" s="462"/>
      <c r="Y1" s="462"/>
      <c r="Z1" s="462"/>
      <c r="AA1" s="462"/>
      <c r="AB1" s="462"/>
      <c r="AC1" s="462"/>
      <c r="AD1" s="462"/>
      <c r="AE1" s="462"/>
      <c r="AF1" s="462"/>
      <c r="AG1" s="462"/>
      <c r="AH1" s="462"/>
      <c r="AI1" s="462"/>
    </row>
    <row r="2" spans="1:39" x14ac:dyDescent="0.45">
      <c r="A2" s="362" t="str">
        <f>Cover!A2</f>
        <v>Jan 2013</v>
      </c>
      <c r="S2" s="462"/>
      <c r="T2" s="462"/>
      <c r="U2" s="462"/>
      <c r="V2" s="462"/>
      <c r="W2" s="462"/>
      <c r="X2" s="462"/>
      <c r="Y2" s="462"/>
      <c r="Z2" s="462"/>
      <c r="AA2" s="462"/>
      <c r="AB2" s="462"/>
      <c r="AC2" s="462"/>
      <c r="AD2" s="462"/>
      <c r="AE2" s="462"/>
      <c r="AF2" s="462"/>
      <c r="AG2" s="462"/>
      <c r="AH2" s="462"/>
      <c r="AI2" s="462"/>
    </row>
    <row r="3" spans="1:39" x14ac:dyDescent="0.45">
      <c r="A3" s="232" t="s">
        <v>36</v>
      </c>
      <c r="S3" s="462"/>
      <c r="T3" s="462"/>
      <c r="U3" s="462"/>
      <c r="V3" s="462"/>
      <c r="W3" s="462"/>
      <c r="X3" s="462"/>
      <c r="Y3" s="462"/>
      <c r="Z3" s="462"/>
      <c r="AA3" s="462"/>
      <c r="AB3" s="462"/>
      <c r="AC3" s="462"/>
      <c r="AD3" s="462"/>
      <c r="AE3" s="462"/>
      <c r="AF3" s="462"/>
      <c r="AG3" s="462"/>
      <c r="AH3" s="462"/>
      <c r="AI3" s="462"/>
    </row>
    <row r="4" spans="1:39" s="339" customFormat="1" ht="13.8" customHeight="1" x14ac:dyDescent="0.45">
      <c r="A4" s="222" t="s">
        <v>137</v>
      </c>
      <c r="S4" s="536"/>
      <c r="T4" s="229"/>
      <c r="U4" s="536"/>
      <c r="V4" s="536"/>
      <c r="W4" s="536"/>
      <c r="X4" s="536"/>
      <c r="Y4" s="536"/>
      <c r="Z4" s="536"/>
      <c r="AA4" s="536"/>
      <c r="AB4" s="536"/>
      <c r="AC4" s="536"/>
      <c r="AD4" s="536"/>
      <c r="AE4" s="536"/>
      <c r="AF4" s="536"/>
      <c r="AG4" s="536"/>
      <c r="AH4" s="536"/>
      <c r="AI4" s="536"/>
    </row>
    <row r="5" spans="1:39" ht="15.4" x14ac:dyDescent="0.45">
      <c r="A5" s="222"/>
      <c r="S5" s="462"/>
      <c r="T5" s="538"/>
      <c r="U5" s="462"/>
      <c r="V5" s="462"/>
      <c r="W5" s="462"/>
      <c r="X5" s="462"/>
      <c r="Y5" s="462"/>
      <c r="Z5" s="462"/>
      <c r="AA5" s="462"/>
      <c r="AB5" s="462"/>
      <c r="AC5" s="462"/>
      <c r="AD5" s="462"/>
      <c r="AE5" s="462"/>
      <c r="AF5" s="462"/>
      <c r="AG5" s="462"/>
      <c r="AH5" s="462"/>
      <c r="AI5" s="462"/>
      <c r="AK5" s="268"/>
      <c r="AL5" s="268"/>
      <c r="AM5" s="268"/>
    </row>
    <row r="6" spans="1:39" ht="28.9" thickBot="1" x14ac:dyDescent="0.9">
      <c r="B6" s="562" t="s">
        <v>395</v>
      </c>
      <c r="R6" s="225"/>
      <c r="S6" s="462"/>
      <c r="T6" s="462"/>
      <c r="U6" s="462"/>
      <c r="V6" s="462"/>
      <c r="W6" s="462"/>
      <c r="X6" s="462"/>
      <c r="Y6" s="462"/>
      <c r="Z6" s="462"/>
      <c r="AA6" s="462"/>
      <c r="AB6" s="462"/>
      <c r="AC6" s="462"/>
      <c r="AD6" s="462"/>
      <c r="AE6" s="462"/>
      <c r="AF6" s="462"/>
      <c r="AG6" s="462"/>
      <c r="AH6" s="462"/>
      <c r="AI6" s="462"/>
      <c r="AK6" s="268"/>
      <c r="AL6" s="295"/>
      <c r="AM6" s="268"/>
    </row>
    <row r="7" spans="1:39" ht="14.65" thickBot="1" x14ac:dyDescent="0.5">
      <c r="A7" s="227"/>
      <c r="B7" s="241" t="s">
        <v>37</v>
      </c>
      <c r="C7" s="248" t="s">
        <v>34</v>
      </c>
      <c r="D7" s="249" t="s">
        <v>38</v>
      </c>
      <c r="H7" s="225"/>
      <c r="S7" s="462"/>
      <c r="T7" s="462"/>
      <c r="U7" s="462"/>
      <c r="V7" s="462"/>
      <c r="W7" s="462"/>
      <c r="X7" s="462"/>
      <c r="Y7" s="462"/>
      <c r="Z7" s="462"/>
      <c r="AA7" s="462"/>
      <c r="AB7" s="462"/>
      <c r="AC7" s="462"/>
      <c r="AD7" s="462"/>
      <c r="AE7" s="462"/>
      <c r="AF7" s="462"/>
      <c r="AG7" s="462"/>
      <c r="AH7" s="462"/>
      <c r="AI7" s="462"/>
      <c r="AK7" s="268"/>
      <c r="AL7" s="295"/>
      <c r="AM7" s="268"/>
    </row>
    <row r="8" spans="1:39" x14ac:dyDescent="0.45">
      <c r="A8" s="227"/>
      <c r="B8" s="236" t="s">
        <v>33</v>
      </c>
      <c r="C8" s="244">
        <v>18</v>
      </c>
      <c r="D8" s="250" t="s">
        <v>0</v>
      </c>
      <c r="H8" s="225"/>
      <c r="S8" s="462"/>
      <c r="T8" s="462"/>
      <c r="U8" s="462"/>
      <c r="V8" s="462"/>
      <c r="W8" s="462"/>
      <c r="X8" s="462"/>
      <c r="Y8" s="462"/>
      <c r="Z8" s="462"/>
      <c r="AA8" s="462"/>
      <c r="AB8" s="462"/>
      <c r="AC8" s="462"/>
      <c r="AD8" s="462"/>
      <c r="AE8" s="462"/>
      <c r="AF8" s="462"/>
      <c r="AG8" s="462"/>
      <c r="AH8" s="462"/>
      <c r="AI8" s="462"/>
      <c r="AK8" s="268"/>
      <c r="AL8" s="295"/>
      <c r="AM8" s="268"/>
    </row>
    <row r="9" spans="1:39" x14ac:dyDescent="0.45">
      <c r="A9" s="232"/>
      <c r="B9" s="238" t="s">
        <v>11</v>
      </c>
      <c r="C9" s="226">
        <v>120</v>
      </c>
      <c r="D9" s="251" t="s">
        <v>122</v>
      </c>
      <c r="H9" s="225"/>
      <c r="S9" s="462"/>
      <c r="T9" s="462"/>
      <c r="U9" s="462"/>
      <c r="V9" s="462"/>
      <c r="W9" s="462"/>
      <c r="X9" s="462"/>
      <c r="Y9" s="462"/>
      <c r="Z9" s="462"/>
      <c r="AA9" s="462"/>
      <c r="AB9" s="462"/>
      <c r="AC9" s="462"/>
      <c r="AD9" s="462"/>
      <c r="AE9" s="462"/>
      <c r="AF9" s="462"/>
      <c r="AG9" s="462"/>
      <c r="AH9" s="462"/>
      <c r="AI9" s="462"/>
      <c r="AK9" s="268"/>
      <c r="AL9" s="295"/>
      <c r="AM9" s="268"/>
    </row>
    <row r="10" spans="1:39" x14ac:dyDescent="0.45">
      <c r="A10" s="232"/>
      <c r="B10" s="238" t="s">
        <v>183</v>
      </c>
      <c r="C10" s="226">
        <v>0.55000000000000004</v>
      </c>
      <c r="D10" s="251" t="s">
        <v>22</v>
      </c>
      <c r="F10" s="540"/>
      <c r="G10" s="553"/>
      <c r="H10" s="225"/>
      <c r="S10" s="462"/>
      <c r="T10" s="462"/>
      <c r="U10" s="462"/>
      <c r="V10" s="462"/>
      <c r="W10" s="462"/>
      <c r="X10" s="462"/>
      <c r="Y10" s="462"/>
      <c r="Z10" s="462"/>
      <c r="AA10" s="462"/>
      <c r="AB10" s="462"/>
      <c r="AC10" s="462"/>
      <c r="AD10" s="462"/>
      <c r="AE10" s="462"/>
      <c r="AF10" s="462"/>
      <c r="AG10" s="462"/>
      <c r="AH10" s="295"/>
      <c r="AI10" s="462"/>
    </row>
    <row r="11" spans="1:39" x14ac:dyDescent="0.45">
      <c r="A11" s="232"/>
      <c r="B11" s="238" t="s">
        <v>109</v>
      </c>
      <c r="C11" s="226">
        <v>30</v>
      </c>
      <c r="D11" s="251" t="s">
        <v>12</v>
      </c>
      <c r="H11" s="225"/>
      <c r="S11" s="462"/>
      <c r="T11" s="533"/>
      <c r="U11" s="462"/>
      <c r="V11" s="462"/>
      <c r="W11" s="333"/>
      <c r="X11" s="462"/>
      <c r="Y11" s="462"/>
      <c r="Z11" s="462"/>
      <c r="AA11" s="462"/>
      <c r="AB11" s="333"/>
      <c r="AC11" s="462"/>
      <c r="AD11" s="333"/>
      <c r="AE11" s="333"/>
      <c r="AF11" s="462"/>
      <c r="AG11" s="462"/>
      <c r="AH11" s="295"/>
      <c r="AI11" s="462"/>
    </row>
    <row r="12" spans="1:39" x14ac:dyDescent="0.45">
      <c r="A12" s="232"/>
      <c r="B12" s="464" t="s">
        <v>196</v>
      </c>
      <c r="C12" s="519">
        <v>14.5</v>
      </c>
      <c r="D12" s="478" t="s">
        <v>17</v>
      </c>
      <c r="H12" s="543"/>
      <c r="S12" s="462"/>
      <c r="T12" s="533"/>
      <c r="U12" s="462"/>
      <c r="V12" s="462"/>
      <c r="W12" s="333"/>
      <c r="X12" s="462"/>
      <c r="Y12" s="230"/>
      <c r="Z12" s="462"/>
      <c r="AA12" s="462"/>
      <c r="AB12" s="462"/>
      <c r="AC12" s="230"/>
      <c r="AD12" s="462"/>
      <c r="AE12" s="462"/>
      <c r="AF12" s="462"/>
      <c r="AG12" s="462"/>
      <c r="AH12" s="295"/>
      <c r="AI12" s="462"/>
    </row>
    <row r="13" spans="1:39" x14ac:dyDescent="0.45">
      <c r="A13" s="227"/>
      <c r="B13" s="463" t="s">
        <v>197</v>
      </c>
      <c r="C13" s="519">
        <v>20.61</v>
      </c>
      <c r="D13" s="478" t="s">
        <v>17</v>
      </c>
      <c r="H13" s="543"/>
      <c r="S13" s="462"/>
      <c r="T13" s="462"/>
      <c r="U13" s="462"/>
      <c r="V13" s="462"/>
      <c r="W13" s="333"/>
      <c r="X13" s="462"/>
      <c r="Y13" s="230"/>
      <c r="Z13" s="462"/>
      <c r="AA13" s="462"/>
      <c r="AB13" s="462"/>
      <c r="AC13" s="230"/>
      <c r="AD13" s="462"/>
      <c r="AE13" s="462"/>
      <c r="AF13" s="462"/>
      <c r="AG13" s="462"/>
      <c r="AH13" s="295"/>
      <c r="AI13" s="462"/>
      <c r="AJ13" s="268"/>
    </row>
    <row r="14" spans="1:39" x14ac:dyDescent="0.45">
      <c r="A14" s="227"/>
      <c r="B14" s="463" t="s">
        <v>198</v>
      </c>
      <c r="C14" s="519">
        <v>27.27</v>
      </c>
      <c r="D14" s="478" t="s">
        <v>17</v>
      </c>
      <c r="E14" s="223"/>
      <c r="H14" s="225"/>
      <c r="S14" s="462"/>
      <c r="T14" s="462"/>
      <c r="U14" s="462"/>
      <c r="V14" s="462"/>
      <c r="W14" s="333"/>
      <c r="X14" s="462"/>
      <c r="Y14" s="230"/>
      <c r="Z14" s="462"/>
      <c r="AA14" s="462"/>
      <c r="AB14" s="462"/>
      <c r="AC14" s="230"/>
      <c r="AD14" s="462"/>
      <c r="AE14" s="462"/>
      <c r="AF14" s="333"/>
      <c r="AG14" s="462"/>
      <c r="AH14" s="295"/>
      <c r="AI14" s="462"/>
      <c r="AJ14" s="268"/>
    </row>
    <row r="15" spans="1:39" x14ac:dyDescent="0.45">
      <c r="A15" s="227"/>
      <c r="B15" s="463" t="s">
        <v>199</v>
      </c>
      <c r="C15" s="482">
        <v>1.325</v>
      </c>
      <c r="D15" s="480" t="s">
        <v>22</v>
      </c>
      <c r="H15" s="543"/>
      <c r="L15" s="228"/>
      <c r="N15" s="223"/>
      <c r="S15" s="462"/>
      <c r="T15" s="462"/>
      <c r="U15" s="462"/>
      <c r="V15" s="462"/>
      <c r="W15" s="333"/>
      <c r="X15" s="462"/>
      <c r="Y15" s="462"/>
      <c r="Z15" s="462"/>
      <c r="AA15" s="462"/>
      <c r="AB15" s="462"/>
      <c r="AC15" s="230"/>
      <c r="AD15" s="462"/>
      <c r="AE15" s="462"/>
      <c r="AF15" s="462"/>
      <c r="AG15" s="462"/>
      <c r="AH15" s="295"/>
      <c r="AI15" s="462"/>
      <c r="AJ15" s="268"/>
    </row>
    <row r="16" spans="1:39" x14ac:dyDescent="0.45">
      <c r="A16" s="227"/>
      <c r="B16" s="238" t="s">
        <v>19</v>
      </c>
      <c r="C16" s="483">
        <v>6.8900000000000003E-2</v>
      </c>
      <c r="D16" s="251" t="s">
        <v>139</v>
      </c>
      <c r="H16" s="225"/>
      <c r="L16" s="228"/>
      <c r="S16" s="462"/>
      <c r="T16" s="462"/>
      <c r="U16" s="462"/>
      <c r="V16" s="462"/>
      <c r="W16" s="333"/>
      <c r="X16" s="462"/>
      <c r="Y16" s="462"/>
      <c r="Z16" s="462"/>
      <c r="AA16" s="462"/>
      <c r="AB16" s="462"/>
      <c r="AC16" s="230"/>
      <c r="AD16" s="462"/>
      <c r="AE16" s="462"/>
      <c r="AF16" s="462"/>
      <c r="AG16" s="462"/>
      <c r="AH16" s="295"/>
      <c r="AI16" s="462"/>
      <c r="AJ16" s="268"/>
    </row>
    <row r="17" spans="1:36" x14ac:dyDescent="0.45">
      <c r="A17" s="227"/>
      <c r="B17" s="446" t="s">
        <v>43</v>
      </c>
      <c r="C17" s="449">
        <v>0</v>
      </c>
      <c r="D17" s="448" t="s">
        <v>44</v>
      </c>
      <c r="E17" s="223"/>
      <c r="H17" s="225"/>
      <c r="S17" s="462"/>
      <c r="T17" s="462"/>
      <c r="U17" s="462"/>
      <c r="V17" s="462"/>
      <c r="W17" s="333"/>
      <c r="X17" s="462"/>
      <c r="Y17" s="462"/>
      <c r="Z17" s="462"/>
      <c r="AA17" s="462"/>
      <c r="AB17" s="462"/>
      <c r="AC17" s="230"/>
      <c r="AD17" s="462"/>
      <c r="AE17" s="462"/>
      <c r="AF17" s="462"/>
      <c r="AG17" s="462"/>
      <c r="AH17" s="295"/>
      <c r="AI17" s="462"/>
      <c r="AJ17" s="268"/>
    </row>
    <row r="18" spans="1:36" ht="14.65" thickBot="1" x14ac:dyDescent="0.5">
      <c r="A18" s="227"/>
      <c r="B18" s="453" t="s">
        <v>185</v>
      </c>
      <c r="C18" s="457">
        <v>97</v>
      </c>
      <c r="D18" s="456" t="s">
        <v>0</v>
      </c>
      <c r="H18" s="225"/>
      <c r="R18" s="272"/>
      <c r="S18" s="462"/>
      <c r="T18" s="462"/>
      <c r="U18" s="462"/>
      <c r="V18" s="462"/>
      <c r="W18" s="333"/>
      <c r="X18" s="462"/>
      <c r="Y18" s="462"/>
      <c r="Z18" s="462"/>
      <c r="AA18" s="229"/>
      <c r="AB18" s="333"/>
      <c r="AC18" s="534"/>
      <c r="AD18" s="462"/>
      <c r="AE18" s="462"/>
      <c r="AF18" s="462"/>
      <c r="AG18" s="462"/>
      <c r="AH18" s="295"/>
      <c r="AI18" s="462"/>
      <c r="AJ18" s="268"/>
    </row>
    <row r="19" spans="1:36" s="272" customFormat="1" x14ac:dyDescent="0.45">
      <c r="A19" s="227"/>
      <c r="B19" s="222"/>
      <c r="C19" s="222"/>
      <c r="D19" s="222"/>
      <c r="E19" s="293"/>
      <c r="F19" s="222"/>
      <c r="H19" s="225"/>
      <c r="R19" s="222"/>
      <c r="S19" s="462"/>
      <c r="T19" s="462"/>
      <c r="U19" s="462"/>
      <c r="V19" s="462"/>
      <c r="W19" s="333"/>
      <c r="X19" s="462"/>
      <c r="Y19" s="462"/>
      <c r="Z19" s="462"/>
      <c r="AA19" s="462"/>
      <c r="AB19" s="462"/>
      <c r="AC19" s="230"/>
      <c r="AD19" s="462"/>
      <c r="AE19" s="462"/>
      <c r="AF19" s="462"/>
      <c r="AG19" s="462"/>
      <c r="AH19" s="296"/>
      <c r="AI19" s="333"/>
      <c r="AJ19" s="276"/>
    </row>
    <row r="20" spans="1:36" ht="28.9" thickBot="1" x14ac:dyDescent="0.9">
      <c r="A20" s="227"/>
      <c r="B20" s="242" t="s">
        <v>165</v>
      </c>
      <c r="E20" s="223"/>
      <c r="H20" s="225"/>
      <c r="S20" s="462"/>
      <c r="T20" s="462"/>
      <c r="U20" s="462"/>
      <c r="V20" s="462"/>
      <c r="W20" s="333"/>
      <c r="X20" s="462"/>
      <c r="Y20" s="462"/>
      <c r="Z20" s="462"/>
      <c r="AA20" s="462"/>
      <c r="AB20" s="462"/>
      <c r="AC20" s="230"/>
      <c r="AD20" s="462"/>
      <c r="AE20" s="462"/>
      <c r="AF20" s="462"/>
      <c r="AG20" s="462"/>
      <c r="AH20" s="295"/>
      <c r="AI20" s="462"/>
      <c r="AJ20" s="268"/>
    </row>
    <row r="21" spans="1:36" s="540" customFormat="1" x14ac:dyDescent="0.45">
      <c r="A21" s="545"/>
      <c r="B21" s="743" t="s">
        <v>237</v>
      </c>
      <c r="C21" s="897">
        <f>G49</f>
        <v>0.56304002597217895</v>
      </c>
      <c r="D21" s="571" t="s">
        <v>138</v>
      </c>
      <c r="E21" s="541"/>
      <c r="S21" s="553"/>
      <c r="T21" s="553"/>
      <c r="U21" s="553"/>
      <c r="V21" s="553"/>
      <c r="W21" s="801"/>
      <c r="X21" s="553"/>
      <c r="Y21" s="553"/>
      <c r="Z21" s="553"/>
      <c r="AA21" s="553"/>
      <c r="AB21" s="553"/>
      <c r="AC21" s="548"/>
      <c r="AD21" s="553"/>
      <c r="AE21" s="553"/>
      <c r="AF21" s="553"/>
      <c r="AG21" s="553"/>
      <c r="AH21" s="740"/>
      <c r="AI21" s="553"/>
      <c r="AJ21" s="631"/>
    </row>
    <row r="22" spans="1:36" ht="15.75" x14ac:dyDescent="0.45">
      <c r="A22" s="227"/>
      <c r="B22" s="555" t="s">
        <v>237</v>
      </c>
      <c r="C22" s="898">
        <f>F49</f>
        <v>101.34720467499221</v>
      </c>
      <c r="D22" s="480" t="s">
        <v>334</v>
      </c>
      <c r="F22" s="272"/>
      <c r="H22" s="225"/>
      <c r="N22" s="225"/>
      <c r="S22" s="229"/>
      <c r="T22" s="333"/>
      <c r="U22" s="462"/>
      <c r="V22" s="462"/>
      <c r="W22" s="333"/>
      <c r="X22" s="462"/>
      <c r="Y22" s="462"/>
      <c r="Z22" s="462"/>
      <c r="AA22" s="462"/>
      <c r="AB22" s="462"/>
      <c r="AC22" s="230"/>
      <c r="AD22" s="462"/>
      <c r="AE22" s="462"/>
      <c r="AF22" s="462"/>
      <c r="AG22" s="462"/>
      <c r="AH22" s="295"/>
      <c r="AI22" s="462"/>
      <c r="AJ22" s="268"/>
    </row>
    <row r="23" spans="1:36" s="540" customFormat="1" x14ac:dyDescent="0.45">
      <c r="A23" s="545"/>
      <c r="B23" s="555" t="s">
        <v>127</v>
      </c>
      <c r="C23" s="899">
        <f>IF(AND(X325&lt;0.1,X325&gt;-0.1),C206,0)</f>
        <v>0.67727203500382904</v>
      </c>
      <c r="D23" s="572" t="s">
        <v>138</v>
      </c>
      <c r="N23" s="543"/>
      <c r="S23" s="547"/>
      <c r="T23" s="801"/>
      <c r="U23" s="553"/>
      <c r="V23" s="553"/>
      <c r="W23" s="801"/>
      <c r="X23" s="553"/>
      <c r="Y23" s="553"/>
      <c r="Z23" s="553"/>
      <c r="AA23" s="553"/>
      <c r="AB23" s="553"/>
      <c r="AC23" s="548"/>
      <c r="AD23" s="553"/>
      <c r="AE23" s="553"/>
      <c r="AF23" s="553"/>
      <c r="AG23" s="553"/>
      <c r="AH23" s="740"/>
      <c r="AI23" s="553"/>
      <c r="AJ23" s="631"/>
    </row>
    <row r="24" spans="1:36" ht="15.75" x14ac:dyDescent="0.45">
      <c r="A24" s="442"/>
      <c r="B24" s="555" t="s">
        <v>127</v>
      </c>
      <c r="C24" s="898">
        <f>C23*$C$58/$C$57</f>
        <v>121.90896630068923</v>
      </c>
      <c r="D24" s="572" t="s">
        <v>334</v>
      </c>
      <c r="F24" s="272"/>
      <c r="N24" s="225"/>
      <c r="S24" s="462"/>
      <c r="T24" s="462"/>
      <c r="U24" s="462"/>
      <c r="V24" s="462"/>
      <c r="W24" s="333"/>
      <c r="X24" s="462"/>
      <c r="Y24" s="462"/>
      <c r="Z24" s="462"/>
      <c r="AA24" s="229"/>
      <c r="AB24" s="462"/>
      <c r="AC24" s="230"/>
      <c r="AD24" s="462"/>
      <c r="AE24" s="462"/>
      <c r="AF24" s="462"/>
      <c r="AG24" s="462"/>
      <c r="AH24" s="462"/>
      <c r="AI24" s="462"/>
      <c r="AJ24" s="268"/>
    </row>
    <row r="25" spans="1:36" ht="14.65" thickBot="1" x14ac:dyDescent="0.5">
      <c r="A25" s="227"/>
      <c r="B25" s="558" t="s">
        <v>50</v>
      </c>
      <c r="C25" s="900">
        <f>C62*1000*C55/C58*(1/(C151))</f>
        <v>2.6160296116135919</v>
      </c>
      <c r="D25" s="638" t="s">
        <v>49</v>
      </c>
      <c r="S25" s="462"/>
      <c r="T25" s="462"/>
      <c r="U25" s="462"/>
      <c r="V25" s="462"/>
      <c r="W25" s="333"/>
      <c r="X25" s="462"/>
      <c r="Y25" s="462"/>
      <c r="Z25" s="462"/>
      <c r="AA25" s="462"/>
      <c r="AB25" s="462"/>
      <c r="AC25" s="230"/>
      <c r="AD25" s="462"/>
      <c r="AE25" s="462"/>
      <c r="AF25" s="462"/>
      <c r="AG25" s="462"/>
      <c r="AH25" s="462"/>
      <c r="AI25" s="462"/>
      <c r="AJ25" s="268"/>
    </row>
    <row r="26" spans="1:36" x14ac:dyDescent="0.45">
      <c r="A26" s="227"/>
      <c r="S26" s="462"/>
      <c r="T26" s="462"/>
      <c r="U26" s="462"/>
      <c r="V26" s="462"/>
      <c r="W26" s="333"/>
      <c r="X26" s="462"/>
      <c r="Y26" s="462"/>
      <c r="Z26" s="462"/>
      <c r="AA26" s="462"/>
      <c r="AB26" s="462"/>
      <c r="AC26" s="230"/>
      <c r="AD26" s="462"/>
      <c r="AE26" s="462"/>
      <c r="AF26" s="462"/>
      <c r="AG26" s="462"/>
      <c r="AH26" s="462"/>
      <c r="AI26" s="462"/>
      <c r="AJ26" s="268"/>
    </row>
    <row r="27" spans="1:36" ht="14.65" thickBot="1" x14ac:dyDescent="0.5">
      <c r="A27" s="227"/>
      <c r="S27" s="230"/>
      <c r="T27" s="230"/>
      <c r="U27" s="462"/>
      <c r="V27" s="462"/>
      <c r="W27" s="333"/>
      <c r="X27" s="462"/>
      <c r="Y27" s="462"/>
      <c r="Z27" s="462"/>
      <c r="AA27" s="462"/>
      <c r="AB27" s="462"/>
      <c r="AC27" s="230"/>
      <c r="AD27" s="462"/>
      <c r="AE27" s="462"/>
      <c r="AF27" s="462"/>
      <c r="AG27" s="462"/>
      <c r="AH27" s="462"/>
      <c r="AI27" s="462"/>
      <c r="AJ27" s="268"/>
    </row>
    <row r="28" spans="1:36" ht="28.9" thickBot="1" x14ac:dyDescent="0.9">
      <c r="A28" s="227"/>
      <c r="B28" s="242" t="s">
        <v>149</v>
      </c>
      <c r="H28" s="540"/>
      <c r="I28" s="1068" t="s">
        <v>173</v>
      </c>
      <c r="J28" s="1069"/>
      <c r="K28" s="1070"/>
      <c r="L28" s="1068" t="s">
        <v>282</v>
      </c>
      <c r="M28" s="1069"/>
      <c r="N28" s="1070"/>
      <c r="O28" s="462"/>
      <c r="P28" s="462"/>
      <c r="Q28" s="462"/>
      <c r="R28" s="462"/>
      <c r="S28" s="333"/>
      <c r="T28" s="462"/>
      <c r="U28" s="462"/>
      <c r="V28" s="462"/>
      <c r="W28" s="462"/>
      <c r="X28" s="462"/>
      <c r="Y28" s="230"/>
      <c r="Z28" s="462"/>
      <c r="AA28" s="462"/>
      <c r="AB28" s="462"/>
      <c r="AC28" s="462"/>
      <c r="AD28" s="462"/>
      <c r="AE28" s="462"/>
      <c r="AF28" s="268"/>
    </row>
    <row r="29" spans="1:36" ht="16.149999999999999" thickBot="1" x14ac:dyDescent="0.5">
      <c r="A29" s="227"/>
      <c r="B29" s="246" t="s">
        <v>37</v>
      </c>
      <c r="C29" s="243" t="s">
        <v>5</v>
      </c>
      <c r="D29" s="566" t="s">
        <v>172</v>
      </c>
      <c r="E29" s="564" t="s">
        <v>278</v>
      </c>
      <c r="F29" s="881" t="s">
        <v>329</v>
      </c>
      <c r="G29" s="275" t="s">
        <v>171</v>
      </c>
      <c r="H29" s="563" t="s">
        <v>42</v>
      </c>
      <c r="I29" s="691" t="s">
        <v>30</v>
      </c>
      <c r="J29" s="692" t="s">
        <v>52</v>
      </c>
      <c r="K29" s="692" t="s">
        <v>32</v>
      </c>
      <c r="L29" s="691" t="s">
        <v>30</v>
      </c>
      <c r="M29" s="692" t="s">
        <v>52</v>
      </c>
      <c r="N29" s="693" t="s">
        <v>32</v>
      </c>
      <c r="O29" s="230"/>
      <c r="P29" s="230"/>
      <c r="Q29" s="462"/>
      <c r="R29" s="462"/>
      <c r="S29" s="333"/>
      <c r="T29" s="462"/>
      <c r="U29" s="462"/>
      <c r="V29" s="462"/>
      <c r="W29" s="462"/>
      <c r="X29" s="462"/>
      <c r="Y29" s="230"/>
      <c r="Z29" s="462"/>
      <c r="AA29" s="462"/>
      <c r="AB29" s="462"/>
      <c r="AC29" s="462"/>
      <c r="AD29" s="462"/>
      <c r="AE29" s="462"/>
      <c r="AF29" s="268"/>
    </row>
    <row r="30" spans="1:36" x14ac:dyDescent="0.45">
      <c r="A30" s="227"/>
      <c r="B30" s="316" t="s">
        <v>24</v>
      </c>
      <c r="C30" s="768">
        <f>C65</f>
        <v>0.38627411437352049</v>
      </c>
      <c r="D30" s="252"/>
      <c r="E30" s="625">
        <v>1</v>
      </c>
      <c r="F30" s="883">
        <f t="shared" ref="F30:F48" si="0">G30*$C$58/$C$57</f>
        <v>14.126559902713398</v>
      </c>
      <c r="G30" s="724">
        <f>(C30*$C$55/$C$58+D30)*E30</f>
        <v>7.848088834840776E-2</v>
      </c>
      <c r="H30" s="721">
        <f t="shared" ref="H30:H48" si="1">G30/$G$49</f>
        <v>0.1393877605999643</v>
      </c>
      <c r="I30" s="840">
        <f>G30</f>
        <v>7.848088834840776E-2</v>
      </c>
      <c r="J30" s="575"/>
      <c r="K30" s="575"/>
      <c r="L30" s="854"/>
      <c r="M30" s="698"/>
      <c r="N30" s="699"/>
      <c r="O30" s="230"/>
      <c r="P30" s="230"/>
      <c r="Q30" s="462"/>
      <c r="R30" s="462"/>
      <c r="S30" s="462"/>
      <c r="T30" s="462"/>
      <c r="U30" s="462"/>
      <c r="V30" s="462"/>
      <c r="W30" s="462"/>
      <c r="X30" s="462"/>
      <c r="Y30" s="230"/>
      <c r="Z30" s="462"/>
      <c r="AA30" s="462"/>
      <c r="AB30" s="462"/>
      <c r="AC30" s="462"/>
      <c r="AD30" s="462"/>
      <c r="AE30" s="462"/>
      <c r="AF30" s="268"/>
    </row>
    <row r="31" spans="1:36" x14ac:dyDescent="0.45">
      <c r="A31" s="227"/>
      <c r="B31" s="320" t="s">
        <v>89</v>
      </c>
      <c r="C31" s="589"/>
      <c r="D31" s="291" t="s">
        <v>57</v>
      </c>
      <c r="E31" s="695" t="s">
        <v>57</v>
      </c>
      <c r="F31" s="884">
        <f t="shared" si="0"/>
        <v>11.397226099279045</v>
      </c>
      <c r="G31" s="725">
        <f>SUM(I31:K31)</f>
        <v>6.3317922773772475E-2</v>
      </c>
      <c r="H31" s="664">
        <f t="shared" si="1"/>
        <v>0.11245723190717023</v>
      </c>
      <c r="I31" s="841">
        <f>(F82+F83)</f>
        <v>2.7914662144505522E-2</v>
      </c>
      <c r="J31" s="590">
        <f>(F84)</f>
        <v>2.50329528386618E-2</v>
      </c>
      <c r="K31" s="590">
        <f>(F85)</f>
        <v>1.0370307790605156E-2</v>
      </c>
      <c r="L31" s="855"/>
      <c r="M31" s="706"/>
      <c r="N31" s="707"/>
      <c r="O31" s="462"/>
      <c r="P31" s="462"/>
      <c r="Q31" s="462"/>
      <c r="R31" s="462"/>
      <c r="S31" s="462"/>
      <c r="T31" s="462"/>
      <c r="U31" s="462"/>
      <c r="V31" s="462"/>
      <c r="W31" s="462"/>
      <c r="X31" s="462"/>
      <c r="Y31" s="462"/>
      <c r="Z31" s="462"/>
      <c r="AA31" s="462"/>
      <c r="AB31" s="462"/>
      <c r="AC31" s="462"/>
      <c r="AD31" s="462"/>
      <c r="AE31" s="462"/>
      <c r="AF31" s="268"/>
    </row>
    <row r="32" spans="1:36" x14ac:dyDescent="0.45">
      <c r="A32" s="227"/>
      <c r="B32" s="330" t="s">
        <v>61</v>
      </c>
      <c r="C32" s="708"/>
      <c r="D32" s="291" t="s">
        <v>57</v>
      </c>
      <c r="E32" s="711">
        <v>1</v>
      </c>
      <c r="F32" s="885">
        <f t="shared" si="0"/>
        <v>4.484347461158114</v>
      </c>
      <c r="G32" s="726">
        <f>SUM(I32:K32)</f>
        <v>2.4913041450878411E-2</v>
      </c>
      <c r="H32" s="722">
        <f t="shared" si="1"/>
        <v>4.4247371948134676E-2</v>
      </c>
      <c r="I32" s="842">
        <f>(D92+D93+L32)*E32</f>
        <v>1.182932274279043E-2</v>
      </c>
      <c r="J32" s="709">
        <f>(D94+M32)*E32</f>
        <v>9.1604385483678892E-3</v>
      </c>
      <c r="K32" s="709">
        <f>(D95+N32)*E32</f>
        <v>3.9232801597200925E-3</v>
      </c>
      <c r="L32" s="856"/>
      <c r="M32" s="710"/>
      <c r="N32" s="712"/>
      <c r="O32" s="462"/>
      <c r="P32" s="462"/>
      <c r="Q32" s="462"/>
      <c r="R32" s="462"/>
      <c r="S32" s="462"/>
      <c r="T32" s="462"/>
      <c r="U32" s="462"/>
      <c r="V32" s="462"/>
      <c r="W32" s="462"/>
      <c r="X32" s="462"/>
      <c r="Y32" s="462"/>
      <c r="Z32" s="462"/>
      <c r="AA32" s="462"/>
      <c r="AB32" s="462"/>
      <c r="AC32" s="462"/>
      <c r="AD32" s="462"/>
      <c r="AE32" s="462"/>
      <c r="AF32" s="268"/>
      <c r="AG32" s="268"/>
    </row>
    <row r="33" spans="1:36" x14ac:dyDescent="0.45">
      <c r="A33" s="227"/>
      <c r="B33" s="319" t="s">
        <v>25</v>
      </c>
      <c r="C33" s="586"/>
      <c r="D33" s="291" t="s">
        <v>57</v>
      </c>
      <c r="E33" s="626">
        <v>1</v>
      </c>
      <c r="F33" s="886">
        <f t="shared" si="0"/>
        <v>11.63466101523295</v>
      </c>
      <c r="G33" s="727">
        <f>(SUM(I33:K33))</f>
        <v>6.4637005640183057E-2</v>
      </c>
      <c r="H33" s="668">
        <f t="shared" si="1"/>
        <v>0.11480001893040712</v>
      </c>
      <c r="I33" s="843">
        <f>(G100+G101+L33)*E33</f>
        <v>3.9650792307979119E-2</v>
      </c>
      <c r="J33" s="587">
        <f>(G102+M33)*E33</f>
        <v>1.3410194369613462E-2</v>
      </c>
      <c r="K33" s="587">
        <f>(G103+N33)*E33</f>
        <v>1.1576018962590476E-2</v>
      </c>
      <c r="L33" s="647"/>
      <c r="M33" s="587"/>
      <c r="N33" s="690"/>
      <c r="W33" s="268"/>
      <c r="X33" s="268"/>
      <c r="Y33" s="268"/>
      <c r="Z33" s="268"/>
      <c r="AA33" s="268"/>
      <c r="AB33" s="268"/>
      <c r="AC33" s="268"/>
      <c r="AD33" s="268"/>
      <c r="AE33" s="268"/>
      <c r="AF33" s="268"/>
      <c r="AG33" s="268"/>
    </row>
    <row r="34" spans="1:36" x14ac:dyDescent="0.45">
      <c r="A34" s="227"/>
      <c r="B34" s="317" t="s">
        <v>20</v>
      </c>
      <c r="C34" s="585"/>
      <c r="D34" s="291" t="s">
        <v>57</v>
      </c>
      <c r="E34" s="627">
        <v>1</v>
      </c>
      <c r="F34" s="887">
        <f t="shared" si="0"/>
        <v>6.5313942001118814</v>
      </c>
      <c r="G34" s="728">
        <f>(SUM(I34:K34))</f>
        <v>3.6285523333954899E-2</v>
      </c>
      <c r="H34" s="667">
        <f t="shared" si="1"/>
        <v>6.4445726165386061E-2</v>
      </c>
      <c r="I34" s="844">
        <f>(E141+E142+L34)*E34</f>
        <v>1.5701284519230314E-2</v>
      </c>
      <c r="J34" s="577">
        <f>(E143+M34)*E34</f>
        <v>1.7968270082172933E-2</v>
      </c>
      <c r="K34" s="577">
        <f>(E144+N34)*E34</f>
        <v>2.6159687325516471E-3</v>
      </c>
      <c r="L34" s="684"/>
      <c r="M34" s="577"/>
      <c r="N34" s="685"/>
      <c r="W34" s="268"/>
      <c r="X34" s="268"/>
      <c r="Y34" s="268"/>
      <c r="Z34" s="268"/>
      <c r="AA34" s="268"/>
      <c r="AB34" s="268"/>
      <c r="AC34" s="268"/>
      <c r="AD34" s="268"/>
      <c r="AE34" s="268"/>
      <c r="AF34" s="268"/>
      <c r="AG34" s="268"/>
      <c r="AH34" s="268"/>
      <c r="AI34" s="268"/>
      <c r="AJ34" s="268"/>
    </row>
    <row r="35" spans="1:36" x14ac:dyDescent="0.45">
      <c r="A35" s="227"/>
      <c r="B35" s="332" t="s">
        <v>29</v>
      </c>
      <c r="C35" s="749">
        <f>C169</f>
        <v>0.13387645297193038</v>
      </c>
      <c r="D35" s="303"/>
      <c r="E35" s="752">
        <v>1</v>
      </c>
      <c r="F35" s="888">
        <f t="shared" si="0"/>
        <v>4.8960405631582029</v>
      </c>
      <c r="G35" s="753">
        <f>(C35*$C$55/$C$58+D35)*E35</f>
        <v>2.7200225350878904E-2</v>
      </c>
      <c r="H35" s="754">
        <f t="shared" si="1"/>
        <v>4.8309576755068792E-2</v>
      </c>
      <c r="I35" s="845"/>
      <c r="J35" s="755">
        <f>G35</f>
        <v>2.7200225350878904E-2</v>
      </c>
      <c r="K35" s="755"/>
      <c r="L35" s="857"/>
      <c r="M35" s="694"/>
      <c r="N35" s="696"/>
      <c r="W35" s="268"/>
      <c r="X35" s="268"/>
      <c r="Y35" s="268"/>
      <c r="Z35" s="268"/>
      <c r="AA35" s="268"/>
      <c r="AB35" s="268"/>
      <c r="AC35" s="268"/>
      <c r="AD35" s="268"/>
      <c r="AE35" s="268"/>
      <c r="AF35" s="268"/>
      <c r="AG35" s="268"/>
      <c r="AH35" s="268"/>
      <c r="AI35" s="268"/>
      <c r="AJ35" s="268"/>
    </row>
    <row r="36" spans="1:36" x14ac:dyDescent="0.45">
      <c r="A36" s="227"/>
      <c r="B36" s="343" t="s">
        <v>207</v>
      </c>
      <c r="C36" s="669"/>
      <c r="D36" s="289"/>
      <c r="E36" s="701">
        <v>1</v>
      </c>
      <c r="F36" s="889">
        <f t="shared" si="0"/>
        <v>0.81773854040776617</v>
      </c>
      <c r="G36" s="730">
        <f>(C111+D36)*E36</f>
        <v>4.542991891154256E-3</v>
      </c>
      <c r="H36" s="671">
        <f t="shared" si="1"/>
        <v>8.0686837197942573E-3</v>
      </c>
      <c r="I36" s="846">
        <f>G36</f>
        <v>4.542991891154256E-3</v>
      </c>
      <c r="J36" s="702"/>
      <c r="K36" s="702"/>
      <c r="L36" s="857"/>
      <c r="M36" s="695"/>
      <c r="N36" s="696"/>
      <c r="W36" s="268"/>
      <c r="X36" s="268"/>
      <c r="Y36" s="268"/>
      <c r="Z36" s="268"/>
      <c r="AA36" s="268"/>
      <c r="AB36" s="268"/>
      <c r="AC36" s="268"/>
      <c r="AD36" s="268"/>
      <c r="AE36" s="268"/>
      <c r="AF36" s="268"/>
      <c r="AG36" s="268"/>
      <c r="AH36" s="268"/>
      <c r="AI36" s="268"/>
      <c r="AJ36" s="268"/>
    </row>
    <row r="37" spans="1:36" x14ac:dyDescent="0.45">
      <c r="A37" s="227"/>
      <c r="B37" s="340" t="s">
        <v>208</v>
      </c>
      <c r="C37" s="578">
        <f>C124</f>
        <v>7.2428805690489872E-2</v>
      </c>
      <c r="D37" s="253"/>
      <c r="E37" s="629">
        <v>1</v>
      </c>
      <c r="F37" s="890">
        <f t="shared" si="0"/>
        <v>2.6488180910805381</v>
      </c>
      <c r="G37" s="731">
        <f>(C37*$C$55/$C$58+D37)*E37</f>
        <v>1.4715656061558545E-2</v>
      </c>
      <c r="H37" s="723">
        <f t="shared" si="1"/>
        <v>2.6136074493371238E-2</v>
      </c>
      <c r="I37" s="847">
        <f>G37</f>
        <v>1.4715656061558545E-2</v>
      </c>
      <c r="J37" s="581"/>
      <c r="K37" s="581"/>
      <c r="L37" s="858"/>
      <c r="M37" s="695"/>
      <c r="N37" s="696"/>
      <c r="W37" s="268"/>
      <c r="X37" s="268"/>
      <c r="Y37" s="268"/>
      <c r="Z37" s="268"/>
      <c r="AA37" s="268"/>
      <c r="AB37" s="268"/>
      <c r="AC37" s="268"/>
      <c r="AD37" s="268"/>
      <c r="AE37" s="268"/>
      <c r="AF37" s="268"/>
      <c r="AG37" s="268"/>
      <c r="AH37" s="268"/>
      <c r="AI37" s="268"/>
      <c r="AJ37" s="268"/>
    </row>
    <row r="38" spans="1:36" s="458" customFormat="1" x14ac:dyDescent="0.45">
      <c r="A38" s="459"/>
      <c r="B38" s="65" t="s">
        <v>209</v>
      </c>
      <c r="C38" s="662">
        <f>C132</f>
        <v>8.5274859144205892E-2</v>
      </c>
      <c r="D38" s="514"/>
      <c r="E38" s="515">
        <v>1</v>
      </c>
      <c r="F38" s="891">
        <f t="shared" si="0"/>
        <v>3.1186154108457944</v>
      </c>
      <c r="G38" s="516">
        <f>(C38*$C$55/$C$58+D38)*E38</f>
        <v>1.7325641171365522E-2</v>
      </c>
      <c r="H38" s="762">
        <f t="shared" si="1"/>
        <v>3.0771597705598324E-2</v>
      </c>
      <c r="I38" s="848">
        <f>G38</f>
        <v>1.7325641171365522E-2</v>
      </c>
      <c r="J38" s="517"/>
      <c r="K38" s="517"/>
      <c r="L38" s="858"/>
      <c r="M38" s="695"/>
      <c r="N38" s="696"/>
      <c r="W38" s="473"/>
      <c r="X38" s="473"/>
      <c r="Y38" s="473"/>
      <c r="Z38" s="473"/>
      <c r="AA38" s="473"/>
      <c r="AB38" s="473"/>
      <c r="AC38" s="473"/>
      <c r="AD38" s="473"/>
      <c r="AE38" s="473"/>
      <c r="AF38" s="473"/>
      <c r="AG38" s="473"/>
      <c r="AH38" s="473"/>
      <c r="AI38" s="473"/>
      <c r="AJ38" s="473"/>
    </row>
    <row r="39" spans="1:36" x14ac:dyDescent="0.45">
      <c r="A39" s="227"/>
      <c r="B39" s="264" t="s">
        <v>10</v>
      </c>
      <c r="C39" s="616"/>
      <c r="D39" s="265"/>
      <c r="E39" s="628">
        <v>1</v>
      </c>
      <c r="F39" s="892">
        <f t="shared" si="0"/>
        <v>7.3366834170854265</v>
      </c>
      <c r="G39" s="729">
        <f>(F185+D39)*E39</f>
        <v>4.0759352317141256E-2</v>
      </c>
      <c r="H39" s="652">
        <f t="shared" si="1"/>
        <v>7.2391571534836607E-2</v>
      </c>
      <c r="I39" s="849"/>
      <c r="J39" s="619"/>
      <c r="K39" s="619">
        <f>G39</f>
        <v>4.0759352317141256E-2</v>
      </c>
      <c r="L39" s="857"/>
      <c r="M39" s="695"/>
      <c r="N39" s="697"/>
      <c r="W39" s="268"/>
      <c r="X39" s="268"/>
      <c r="Y39" s="268"/>
      <c r="Z39" s="268"/>
      <c r="AA39" s="268"/>
      <c r="AB39" s="268"/>
      <c r="AC39" s="268"/>
      <c r="AD39" s="268"/>
      <c r="AE39" s="268"/>
      <c r="AF39" s="268"/>
      <c r="AG39" s="268"/>
      <c r="AH39" s="268"/>
      <c r="AI39" s="268"/>
      <c r="AJ39" s="268"/>
    </row>
    <row r="40" spans="1:36" x14ac:dyDescent="0.45">
      <c r="A40" s="227"/>
      <c r="B40" s="264" t="s">
        <v>7</v>
      </c>
      <c r="C40" s="616"/>
      <c r="D40" s="265"/>
      <c r="E40" s="628">
        <v>1</v>
      </c>
      <c r="F40" s="892">
        <f t="shared" si="0"/>
        <v>8.4868714967928991</v>
      </c>
      <c r="G40" s="729">
        <f>(F181+D40)*E40</f>
        <v>4.7149286093293878E-2</v>
      </c>
      <c r="H40" s="652">
        <f t="shared" si="1"/>
        <v>8.3740558252289557E-2</v>
      </c>
      <c r="I40" s="849"/>
      <c r="J40" s="619"/>
      <c r="K40" s="619">
        <f>G40</f>
        <v>4.7149286093293878E-2</v>
      </c>
      <c r="L40" s="857"/>
      <c r="M40" s="695"/>
      <c r="N40" s="697"/>
      <c r="W40" s="268"/>
      <c r="X40" s="268"/>
      <c r="Y40" s="268"/>
      <c r="Z40" s="268"/>
      <c r="AA40" s="268"/>
      <c r="AB40" s="268"/>
      <c r="AC40" s="268"/>
      <c r="AD40" s="268"/>
      <c r="AE40" s="268"/>
      <c r="AF40" s="268"/>
      <c r="AG40" s="268"/>
      <c r="AH40" s="268"/>
      <c r="AI40" s="268"/>
      <c r="AJ40" s="268"/>
    </row>
    <row r="41" spans="1:36" x14ac:dyDescent="0.45">
      <c r="A41" s="227"/>
      <c r="B41" s="264" t="s">
        <v>6</v>
      </c>
      <c r="C41" s="616"/>
      <c r="D41" s="265"/>
      <c r="E41" s="628">
        <v>1</v>
      </c>
      <c r="F41" s="892">
        <f t="shared" si="0"/>
        <v>5.025125628140704</v>
      </c>
      <c r="G41" s="729">
        <f>(F184+D41)*E41</f>
        <v>2.7917364600781685E-2</v>
      </c>
      <c r="H41" s="652">
        <f t="shared" si="1"/>
        <v>4.9583268174545628E-2</v>
      </c>
      <c r="I41" s="849"/>
      <c r="J41" s="619"/>
      <c r="K41" s="619">
        <f>G41</f>
        <v>2.7917364600781685E-2</v>
      </c>
      <c r="L41" s="857"/>
      <c r="M41" s="695"/>
      <c r="N41" s="697"/>
      <c r="W41" s="268"/>
      <c r="X41" s="268"/>
      <c r="Y41" s="268"/>
      <c r="Z41" s="268"/>
      <c r="AA41" s="268"/>
      <c r="AB41" s="268"/>
      <c r="AC41" s="268"/>
      <c r="AD41" s="268"/>
      <c r="AE41" s="268"/>
      <c r="AF41" s="268"/>
      <c r="AG41" s="268"/>
      <c r="AH41" s="268"/>
      <c r="AI41" s="268"/>
      <c r="AJ41" s="268"/>
    </row>
    <row r="42" spans="1:36" x14ac:dyDescent="0.45">
      <c r="A42" s="227"/>
      <c r="B42" s="264" t="s">
        <v>8</v>
      </c>
      <c r="C42" s="616"/>
      <c r="D42" s="265"/>
      <c r="E42" s="628">
        <v>1</v>
      </c>
      <c r="F42" s="892">
        <f t="shared" si="0"/>
        <v>3.6755110199253997</v>
      </c>
      <c r="G42" s="729">
        <f>(F188+D42)*E42</f>
        <v>2.0419505666252218E-2</v>
      </c>
      <c r="H42" s="652">
        <f t="shared" si="1"/>
        <v>3.6266525867312299E-2</v>
      </c>
      <c r="I42" s="849"/>
      <c r="J42" s="619"/>
      <c r="K42" s="619">
        <f>G42</f>
        <v>2.0419505666252218E-2</v>
      </c>
      <c r="L42" s="857"/>
      <c r="M42" s="695"/>
      <c r="N42" s="697"/>
      <c r="Q42" s="268"/>
      <c r="W42" s="268"/>
      <c r="X42" s="268"/>
      <c r="Y42" s="268"/>
      <c r="Z42" s="268"/>
      <c r="AA42" s="268"/>
      <c r="AB42" s="268"/>
      <c r="AC42" s="268"/>
      <c r="AD42" s="268"/>
      <c r="AE42" s="268"/>
      <c r="AF42" s="268"/>
      <c r="AG42" s="268"/>
      <c r="AH42" s="268"/>
      <c r="AI42" s="268"/>
      <c r="AJ42" s="268"/>
    </row>
    <row r="43" spans="1:36" x14ac:dyDescent="0.45">
      <c r="A43" s="227"/>
      <c r="B43" s="264" t="s">
        <v>80</v>
      </c>
      <c r="C43" s="616">
        <v>0.1</v>
      </c>
      <c r="D43" s="265"/>
      <c r="E43" s="628">
        <v>1</v>
      </c>
      <c r="F43" s="892">
        <f t="shared" si="0"/>
        <v>3.6571334648257725</v>
      </c>
      <c r="G43" s="729">
        <f>(C43*$C$55/$C$58+D43)*E43</f>
        <v>2.0317408137920958E-2</v>
      </c>
      <c r="H43" s="652">
        <f t="shared" si="1"/>
        <v>3.6085193237975745E-2</v>
      </c>
      <c r="I43" s="849"/>
      <c r="J43" s="619">
        <f>G43</f>
        <v>2.0317408137920958E-2</v>
      </c>
      <c r="K43" s="619"/>
      <c r="L43" s="857"/>
      <c r="M43" s="694"/>
      <c r="N43" s="696"/>
      <c r="Q43" s="268"/>
      <c r="W43" s="268"/>
      <c r="X43" s="268"/>
      <c r="Y43" s="268"/>
      <c r="Z43" s="268"/>
      <c r="AA43" s="268"/>
      <c r="AB43" s="268"/>
      <c r="AC43" s="268"/>
      <c r="AD43" s="268"/>
      <c r="AE43" s="268"/>
      <c r="AF43" s="268"/>
      <c r="AG43" s="268"/>
      <c r="AH43" s="268"/>
      <c r="AI43" s="268"/>
      <c r="AJ43" s="268"/>
    </row>
    <row r="44" spans="1:36" x14ac:dyDescent="0.45">
      <c r="A44" s="227"/>
      <c r="B44" s="615" t="s">
        <v>87</v>
      </c>
      <c r="C44" s="616"/>
      <c r="D44" s="265"/>
      <c r="E44" s="628">
        <v>1</v>
      </c>
      <c r="F44" s="892">
        <f t="shared" si="0"/>
        <v>7.0351758793969852</v>
      </c>
      <c r="G44" s="729">
        <f>(F183+D44)*E44</f>
        <v>3.908431044109436E-2</v>
      </c>
      <c r="H44" s="652">
        <f t="shared" si="1"/>
        <v>6.9416575444363887E-2</v>
      </c>
      <c r="I44" s="849"/>
      <c r="J44" s="619"/>
      <c r="K44" s="619">
        <f>G44</f>
        <v>3.908431044109436E-2</v>
      </c>
      <c r="L44" s="857"/>
      <c r="M44" s="695"/>
      <c r="N44" s="697"/>
      <c r="W44" s="268"/>
      <c r="X44" s="268"/>
      <c r="Y44" s="268"/>
      <c r="Z44" s="268"/>
      <c r="AA44" s="268"/>
      <c r="AB44" s="268"/>
      <c r="AC44" s="268"/>
      <c r="AD44" s="268"/>
      <c r="AE44" s="268"/>
      <c r="AF44" s="268"/>
      <c r="AG44" s="268"/>
      <c r="AH44" s="268"/>
      <c r="AI44" s="268"/>
      <c r="AJ44" s="268"/>
    </row>
    <row r="45" spans="1:36" x14ac:dyDescent="0.45">
      <c r="A45" s="227"/>
      <c r="B45" s="264" t="s">
        <v>9</v>
      </c>
      <c r="C45" s="616"/>
      <c r="D45" s="266"/>
      <c r="E45" s="628">
        <v>1</v>
      </c>
      <c r="F45" s="892">
        <f t="shared" si="0"/>
        <v>4.7236180904522618</v>
      </c>
      <c r="G45" s="729">
        <f>(F186+D45)*E45</f>
        <v>2.6242322724734785E-2</v>
      </c>
      <c r="H45" s="652">
        <f t="shared" si="1"/>
        <v>4.6608272084072894E-2</v>
      </c>
      <c r="I45" s="849"/>
      <c r="J45" s="619"/>
      <c r="K45" s="619">
        <f>G45</f>
        <v>2.6242322724734785E-2</v>
      </c>
      <c r="L45" s="857"/>
      <c r="M45" s="695"/>
      <c r="N45" s="697"/>
      <c r="V45" s="268"/>
      <c r="W45" s="268"/>
      <c r="X45" s="268"/>
      <c r="Y45" s="268"/>
      <c r="Z45" s="268"/>
      <c r="AA45" s="268"/>
      <c r="AB45" s="268"/>
      <c r="AC45" s="268"/>
      <c r="AD45" s="268"/>
      <c r="AE45" s="268"/>
      <c r="AF45" s="268"/>
      <c r="AG45" s="268"/>
      <c r="AH45" s="268"/>
      <c r="AI45" s="268"/>
      <c r="AJ45" s="268"/>
    </row>
    <row r="46" spans="1:36" x14ac:dyDescent="0.45">
      <c r="A46" s="227"/>
      <c r="B46" s="318" t="s">
        <v>21</v>
      </c>
      <c r="C46" s="582"/>
      <c r="D46" s="255"/>
      <c r="E46" s="630">
        <v>1</v>
      </c>
      <c r="F46" s="893">
        <f t="shared" si="0"/>
        <v>0.45226130653266328</v>
      </c>
      <c r="G46" s="732">
        <f>($C$158+D46)*E46</f>
        <v>2.5125628140703514E-3</v>
      </c>
      <c r="H46" s="665">
        <f t="shared" si="1"/>
        <v>4.4624941357091063E-3</v>
      </c>
      <c r="I46" s="850"/>
      <c r="J46" s="583"/>
      <c r="K46" s="583">
        <f>G46</f>
        <v>2.5125628140703514E-3</v>
      </c>
      <c r="L46" s="857"/>
      <c r="M46" s="695"/>
      <c r="N46" s="697"/>
      <c r="V46" s="268"/>
      <c r="W46" s="268"/>
      <c r="X46" s="268"/>
      <c r="Y46" s="268"/>
      <c r="Z46" s="268"/>
      <c r="AA46" s="268"/>
      <c r="AB46" s="268"/>
      <c r="AC46" s="268"/>
      <c r="AD46" s="268"/>
      <c r="AE46" s="268"/>
      <c r="AF46" s="268"/>
      <c r="AG46" s="268"/>
      <c r="AH46" s="268"/>
      <c r="AI46" s="268"/>
      <c r="AJ46" s="268"/>
    </row>
    <row r="47" spans="1:36" x14ac:dyDescent="0.45">
      <c r="A47" s="227"/>
      <c r="B47" s="380" t="s">
        <v>47</v>
      </c>
      <c r="C47" s="381">
        <f>C177</f>
        <v>3.5531191310085787E-2</v>
      </c>
      <c r="D47" s="382"/>
      <c r="E47" s="405">
        <v>1</v>
      </c>
      <c r="F47" s="894">
        <f t="shared" si="0"/>
        <v>1.2994230878524142</v>
      </c>
      <c r="G47" s="383">
        <f>(C47*$C$55/$C$58+D47)*E47</f>
        <v>7.2190171547356343E-3</v>
      </c>
      <c r="H47" s="384">
        <f t="shared" si="1"/>
        <v>1.2821499043999301E-2</v>
      </c>
      <c r="I47" s="851"/>
      <c r="J47" s="385">
        <f>G47</f>
        <v>7.2190171547356343E-3</v>
      </c>
      <c r="K47" s="385"/>
      <c r="L47" s="857"/>
      <c r="M47" s="694"/>
      <c r="N47" s="696"/>
      <c r="V47" s="268"/>
      <c r="W47" s="268"/>
      <c r="X47" s="268"/>
      <c r="Y47" s="268"/>
      <c r="Z47" s="268"/>
      <c r="AA47" s="268"/>
      <c r="AB47" s="268"/>
      <c r="AC47" s="268"/>
      <c r="AD47" s="268"/>
      <c r="AE47" s="268"/>
      <c r="AF47" s="268"/>
      <c r="AG47" s="268"/>
      <c r="AH47" s="268"/>
      <c r="AI47" s="268"/>
      <c r="AJ47" s="268"/>
    </row>
    <row r="48" spans="1:36" ht="14.65" thickBot="1" x14ac:dyDescent="0.5">
      <c r="A48" s="227"/>
      <c r="B48" s="287" t="s">
        <v>45</v>
      </c>
      <c r="C48" s="653"/>
      <c r="D48" s="277"/>
      <c r="E48" s="720">
        <v>1</v>
      </c>
      <c r="F48" s="895">
        <f t="shared" si="0"/>
        <v>0</v>
      </c>
      <c r="G48" s="733">
        <f>(C193+D48)*E48</f>
        <v>0</v>
      </c>
      <c r="H48" s="763">
        <f t="shared" si="1"/>
        <v>0</v>
      </c>
      <c r="I48" s="852"/>
      <c r="J48" s="719"/>
      <c r="K48" s="719">
        <f>G48</f>
        <v>0</v>
      </c>
      <c r="L48" s="857"/>
      <c r="M48" s="695"/>
      <c r="N48" s="696"/>
      <c r="V48" s="268"/>
      <c r="W48" s="268"/>
      <c r="X48" s="268"/>
      <c r="Y48" s="268"/>
      <c r="Z48" s="268"/>
      <c r="AA48" s="268"/>
      <c r="AB48" s="268"/>
      <c r="AC48" s="268"/>
      <c r="AD48" s="268"/>
      <c r="AE48" s="268"/>
      <c r="AF48" s="268"/>
      <c r="AG48" s="268"/>
      <c r="AH48" s="268"/>
      <c r="AI48" s="268"/>
      <c r="AJ48" s="268"/>
    </row>
    <row r="49" spans="1:40" ht="14.65" thickBot="1" x14ac:dyDescent="0.5">
      <c r="A49" s="227"/>
      <c r="B49" s="247" t="s">
        <v>3</v>
      </c>
      <c r="C49" s="286"/>
      <c r="D49" s="224"/>
      <c r="E49" s="224"/>
      <c r="F49" s="882">
        <f t="shared" ref="F49:K49" si="2">SUM(F30:F48)</f>
        <v>101.34720467499221</v>
      </c>
      <c r="G49" s="573">
        <f t="shared" si="2"/>
        <v>0.56304002597217895</v>
      </c>
      <c r="H49" s="650">
        <f t="shared" si="2"/>
        <v>1</v>
      </c>
      <c r="I49" s="853">
        <f t="shared" si="2"/>
        <v>0.21016123918699148</v>
      </c>
      <c r="J49" s="431">
        <f t="shared" si="2"/>
        <v>0.12030850648235158</v>
      </c>
      <c r="K49" s="431">
        <f t="shared" si="2"/>
        <v>0.23257028030283591</v>
      </c>
      <c r="L49" s="29"/>
      <c r="M49" s="431"/>
      <c r="N49" s="432"/>
      <c r="V49" s="268"/>
      <c r="W49" s="268"/>
      <c r="X49" s="268"/>
      <c r="Y49" s="268"/>
      <c r="Z49" s="268"/>
      <c r="AA49" s="268"/>
      <c r="AB49" s="268"/>
      <c r="AC49" s="268"/>
      <c r="AD49" s="268"/>
      <c r="AE49" s="268"/>
      <c r="AF49" s="268"/>
      <c r="AG49" s="268"/>
      <c r="AH49" s="268"/>
      <c r="AI49" s="268"/>
      <c r="AJ49" s="268"/>
    </row>
    <row r="50" spans="1:40" x14ac:dyDescent="0.45">
      <c r="A50" s="227"/>
      <c r="H50" s="225"/>
      <c r="J50" s="228"/>
      <c r="K50" s="228"/>
      <c r="Q50" s="230"/>
      <c r="R50" s="230"/>
      <c r="Z50" s="268"/>
      <c r="AA50" s="268"/>
      <c r="AB50" s="268"/>
      <c r="AC50" s="268"/>
      <c r="AD50" s="268"/>
      <c r="AE50" s="268"/>
      <c r="AF50" s="268"/>
      <c r="AG50" s="268"/>
      <c r="AH50" s="268"/>
      <c r="AI50" s="268"/>
      <c r="AJ50" s="268"/>
      <c r="AK50" s="268"/>
      <c r="AL50" s="268"/>
      <c r="AM50" s="268"/>
      <c r="AN50" s="268"/>
    </row>
    <row r="51" spans="1:40" x14ac:dyDescent="0.45">
      <c r="A51" s="227"/>
      <c r="J51" s="228"/>
      <c r="K51" s="228"/>
      <c r="Q51" s="230"/>
      <c r="R51" s="230"/>
      <c r="Z51" s="268"/>
      <c r="AA51" s="268"/>
      <c r="AB51" s="268"/>
      <c r="AC51" s="268"/>
      <c r="AD51" s="268"/>
      <c r="AE51" s="268"/>
      <c r="AF51" s="268"/>
      <c r="AG51" s="268"/>
      <c r="AH51" s="268"/>
      <c r="AI51" s="268"/>
      <c r="AJ51" s="268"/>
      <c r="AK51" s="268"/>
      <c r="AL51" s="268"/>
      <c r="AM51" s="268"/>
      <c r="AN51" s="268"/>
    </row>
    <row r="52" spans="1:40" s="240" customFormat="1" ht="28.5" x14ac:dyDescent="0.85">
      <c r="A52" s="305"/>
      <c r="B52" s="273" t="s">
        <v>150</v>
      </c>
      <c r="G52" s="274"/>
      <c r="Q52" s="361"/>
      <c r="R52" s="361"/>
      <c r="AB52" s="315"/>
    </row>
    <row r="53" spans="1:40" x14ac:dyDescent="0.45">
      <c r="A53" s="227"/>
      <c r="E53" s="268"/>
      <c r="Q53" s="230"/>
      <c r="R53" s="230"/>
      <c r="Z53" s="268"/>
      <c r="AA53" s="268"/>
      <c r="AB53" s="268"/>
      <c r="AC53" s="268"/>
      <c r="AD53" s="268"/>
      <c r="AE53" s="268"/>
      <c r="AF53" s="268"/>
      <c r="AG53" s="268"/>
      <c r="AH53" s="268"/>
      <c r="AI53" s="268"/>
      <c r="AJ53" s="268"/>
      <c r="AK53" s="268"/>
      <c r="AL53" s="268"/>
      <c r="AM53" s="268"/>
      <c r="AN53" s="268"/>
    </row>
    <row r="54" spans="1:40" x14ac:dyDescent="0.45">
      <c r="A54" s="227"/>
      <c r="B54" s="1055" t="s">
        <v>166</v>
      </c>
      <c r="C54" s="1056"/>
      <c r="D54" s="1057"/>
      <c r="H54" s="225"/>
      <c r="Q54" s="230"/>
      <c r="R54" s="230"/>
      <c r="Z54" s="268"/>
      <c r="AA54" s="268"/>
      <c r="AB54" s="268"/>
      <c r="AC54" s="268"/>
      <c r="AD54" s="268"/>
      <c r="AE54" s="268"/>
      <c r="AF54" s="268"/>
      <c r="AG54" s="268"/>
      <c r="AH54" s="268"/>
      <c r="AI54" s="268"/>
      <c r="AJ54" s="268"/>
      <c r="AK54" s="268"/>
      <c r="AL54" s="268"/>
      <c r="AM54" s="268"/>
      <c r="AN54" s="268"/>
    </row>
    <row r="55" spans="1:40" x14ac:dyDescent="0.45">
      <c r="A55" s="227"/>
      <c r="B55" s="1058" t="s">
        <v>94</v>
      </c>
      <c r="C55" s="1059">
        <v>72</v>
      </c>
      <c r="D55" s="1060" t="s">
        <v>96</v>
      </c>
      <c r="H55" s="306"/>
      <c r="Q55" s="230"/>
      <c r="R55" s="230"/>
      <c r="Z55" s="268"/>
      <c r="AA55" s="268"/>
      <c r="AB55" s="268"/>
      <c r="AC55" s="268"/>
      <c r="AD55" s="268"/>
      <c r="AE55" s="268"/>
      <c r="AF55" s="268"/>
      <c r="AG55" s="268"/>
      <c r="AH55" s="268"/>
      <c r="AI55" s="268"/>
      <c r="AJ55" s="268"/>
      <c r="AK55" s="268"/>
      <c r="AL55" s="268"/>
      <c r="AM55" s="268"/>
      <c r="AN55" s="268"/>
    </row>
    <row r="56" spans="1:40" x14ac:dyDescent="0.45">
      <c r="A56" s="227"/>
      <c r="B56" s="1061" t="s">
        <v>93</v>
      </c>
      <c r="C56" s="1062">
        <v>89</v>
      </c>
      <c r="D56" s="1063" t="s">
        <v>0</v>
      </c>
      <c r="M56" s="225"/>
      <c r="Q56" s="230"/>
      <c r="R56" s="230"/>
      <c r="Z56" s="268"/>
      <c r="AA56" s="268"/>
      <c r="AB56" s="268"/>
      <c r="AC56" s="268"/>
      <c r="AD56" s="268"/>
      <c r="AE56" s="268"/>
      <c r="AF56" s="268"/>
      <c r="AG56" s="268"/>
      <c r="AH56" s="268"/>
      <c r="AI56" s="268"/>
      <c r="AJ56" s="268"/>
      <c r="AK56" s="268"/>
      <c r="AL56" s="268"/>
      <c r="AM56" s="268"/>
      <c r="AN56" s="268"/>
    </row>
    <row r="57" spans="1:40" x14ac:dyDescent="0.45">
      <c r="A57" s="227"/>
      <c r="B57" s="1061" t="s">
        <v>396</v>
      </c>
      <c r="C57" s="1064">
        <f>C55*0.156^2/(C56/100)</f>
        <v>1.9687550561797753</v>
      </c>
      <c r="D57" s="1063" t="s">
        <v>95</v>
      </c>
      <c r="H57" s="297"/>
      <c r="M57" s="225"/>
      <c r="Q57" s="231"/>
      <c r="R57" s="231"/>
      <c r="Z57" s="268"/>
      <c r="AA57" s="268"/>
      <c r="AB57" s="268"/>
      <c r="AC57" s="268"/>
      <c r="AD57" s="268"/>
      <c r="AE57" s="268"/>
      <c r="AF57" s="268"/>
      <c r="AG57" s="268"/>
      <c r="AH57" s="268"/>
      <c r="AI57" s="268"/>
      <c r="AJ57" s="268"/>
      <c r="AK57" s="268"/>
      <c r="AL57" s="268"/>
      <c r="AM57" s="268"/>
      <c r="AN57" s="268"/>
    </row>
    <row r="58" spans="1:40" x14ac:dyDescent="0.45">
      <c r="A58" s="227"/>
      <c r="B58" s="1065" t="s">
        <v>97</v>
      </c>
      <c r="C58" s="1066">
        <f>C57*1000*$C$8/100</f>
        <v>354.37591011235958</v>
      </c>
      <c r="D58" s="1067" t="s">
        <v>174</v>
      </c>
      <c r="M58" s="225"/>
      <c r="Q58" s="235"/>
      <c r="R58" s="235"/>
      <c r="Z58" s="268"/>
      <c r="AA58" s="268"/>
      <c r="AB58" s="268"/>
      <c r="AC58" s="268"/>
      <c r="AD58" s="268"/>
      <c r="AE58" s="268"/>
      <c r="AF58" s="268"/>
      <c r="AG58" s="268"/>
      <c r="AH58" s="268"/>
      <c r="AI58" s="268"/>
      <c r="AJ58" s="268"/>
      <c r="AK58" s="268"/>
      <c r="AL58" s="268"/>
      <c r="AM58" s="268"/>
      <c r="AN58" s="268"/>
    </row>
    <row r="59" spans="1:40" x14ac:dyDescent="0.45">
      <c r="A59" s="227"/>
      <c r="M59" s="225"/>
      <c r="N59" s="235"/>
      <c r="O59" s="235"/>
      <c r="P59" s="235"/>
      <c r="Q59" s="235"/>
      <c r="R59" s="235"/>
      <c r="Z59" s="268"/>
      <c r="AA59" s="268"/>
      <c r="AB59" s="276"/>
      <c r="AC59" s="268"/>
      <c r="AD59" s="268"/>
      <c r="AE59" s="268"/>
      <c r="AF59" s="268"/>
      <c r="AG59" s="268"/>
      <c r="AH59" s="268"/>
      <c r="AI59" s="268"/>
      <c r="AJ59" s="268"/>
      <c r="AK59" s="268"/>
      <c r="AL59" s="268"/>
      <c r="AM59" s="268"/>
      <c r="AN59" s="268"/>
    </row>
    <row r="60" spans="1:40" x14ac:dyDescent="0.45">
      <c r="A60" s="227"/>
      <c r="B60" s="259" t="s">
        <v>24</v>
      </c>
      <c r="C60" s="260"/>
      <c r="D60" s="261"/>
      <c r="I60" s="462"/>
      <c r="N60" s="235"/>
      <c r="O60" s="235"/>
      <c r="P60" s="235"/>
      <c r="Q60" s="235"/>
      <c r="R60" s="235"/>
      <c r="Z60" s="268"/>
      <c r="AA60" s="268"/>
      <c r="AB60" s="276"/>
      <c r="AC60" s="268"/>
      <c r="AD60" s="268"/>
      <c r="AE60" s="268"/>
      <c r="AF60" s="268"/>
      <c r="AG60" s="268"/>
      <c r="AH60" s="268"/>
      <c r="AI60" s="268"/>
      <c r="AJ60" s="268"/>
      <c r="AK60" s="268"/>
      <c r="AL60" s="268"/>
      <c r="AM60" s="268"/>
      <c r="AN60" s="268"/>
    </row>
    <row r="61" spans="1:40" x14ac:dyDescent="0.45">
      <c r="A61" s="227"/>
      <c r="B61" s="257" t="s">
        <v>13</v>
      </c>
      <c r="C61" s="269">
        <v>2329</v>
      </c>
      <c r="D61" s="258" t="s">
        <v>15</v>
      </c>
      <c r="I61" s="462"/>
      <c r="K61" s="225"/>
      <c r="M61" s="228"/>
      <c r="N61" s="270"/>
      <c r="O61" s="235"/>
      <c r="P61" s="235"/>
      <c r="Q61" s="235"/>
      <c r="R61" s="235"/>
      <c r="Z61" s="268"/>
      <c r="AA61" s="268"/>
      <c r="AB61" s="276"/>
      <c r="AC61" s="268"/>
      <c r="AD61" s="268"/>
      <c r="AE61" s="268"/>
      <c r="AF61" s="268"/>
      <c r="AG61" s="268"/>
      <c r="AH61" s="268"/>
      <c r="AI61" s="268"/>
      <c r="AJ61" s="268"/>
      <c r="AK61" s="268"/>
      <c r="AL61" s="268"/>
      <c r="AM61" s="268"/>
      <c r="AN61" s="268"/>
    </row>
    <row r="62" spans="1:40" ht="15" customHeight="1" x14ac:dyDescent="0.45">
      <c r="A62" s="227"/>
      <c r="B62" s="592" t="s">
        <v>349</v>
      </c>
      <c r="C62" s="593">
        <f>0.156*0.156*(C9/10^6/C10)*C61</f>
        <v>1.236622778181818E-2</v>
      </c>
      <c r="D62" s="594" t="s">
        <v>14</v>
      </c>
      <c r="I62" s="462"/>
      <c r="N62" s="270"/>
      <c r="O62" s="235"/>
      <c r="P62" s="235"/>
      <c r="Q62" s="235"/>
      <c r="R62" s="235"/>
      <c r="Z62" s="268"/>
      <c r="AA62" s="268"/>
      <c r="AB62" s="268"/>
      <c r="AC62" s="268"/>
      <c r="AD62" s="268"/>
      <c r="AE62" s="268"/>
      <c r="AF62" s="268"/>
      <c r="AG62" s="268"/>
      <c r="AH62" s="268"/>
      <c r="AI62" s="268"/>
      <c r="AJ62" s="268"/>
      <c r="AK62" s="268"/>
      <c r="AL62" s="268"/>
      <c r="AM62" s="268"/>
      <c r="AN62" s="268"/>
    </row>
    <row r="63" spans="1:40" x14ac:dyDescent="0.45">
      <c r="A63" s="227"/>
      <c r="B63" s="592" t="s">
        <v>348</v>
      </c>
      <c r="C63" s="593">
        <f>C62*C11</f>
        <v>0.37098683345454542</v>
      </c>
      <c r="D63" s="594" t="s">
        <v>16</v>
      </c>
      <c r="I63" s="462"/>
      <c r="M63" s="235"/>
      <c r="N63" s="270"/>
      <c r="O63" s="230"/>
      <c r="P63" s="235"/>
      <c r="Q63" s="235"/>
      <c r="R63" s="235"/>
      <c r="Z63" s="268"/>
      <c r="AA63" s="268"/>
      <c r="AB63" s="268"/>
      <c r="AC63" s="268"/>
      <c r="AD63" s="268"/>
      <c r="AE63" s="268"/>
      <c r="AF63" s="268"/>
      <c r="AG63" s="268"/>
      <c r="AH63" s="268"/>
      <c r="AI63" s="268"/>
      <c r="AJ63" s="268"/>
      <c r="AK63" s="268"/>
      <c r="AL63" s="268"/>
      <c r="AM63" s="268"/>
      <c r="AN63" s="268"/>
    </row>
    <row r="64" spans="1:40" s="540" customFormat="1" x14ac:dyDescent="0.45">
      <c r="A64" s="545"/>
      <c r="B64" s="592" t="s">
        <v>339</v>
      </c>
      <c r="C64" s="957">
        <f>$C$148*$C$149*$C$150</f>
        <v>0.96042374999999991</v>
      </c>
      <c r="D64" s="594" t="s">
        <v>22</v>
      </c>
      <c r="I64" s="553"/>
      <c r="M64" s="553"/>
      <c r="N64" s="639"/>
      <c r="O64" s="548"/>
      <c r="P64" s="553"/>
      <c r="Q64" s="553"/>
      <c r="R64" s="553"/>
      <c r="Z64" s="631"/>
      <c r="AA64" s="631"/>
      <c r="AB64" s="631"/>
      <c r="AC64" s="631"/>
      <c r="AD64" s="631"/>
      <c r="AE64" s="631"/>
      <c r="AF64" s="631"/>
      <c r="AG64" s="631"/>
      <c r="AH64" s="631"/>
      <c r="AI64" s="631"/>
      <c r="AJ64" s="631"/>
      <c r="AK64" s="631"/>
      <c r="AL64" s="631"/>
      <c r="AM64" s="631"/>
      <c r="AN64" s="631"/>
    </row>
    <row r="65" spans="1:51" s="540" customFormat="1" x14ac:dyDescent="0.45">
      <c r="A65" s="545"/>
      <c r="B65" s="922" t="s">
        <v>35</v>
      </c>
      <c r="C65" s="923">
        <f>C63/C64</f>
        <v>0.38627411437352049</v>
      </c>
      <c r="D65" s="924" t="s">
        <v>16</v>
      </c>
      <c r="I65" s="553"/>
      <c r="M65" s="553"/>
      <c r="N65" s="639"/>
      <c r="O65" s="548"/>
      <c r="P65" s="553"/>
      <c r="Q65" s="553"/>
      <c r="R65" s="553"/>
      <c r="Z65" s="631"/>
      <c r="AA65" s="631"/>
      <c r="AB65" s="631"/>
      <c r="AC65" s="631"/>
      <c r="AD65" s="631"/>
      <c r="AE65" s="631"/>
      <c r="AF65" s="631"/>
      <c r="AG65" s="631"/>
      <c r="AH65" s="631"/>
      <c r="AI65" s="631"/>
      <c r="AJ65" s="631"/>
      <c r="AK65" s="631"/>
      <c r="AL65" s="631"/>
      <c r="AM65" s="631"/>
      <c r="AN65" s="631"/>
    </row>
    <row r="66" spans="1:51" x14ac:dyDescent="0.45">
      <c r="A66" s="227"/>
      <c r="I66" s="462"/>
      <c r="J66" s="268"/>
      <c r="K66" s="235"/>
      <c r="L66" s="235"/>
      <c r="M66" s="235"/>
      <c r="N66" s="270"/>
      <c r="O66" s="270"/>
      <c r="P66" s="235"/>
      <c r="Q66" s="235"/>
      <c r="R66" s="235"/>
      <c r="Z66" s="268"/>
      <c r="AA66" s="268"/>
      <c r="AB66" s="268"/>
      <c r="AC66" s="268"/>
      <c r="AD66" s="268"/>
      <c r="AE66" s="268"/>
      <c r="AF66" s="268"/>
      <c r="AG66" s="268"/>
      <c r="AH66" s="268"/>
      <c r="AI66" s="268"/>
      <c r="AJ66" s="268"/>
      <c r="AK66" s="268"/>
      <c r="AL66" s="268"/>
      <c r="AM66" s="268"/>
      <c r="AN66" s="268"/>
    </row>
    <row r="67" spans="1:51" x14ac:dyDescent="0.45">
      <c r="A67" s="227"/>
      <c r="B67" s="325" t="s">
        <v>89</v>
      </c>
      <c r="C67" s="326"/>
      <c r="D67" s="327"/>
      <c r="E67" s="327"/>
      <c r="F67" s="327"/>
      <c r="G67" s="327"/>
      <c r="H67" s="328"/>
      <c r="I67" s="462"/>
      <c r="J67" s="235"/>
      <c r="K67" s="235"/>
      <c r="L67" s="235"/>
      <c r="M67" s="235"/>
      <c r="N67" s="235"/>
      <c r="O67" s="270"/>
      <c r="P67" s="235"/>
      <c r="Q67" s="235"/>
      <c r="R67" s="235"/>
      <c r="Z67" s="268"/>
      <c r="AA67" s="268"/>
      <c r="AB67" s="268"/>
      <c r="AC67" s="268"/>
      <c r="AD67" s="268"/>
      <c r="AE67" s="268"/>
      <c r="AF67" s="268"/>
      <c r="AG67" s="268"/>
      <c r="AH67" s="268"/>
      <c r="AI67" s="268"/>
      <c r="AJ67" s="268"/>
      <c r="AK67" s="268"/>
      <c r="AL67" s="268"/>
      <c r="AM67" s="268"/>
      <c r="AN67" s="268"/>
    </row>
    <row r="68" spans="1:51" s="458" customFormat="1" x14ac:dyDescent="0.45">
      <c r="A68" s="459"/>
      <c r="B68" s="321" t="s">
        <v>186</v>
      </c>
      <c r="C68" s="788">
        <v>400</v>
      </c>
      <c r="D68" s="256" t="s">
        <v>18</v>
      </c>
      <c r="E68" s="256"/>
      <c r="F68" s="256"/>
      <c r="G68" s="256"/>
      <c r="H68" s="479"/>
      <c r="I68" s="462"/>
      <c r="J68" s="462"/>
      <c r="K68" s="462"/>
      <c r="L68" s="462"/>
      <c r="M68" s="462"/>
      <c r="N68" s="462"/>
      <c r="O68" s="270"/>
      <c r="P68" s="462"/>
      <c r="Q68" s="473"/>
      <c r="Z68" s="473"/>
      <c r="AA68" s="473"/>
      <c r="AB68" s="473"/>
      <c r="AC68" s="473"/>
      <c r="AD68" s="473"/>
      <c r="AE68" s="473"/>
      <c r="AF68" s="473"/>
      <c r="AG68" s="473"/>
      <c r="AH68" s="473"/>
      <c r="AI68" s="473"/>
      <c r="AJ68" s="473"/>
      <c r="AK68" s="473"/>
      <c r="AL68" s="473"/>
      <c r="AM68" s="473"/>
      <c r="AN68" s="473"/>
    </row>
    <row r="69" spans="1:51" s="458" customFormat="1" x14ac:dyDescent="0.45">
      <c r="A69" s="459"/>
      <c r="B69" s="321" t="s">
        <v>62</v>
      </c>
      <c r="C69" s="788">
        <v>13.6</v>
      </c>
      <c r="D69" s="256" t="s">
        <v>22</v>
      </c>
      <c r="E69" s="256"/>
      <c r="F69" s="256"/>
      <c r="G69" s="256"/>
      <c r="H69" s="479"/>
      <c r="I69" s="462"/>
      <c r="J69" s="462"/>
      <c r="K69" s="462"/>
      <c r="L69" s="462"/>
      <c r="M69" s="462"/>
      <c r="N69" s="462"/>
      <c r="O69" s="270"/>
      <c r="P69" s="462"/>
      <c r="Q69" s="473"/>
      <c r="Z69" s="473"/>
      <c r="AA69" s="473"/>
      <c r="AB69" s="473"/>
      <c r="AC69" s="473"/>
      <c r="AD69" s="473"/>
      <c r="AE69" s="473"/>
      <c r="AF69" s="473"/>
      <c r="AG69" s="473"/>
      <c r="AH69" s="473"/>
      <c r="AI69" s="473"/>
      <c r="AJ69" s="473"/>
      <c r="AK69" s="473"/>
      <c r="AL69" s="473"/>
      <c r="AM69" s="473"/>
      <c r="AN69" s="473"/>
    </row>
    <row r="70" spans="1:51" s="458" customFormat="1" x14ac:dyDescent="0.45">
      <c r="A70" s="459"/>
      <c r="B70" s="321" t="s">
        <v>188</v>
      </c>
      <c r="C70" s="329">
        <f>C68*10^6/(C69/100*1000)/(365*24)</f>
        <v>335.750738651625</v>
      </c>
      <c r="D70" s="256" t="s">
        <v>184</v>
      </c>
      <c r="E70" s="256"/>
      <c r="F70" s="256"/>
      <c r="G70" s="256"/>
      <c r="H70" s="479"/>
      <c r="I70" s="462"/>
      <c r="J70" s="462"/>
      <c r="K70" s="462"/>
      <c r="L70" s="462"/>
      <c r="M70" s="462"/>
      <c r="N70" s="462"/>
      <c r="O70" s="270"/>
      <c r="P70" s="462"/>
      <c r="Q70" s="473"/>
      <c r="Z70" s="473"/>
      <c r="AA70" s="473"/>
      <c r="AB70" s="473"/>
      <c r="AC70" s="473"/>
      <c r="AD70" s="473"/>
      <c r="AE70" s="473"/>
      <c r="AF70" s="473"/>
      <c r="AG70" s="473"/>
      <c r="AH70" s="473"/>
      <c r="AI70" s="473"/>
      <c r="AJ70" s="473"/>
      <c r="AK70" s="473"/>
      <c r="AL70" s="473"/>
      <c r="AM70" s="473"/>
      <c r="AN70" s="473"/>
    </row>
    <row r="71" spans="1:51" s="458" customFormat="1" x14ac:dyDescent="0.45">
      <c r="A71" s="459"/>
      <c r="B71" s="321" t="s">
        <v>187</v>
      </c>
      <c r="C71" s="322">
        <f>1000*$C$8/100</f>
        <v>180</v>
      </c>
      <c r="D71" s="256" t="s">
        <v>189</v>
      </c>
      <c r="E71" s="256"/>
      <c r="F71" s="256"/>
      <c r="G71" s="256"/>
      <c r="H71" s="479"/>
      <c r="I71" s="462"/>
      <c r="J71" s="462"/>
      <c r="K71" s="462"/>
      <c r="L71" s="462"/>
      <c r="M71" s="462"/>
      <c r="N71" s="462"/>
      <c r="O71" s="270"/>
      <c r="P71" s="462"/>
      <c r="Q71" s="473"/>
      <c r="Z71" s="473"/>
      <c r="AA71" s="473"/>
      <c r="AB71" s="473"/>
      <c r="AC71" s="473"/>
      <c r="AD71" s="473"/>
      <c r="AE71" s="473"/>
      <c r="AF71" s="473"/>
      <c r="AG71" s="473"/>
      <c r="AH71" s="473"/>
      <c r="AI71" s="473"/>
      <c r="AJ71" s="473"/>
      <c r="AK71" s="473"/>
      <c r="AL71" s="473"/>
      <c r="AM71" s="473"/>
      <c r="AN71" s="473"/>
    </row>
    <row r="72" spans="1:51" s="458" customFormat="1" x14ac:dyDescent="0.45">
      <c r="A72" s="459"/>
      <c r="B72" s="321" t="s">
        <v>188</v>
      </c>
      <c r="C72" s="329">
        <f>C70*C71</f>
        <v>60435.132957292502</v>
      </c>
      <c r="D72" s="256" t="s">
        <v>190</v>
      </c>
      <c r="E72" s="256"/>
      <c r="F72" s="256"/>
      <c r="G72" s="256"/>
      <c r="H72" s="479"/>
      <c r="I72" s="462"/>
      <c r="J72" s="462"/>
      <c r="K72" s="462"/>
      <c r="L72" s="462"/>
      <c r="M72" s="462"/>
      <c r="N72" s="462"/>
      <c r="O72" s="270"/>
      <c r="P72" s="462"/>
      <c r="Q72" s="462"/>
      <c r="R72" s="462"/>
      <c r="S72" s="462"/>
      <c r="T72" s="462"/>
      <c r="U72" s="462"/>
      <c r="V72" s="462"/>
      <c r="W72" s="462"/>
      <c r="X72" s="462"/>
      <c r="Y72" s="462"/>
      <c r="Z72" s="462"/>
      <c r="AA72" s="462"/>
      <c r="AB72" s="462"/>
      <c r="AC72" s="462"/>
      <c r="AD72" s="462"/>
      <c r="AE72" s="462"/>
      <c r="AF72" s="462"/>
      <c r="AG72" s="462"/>
      <c r="AH72" s="462"/>
      <c r="AI72" s="462"/>
      <c r="AJ72" s="462"/>
      <c r="AK72" s="462"/>
      <c r="AL72" s="462"/>
      <c r="AM72" s="462"/>
      <c r="AN72" s="462"/>
      <c r="AO72" s="462"/>
      <c r="AP72" s="462"/>
      <c r="AQ72" s="462"/>
      <c r="AR72" s="462"/>
      <c r="AS72" s="462"/>
      <c r="AT72" s="462"/>
      <c r="AU72" s="462"/>
      <c r="AV72" s="462"/>
      <c r="AW72" s="462"/>
      <c r="AX72" s="462"/>
      <c r="AY72" s="462"/>
    </row>
    <row r="73" spans="1:51" s="458" customFormat="1" x14ac:dyDescent="0.45">
      <c r="A73" s="459"/>
      <c r="B73" s="321" t="s">
        <v>191</v>
      </c>
      <c r="C73" s="329">
        <f>C72*$C$18/100*C151</f>
        <v>56302.036915793702</v>
      </c>
      <c r="D73" s="256" t="s">
        <v>190</v>
      </c>
      <c r="E73" s="256"/>
      <c r="F73" s="256"/>
      <c r="G73" s="256"/>
      <c r="H73" s="479"/>
      <c r="I73" s="462"/>
      <c r="J73" s="462"/>
      <c r="K73" s="462"/>
      <c r="L73" s="462"/>
      <c r="M73" s="462"/>
      <c r="N73" s="462"/>
      <c r="O73" s="270"/>
      <c r="P73" s="462"/>
      <c r="Q73" s="462"/>
      <c r="R73" s="462"/>
      <c r="S73" s="462"/>
      <c r="T73" s="462"/>
      <c r="U73" s="462"/>
      <c r="V73" s="462"/>
      <c r="W73" s="462"/>
      <c r="X73" s="462"/>
      <c r="Y73" s="462"/>
      <c r="Z73" s="462"/>
      <c r="AA73" s="462"/>
      <c r="AB73" s="462"/>
      <c r="AC73" s="462"/>
      <c r="AD73" s="462"/>
      <c r="AE73" s="462"/>
      <c r="AF73" s="462"/>
      <c r="AG73" s="462"/>
      <c r="AH73" s="462"/>
      <c r="AI73" s="462"/>
      <c r="AJ73" s="462"/>
      <c r="AK73" s="462"/>
      <c r="AL73" s="462"/>
      <c r="AM73" s="462"/>
      <c r="AN73" s="462"/>
      <c r="AO73" s="462"/>
      <c r="AP73" s="462"/>
      <c r="AQ73" s="462"/>
      <c r="AR73" s="462"/>
      <c r="AS73" s="462"/>
      <c r="AT73" s="462"/>
      <c r="AU73" s="462"/>
      <c r="AV73" s="462"/>
      <c r="AW73" s="462"/>
      <c r="AX73" s="462"/>
      <c r="AY73" s="462"/>
    </row>
    <row r="74" spans="1:51" s="458" customFormat="1" x14ac:dyDescent="0.45">
      <c r="A74" s="459"/>
      <c r="B74" s="321" t="s">
        <v>193</v>
      </c>
      <c r="C74" s="329">
        <f>C73*24*365/1000000</f>
        <v>493.20584338235284</v>
      </c>
      <c r="D74" s="256" t="s">
        <v>18</v>
      </c>
      <c r="E74" s="256"/>
      <c r="F74" s="256"/>
      <c r="G74" s="256"/>
      <c r="H74" s="479"/>
      <c r="I74" s="462"/>
      <c r="J74" s="462"/>
      <c r="K74" s="462"/>
      <c r="L74" s="462"/>
      <c r="M74" s="462"/>
      <c r="N74" s="462"/>
      <c r="O74" s="270"/>
      <c r="P74" s="462"/>
      <c r="Q74" s="462"/>
      <c r="R74" s="462"/>
      <c r="S74" s="462"/>
      <c r="T74" s="462"/>
      <c r="U74" s="462"/>
      <c r="V74" s="462"/>
      <c r="W74" s="462"/>
      <c r="X74" s="462"/>
      <c r="Y74" s="462"/>
      <c r="Z74" s="462"/>
      <c r="AA74" s="462"/>
      <c r="AB74" s="462"/>
      <c r="AC74" s="462"/>
      <c r="AD74" s="462"/>
      <c r="AE74" s="462"/>
      <c r="AF74" s="462"/>
      <c r="AG74" s="462"/>
      <c r="AH74" s="462"/>
      <c r="AI74" s="462"/>
      <c r="AJ74" s="462"/>
      <c r="AK74" s="462"/>
      <c r="AL74" s="462"/>
      <c r="AM74" s="462"/>
      <c r="AN74" s="462"/>
      <c r="AO74" s="462"/>
      <c r="AP74" s="462"/>
      <c r="AQ74" s="462"/>
      <c r="AR74" s="462"/>
      <c r="AS74" s="462"/>
      <c r="AT74" s="462"/>
      <c r="AU74" s="462"/>
      <c r="AV74" s="462"/>
      <c r="AW74" s="462"/>
      <c r="AX74" s="462"/>
      <c r="AY74" s="462"/>
    </row>
    <row r="75" spans="1:51" x14ac:dyDescent="0.45">
      <c r="A75" s="227"/>
      <c r="B75" s="321" t="s">
        <v>142</v>
      </c>
      <c r="C75" s="589">
        <v>10</v>
      </c>
      <c r="D75" s="256" t="s">
        <v>111</v>
      </c>
      <c r="E75" s="256"/>
      <c r="F75" s="256"/>
      <c r="G75" s="256"/>
      <c r="H75" s="479"/>
      <c r="I75" s="462"/>
      <c r="J75" s="235"/>
      <c r="K75" s="235"/>
      <c r="L75" s="235"/>
      <c r="M75" s="235"/>
      <c r="N75" s="235"/>
      <c r="O75" s="270"/>
      <c r="P75" s="235"/>
      <c r="Q75" s="462"/>
      <c r="R75" s="462"/>
      <c r="S75" s="462"/>
      <c r="T75" s="462"/>
      <c r="U75" s="462"/>
      <c r="V75" s="462"/>
      <c r="W75" s="462"/>
      <c r="X75" s="462"/>
      <c r="Y75" s="462"/>
      <c r="Z75" s="462"/>
      <c r="AA75" s="462"/>
      <c r="AB75" s="462"/>
      <c r="AC75" s="462"/>
      <c r="AD75" s="462"/>
      <c r="AE75" s="462"/>
      <c r="AF75" s="462"/>
      <c r="AG75" s="462"/>
      <c r="AH75" s="462"/>
      <c r="AI75" s="462"/>
      <c r="AJ75" s="462"/>
      <c r="AK75" s="462"/>
      <c r="AL75" s="462"/>
      <c r="AM75" s="462"/>
      <c r="AN75" s="462"/>
      <c r="AO75" s="462"/>
      <c r="AP75" s="462"/>
      <c r="AQ75" s="462"/>
      <c r="AR75" s="462"/>
      <c r="AS75" s="462"/>
      <c r="AT75" s="462"/>
      <c r="AU75" s="462"/>
      <c r="AV75" s="462"/>
      <c r="AW75" s="462"/>
      <c r="AX75" s="462"/>
      <c r="AY75" s="462"/>
    </row>
    <row r="76" spans="1:51" x14ac:dyDescent="0.45">
      <c r="A76" s="227"/>
      <c r="B76" s="321" t="s">
        <v>143</v>
      </c>
      <c r="C76" s="589">
        <v>7</v>
      </c>
      <c r="D76" s="256" t="s">
        <v>111</v>
      </c>
      <c r="E76" s="256"/>
      <c r="F76" s="256"/>
      <c r="G76" s="256"/>
      <c r="H76" s="479"/>
      <c r="I76" s="462"/>
      <c r="J76" s="235"/>
      <c r="K76" s="235"/>
      <c r="L76" s="235"/>
      <c r="M76" s="235"/>
      <c r="N76" s="235"/>
      <c r="O76" s="270"/>
      <c r="P76" s="235"/>
      <c r="Q76" s="462"/>
      <c r="R76" s="462"/>
      <c r="S76" s="462"/>
      <c r="T76" s="462"/>
      <c r="U76" s="462"/>
      <c r="V76" s="462"/>
      <c r="W76" s="462"/>
      <c r="X76" s="462"/>
      <c r="Y76" s="462"/>
      <c r="Z76" s="462"/>
      <c r="AA76" s="462"/>
      <c r="AB76" s="462"/>
      <c r="AC76" s="462"/>
      <c r="AD76" s="462"/>
      <c r="AE76" s="462"/>
      <c r="AF76" s="462"/>
      <c r="AG76" s="462"/>
      <c r="AH76" s="462"/>
      <c r="AI76" s="462"/>
      <c r="AJ76" s="462"/>
      <c r="AK76" s="462"/>
      <c r="AL76" s="462"/>
      <c r="AM76" s="462"/>
      <c r="AN76" s="462"/>
      <c r="AO76" s="462"/>
      <c r="AP76" s="462"/>
      <c r="AQ76" s="462"/>
      <c r="AR76" s="462"/>
      <c r="AS76" s="462"/>
      <c r="AT76" s="462"/>
      <c r="AU76" s="462"/>
      <c r="AV76" s="462"/>
      <c r="AW76" s="462"/>
      <c r="AX76" s="462"/>
      <c r="AY76" s="462"/>
    </row>
    <row r="77" spans="1:51" x14ac:dyDescent="0.45">
      <c r="A77" s="227"/>
      <c r="B77" s="321" t="s">
        <v>140</v>
      </c>
      <c r="C77" s="589">
        <v>7</v>
      </c>
      <c r="D77" s="256" t="s">
        <v>111</v>
      </c>
      <c r="E77" s="256"/>
      <c r="F77" s="256"/>
      <c r="G77" s="256"/>
      <c r="H77" s="479"/>
      <c r="I77" s="462"/>
      <c r="J77" s="235"/>
      <c r="K77" s="235"/>
      <c r="L77" s="235"/>
      <c r="M77" s="235"/>
      <c r="N77" s="235"/>
      <c r="O77" s="270"/>
      <c r="P77" s="235"/>
      <c r="Q77" s="462"/>
      <c r="R77" s="462"/>
      <c r="S77" s="462"/>
      <c r="T77" s="462"/>
      <c r="U77" s="462"/>
      <c r="V77" s="462"/>
      <c r="W77" s="462"/>
      <c r="X77" s="462"/>
      <c r="Y77" s="462"/>
      <c r="Z77" s="462"/>
      <c r="AA77" s="462"/>
      <c r="AB77" s="462"/>
      <c r="AC77" s="462"/>
      <c r="AD77" s="462"/>
      <c r="AE77" s="462"/>
      <c r="AF77" s="462"/>
      <c r="AG77" s="462"/>
      <c r="AH77" s="462"/>
      <c r="AI77" s="462"/>
      <c r="AJ77" s="462"/>
      <c r="AK77" s="462"/>
      <c r="AL77" s="462"/>
      <c r="AM77" s="462"/>
      <c r="AN77" s="462"/>
      <c r="AO77" s="462"/>
      <c r="AP77" s="462"/>
      <c r="AQ77" s="462"/>
      <c r="AR77" s="462"/>
      <c r="AS77" s="462"/>
      <c r="AT77" s="462"/>
      <c r="AU77" s="462"/>
      <c r="AV77" s="462"/>
      <c r="AW77" s="462"/>
      <c r="AX77" s="462"/>
      <c r="AY77" s="462"/>
    </row>
    <row r="78" spans="1:51" x14ac:dyDescent="0.45">
      <c r="A78" s="227"/>
      <c r="B78" s="321" t="s">
        <v>141</v>
      </c>
      <c r="C78" s="589">
        <v>7</v>
      </c>
      <c r="D78" s="256" t="s">
        <v>111</v>
      </c>
      <c r="E78" s="256"/>
      <c r="F78" s="256"/>
      <c r="G78" s="256"/>
      <c r="H78" s="479"/>
      <c r="I78" s="462"/>
      <c r="J78" s="235"/>
      <c r="K78" s="235"/>
      <c r="L78" s="235"/>
      <c r="M78" s="235"/>
      <c r="N78" s="235"/>
      <c r="O78" s="270"/>
      <c r="P78" s="235"/>
      <c r="Q78" s="462"/>
      <c r="R78" s="462"/>
      <c r="S78" s="462"/>
      <c r="T78" s="462"/>
      <c r="U78" s="462"/>
      <c r="V78" s="462"/>
      <c r="W78" s="462"/>
      <c r="X78" s="462"/>
      <c r="Y78" s="462"/>
      <c r="Z78" s="462"/>
      <c r="AA78" s="462"/>
      <c r="AB78" s="462"/>
      <c r="AC78" s="462"/>
      <c r="AD78" s="462"/>
      <c r="AE78" s="462"/>
      <c r="AF78" s="462"/>
      <c r="AG78" s="462"/>
      <c r="AH78" s="462"/>
      <c r="AI78" s="462"/>
      <c r="AJ78" s="462"/>
      <c r="AK78" s="462"/>
      <c r="AL78" s="462"/>
      <c r="AM78" s="462"/>
      <c r="AN78" s="462"/>
      <c r="AO78" s="462"/>
      <c r="AP78" s="462"/>
      <c r="AQ78" s="462"/>
      <c r="AR78" s="462"/>
      <c r="AS78" s="462"/>
      <c r="AT78" s="462"/>
      <c r="AU78" s="462"/>
      <c r="AV78" s="462"/>
      <c r="AW78" s="462"/>
      <c r="AX78" s="462"/>
      <c r="AY78" s="462"/>
    </row>
    <row r="79" spans="1:51" x14ac:dyDescent="0.45">
      <c r="A79" s="227"/>
      <c r="B79" s="321" t="s">
        <v>132</v>
      </c>
      <c r="C79" s="589">
        <v>25</v>
      </c>
      <c r="D79" s="256" t="s">
        <v>63</v>
      </c>
      <c r="E79" s="256"/>
      <c r="F79" s="256"/>
      <c r="G79" s="256"/>
      <c r="H79" s="479"/>
      <c r="I79" s="462"/>
      <c r="J79" s="235"/>
      <c r="K79" s="235"/>
      <c r="L79" s="235"/>
      <c r="M79" s="235"/>
      <c r="N79" s="235"/>
      <c r="O79" s="270"/>
      <c r="P79" s="235"/>
      <c r="Q79" s="462"/>
      <c r="R79" s="462"/>
      <c r="S79" s="462"/>
      <c r="T79" s="462"/>
      <c r="U79" s="462"/>
      <c r="V79" s="462"/>
      <c r="W79" s="462"/>
      <c r="X79" s="462"/>
      <c r="Y79" s="462"/>
      <c r="Z79" s="462"/>
      <c r="AA79" s="462"/>
      <c r="AB79" s="462"/>
      <c r="AC79" s="462"/>
      <c r="AD79" s="462"/>
      <c r="AE79" s="462"/>
      <c r="AF79" s="462"/>
      <c r="AG79" s="462"/>
      <c r="AH79" s="462"/>
      <c r="AI79" s="462"/>
      <c r="AJ79" s="462"/>
      <c r="AK79" s="462"/>
      <c r="AL79" s="462"/>
      <c r="AM79" s="462"/>
      <c r="AN79" s="462"/>
      <c r="AO79" s="462"/>
      <c r="AP79" s="462"/>
      <c r="AQ79" s="462"/>
      <c r="AR79" s="462"/>
      <c r="AS79" s="462"/>
      <c r="AT79" s="462"/>
      <c r="AU79" s="462"/>
      <c r="AV79" s="462"/>
      <c r="AW79" s="462"/>
      <c r="AX79" s="462"/>
      <c r="AY79" s="462"/>
    </row>
    <row r="80" spans="1:51" x14ac:dyDescent="0.45">
      <c r="A80" s="227"/>
      <c r="B80" s="321" t="s">
        <v>151</v>
      </c>
      <c r="C80" s="256">
        <v>1</v>
      </c>
      <c r="D80" s="256" t="s">
        <v>22</v>
      </c>
      <c r="E80" s="256"/>
      <c r="F80" s="256"/>
      <c r="G80" s="256"/>
      <c r="H80" s="479"/>
      <c r="I80" s="462"/>
      <c r="J80" s="235"/>
      <c r="K80" s="235"/>
      <c r="L80" s="235"/>
      <c r="M80" s="235"/>
      <c r="N80" s="235"/>
      <c r="O80" s="270"/>
      <c r="P80" s="235"/>
      <c r="Q80" s="462"/>
      <c r="R80" s="462"/>
      <c r="S80" s="462"/>
      <c r="T80" s="462"/>
      <c r="U80" s="462"/>
      <c r="V80" s="462"/>
      <c r="W80" s="462"/>
      <c r="X80" s="462"/>
      <c r="Y80" s="462"/>
      <c r="Z80" s="462"/>
      <c r="AA80" s="462"/>
      <c r="AB80" s="462"/>
      <c r="AC80" s="462"/>
      <c r="AD80" s="462"/>
      <c r="AE80" s="462"/>
      <c r="AF80" s="462"/>
      <c r="AG80" s="462"/>
      <c r="AH80" s="462"/>
      <c r="AI80" s="462"/>
      <c r="AJ80" s="462"/>
      <c r="AK80" s="462"/>
      <c r="AL80" s="462"/>
      <c r="AM80" s="462"/>
      <c r="AN80" s="462"/>
      <c r="AO80" s="462"/>
      <c r="AP80" s="462"/>
      <c r="AQ80" s="462"/>
      <c r="AR80" s="462"/>
      <c r="AS80" s="462"/>
      <c r="AT80" s="462"/>
      <c r="AU80" s="462"/>
      <c r="AV80" s="462"/>
      <c r="AW80" s="462"/>
      <c r="AX80" s="462"/>
      <c r="AY80" s="462"/>
    </row>
    <row r="81" spans="1:51" x14ac:dyDescent="0.45">
      <c r="A81" s="227"/>
      <c r="B81" s="334"/>
      <c r="C81" s="256" t="s">
        <v>117</v>
      </c>
      <c r="D81" s="256" t="s">
        <v>118</v>
      </c>
      <c r="E81" s="256" t="s">
        <v>119</v>
      </c>
      <c r="F81" s="323" t="s">
        <v>175</v>
      </c>
      <c r="G81" s="256" t="s">
        <v>233</v>
      </c>
      <c r="H81" s="479" t="s">
        <v>232</v>
      </c>
      <c r="I81" s="462"/>
      <c r="J81" s="235"/>
      <c r="K81" s="235"/>
      <c r="L81" s="235"/>
      <c r="M81" s="235"/>
      <c r="N81" s="333"/>
      <c r="O81" s="235"/>
      <c r="P81" s="235"/>
      <c r="Q81" s="462"/>
      <c r="R81" s="462"/>
      <c r="S81" s="462"/>
      <c r="T81" s="462"/>
      <c r="U81" s="462"/>
      <c r="V81" s="462"/>
      <c r="W81" s="462"/>
      <c r="X81" s="462"/>
      <c r="Y81" s="462"/>
      <c r="Z81" s="462"/>
      <c r="AA81" s="462"/>
      <c r="AB81" s="462"/>
      <c r="AC81" s="462"/>
      <c r="AD81" s="462"/>
      <c r="AE81" s="462"/>
      <c r="AF81" s="462"/>
      <c r="AG81" s="462"/>
      <c r="AH81" s="462"/>
      <c r="AI81" s="462"/>
      <c r="AJ81" s="462"/>
      <c r="AK81" s="462"/>
      <c r="AL81" s="462"/>
      <c r="AM81" s="462"/>
      <c r="AN81" s="462"/>
      <c r="AO81" s="462"/>
      <c r="AP81" s="462"/>
      <c r="AQ81" s="462"/>
      <c r="AR81" s="462"/>
      <c r="AS81" s="462"/>
      <c r="AT81" s="462"/>
      <c r="AU81" s="462"/>
      <c r="AV81" s="462"/>
      <c r="AW81" s="462"/>
      <c r="AX81" s="462"/>
      <c r="AY81" s="462"/>
    </row>
    <row r="82" spans="1:51" x14ac:dyDescent="0.45">
      <c r="A82" s="227"/>
      <c r="B82" s="321" t="s">
        <v>90</v>
      </c>
      <c r="C82" s="329">
        <f>(80.5*1+16)*1.27*1000000*0.66*0.7*C80</f>
        <v>56620410</v>
      </c>
      <c r="D82" s="329">
        <f>(80.5*1+16*0)*1.27*1000000*0.66*0.7/C75*C80</f>
        <v>4723257</v>
      </c>
      <c r="E82" s="329">
        <f>((80.5*0+16*1)*1.27*1000000*0.66*0.7)/C79*C80</f>
        <v>375513.59999999998</v>
      </c>
      <c r="F82" s="518">
        <f>(D82+E82)/($C$74*1000000)</f>
        <v>1.0338017418920216E-2</v>
      </c>
      <c r="G82" s="322">
        <f>D82*C75/($C$74*1000000)</f>
        <v>9.5766444444542867E-2</v>
      </c>
      <c r="H82" s="372">
        <f>E82*$C$79/($C$74*1000000)</f>
        <v>1.9034324361648272E-2</v>
      </c>
      <c r="I82" s="270"/>
      <c r="J82" s="235"/>
      <c r="K82" s="235"/>
      <c r="L82" s="235"/>
      <c r="M82" s="235"/>
      <c r="N82" s="235"/>
      <c r="O82" s="307"/>
      <c r="P82" s="235"/>
      <c r="Q82" s="462"/>
      <c r="R82" s="462"/>
      <c r="S82" s="462"/>
      <c r="T82" s="462"/>
      <c r="U82" s="462"/>
      <c r="V82" s="462"/>
      <c r="W82" s="462"/>
      <c r="X82" s="462"/>
      <c r="Y82" s="462"/>
      <c r="Z82" s="462"/>
      <c r="AA82" s="462"/>
      <c r="AB82" s="462"/>
      <c r="AC82" s="462"/>
      <c r="AD82" s="462"/>
      <c r="AE82" s="462"/>
      <c r="AF82" s="462"/>
      <c r="AG82" s="462"/>
      <c r="AH82" s="462"/>
      <c r="AI82" s="462"/>
      <c r="AJ82" s="462"/>
      <c r="AK82" s="462"/>
      <c r="AL82" s="462"/>
      <c r="AM82" s="462"/>
      <c r="AN82" s="462"/>
      <c r="AO82" s="462"/>
      <c r="AP82" s="462"/>
      <c r="AQ82" s="462"/>
      <c r="AR82" s="462"/>
      <c r="AS82" s="462"/>
      <c r="AT82" s="462"/>
      <c r="AU82" s="462"/>
      <c r="AV82" s="462"/>
      <c r="AW82" s="462"/>
      <c r="AX82" s="462"/>
      <c r="AY82" s="462"/>
    </row>
    <row r="83" spans="1:51" x14ac:dyDescent="0.45">
      <c r="A83" s="227"/>
      <c r="B83" s="321" t="s">
        <v>30</v>
      </c>
      <c r="C83" s="329">
        <f>(76.8*1+13)*1.27*1000000*0.66*0.9*C80</f>
        <v>67743324</v>
      </c>
      <c r="D83" s="329">
        <f>(76.8*1+13*0)*1.27*1000000*0.66*0.9/C76*C80</f>
        <v>8276626.2857142854</v>
      </c>
      <c r="E83" s="329">
        <f>((76.8*0+13*1)*1.27*1000000*0.66*0.9)/C79*C80</f>
        <v>392277.60000000009</v>
      </c>
      <c r="F83" s="518">
        <f>(D83+E83)/($C$74*1000000)</f>
        <v>1.7576644725585306E-2</v>
      </c>
      <c r="G83" s="322">
        <f>D83*C76/($C$74*1000000)</f>
        <v>0.11746897320331504</v>
      </c>
      <c r="H83" s="372">
        <f>E83*$C$79/($C$74*1000000)</f>
        <v>1.9884070984936143E-2</v>
      </c>
      <c r="I83" s="270"/>
      <c r="J83" s="235"/>
      <c r="K83" s="235"/>
      <c r="L83" s="290"/>
      <c r="M83" s="235"/>
      <c r="N83" s="235"/>
      <c r="O83" s="307"/>
      <c r="P83" s="235"/>
      <c r="Q83" s="462"/>
      <c r="R83" s="462"/>
      <c r="S83" s="462"/>
      <c r="T83" s="462"/>
      <c r="U83" s="462"/>
      <c r="V83" s="462"/>
      <c r="W83" s="462"/>
      <c r="X83" s="462"/>
      <c r="Y83" s="462"/>
      <c r="Z83" s="462"/>
      <c r="AA83" s="462"/>
      <c r="AB83" s="462"/>
      <c r="AC83" s="462"/>
      <c r="AD83" s="462"/>
      <c r="AE83" s="462"/>
      <c r="AF83" s="462"/>
      <c r="AG83" s="462"/>
      <c r="AH83" s="462"/>
      <c r="AI83" s="462"/>
      <c r="AJ83" s="462"/>
      <c r="AK83" s="462"/>
      <c r="AL83" s="462"/>
      <c r="AM83" s="462"/>
      <c r="AN83" s="462"/>
      <c r="AO83" s="462"/>
      <c r="AP83" s="462"/>
      <c r="AQ83" s="462"/>
      <c r="AR83" s="462"/>
      <c r="AS83" s="462"/>
      <c r="AT83" s="462"/>
      <c r="AU83" s="462"/>
      <c r="AV83" s="462"/>
      <c r="AW83" s="462"/>
      <c r="AX83" s="462"/>
      <c r="AY83" s="462"/>
    </row>
    <row r="84" spans="1:51" x14ac:dyDescent="0.45">
      <c r="A84" s="227"/>
      <c r="B84" s="321" t="s">
        <v>31</v>
      </c>
      <c r="C84" s="329">
        <f>(110*1+16.3)*1.27*1000000*0.66*0.9*C80</f>
        <v>95278194</v>
      </c>
      <c r="D84" s="329">
        <f>(110*1+16.3*0.85*0)*1.27*1000000*0.66*0.9/C77*C80</f>
        <v>11854542.857142856</v>
      </c>
      <c r="E84" s="329">
        <f>(110*0+16.3*1)*1.27*1000000*0.66*0.9/C79*C80</f>
        <v>491855.76</v>
      </c>
      <c r="F84" s="518">
        <f>(D84+E84)/($C$74*1000000)</f>
        <v>2.50329528386618E-2</v>
      </c>
      <c r="G84" s="322">
        <f>D84*C77/($C$74*1000000)</f>
        <v>0.16824983141099811</v>
      </c>
      <c r="H84" s="372">
        <f>E84*$C$79/($C$74*1000000)</f>
        <v>2.4931565927266083E-2</v>
      </c>
      <c r="I84" s="270"/>
      <c r="J84" s="235"/>
      <c r="K84" s="235"/>
      <c r="L84" s="290"/>
      <c r="M84" s="235"/>
      <c r="N84" s="235"/>
      <c r="O84" s="307"/>
      <c r="P84" s="235"/>
      <c r="Q84" s="462"/>
      <c r="R84" s="462"/>
      <c r="S84" s="462"/>
      <c r="T84" s="229"/>
      <c r="U84" s="536"/>
      <c r="V84" s="536"/>
      <c r="W84" s="536"/>
      <c r="X84" s="536"/>
      <c r="Y84" s="536"/>
      <c r="Z84" s="536"/>
      <c r="AA84" s="536"/>
      <c r="AB84" s="536"/>
      <c r="AC84" s="536"/>
      <c r="AD84" s="536"/>
      <c r="AE84" s="462"/>
      <c r="AF84" s="462"/>
      <c r="AG84" s="462"/>
      <c r="AH84" s="462"/>
      <c r="AI84" s="462"/>
      <c r="AJ84" s="462"/>
      <c r="AK84" s="462"/>
      <c r="AL84" s="462"/>
      <c r="AM84" s="462"/>
      <c r="AN84" s="462"/>
      <c r="AO84" s="462"/>
      <c r="AP84" s="462"/>
      <c r="AQ84" s="462"/>
      <c r="AR84" s="462"/>
      <c r="AS84" s="462"/>
      <c r="AT84" s="462"/>
      <c r="AU84" s="462"/>
      <c r="AV84" s="462"/>
      <c r="AW84" s="462"/>
      <c r="AX84" s="462"/>
      <c r="AY84" s="462"/>
    </row>
    <row r="85" spans="1:51" ht="15.4" x14ac:dyDescent="0.45">
      <c r="A85" s="227"/>
      <c r="B85" s="321" t="s">
        <v>32</v>
      </c>
      <c r="C85" s="329">
        <f>(73.5*1+20)*1.27*1000000*0.66*0.9*0.6*C80</f>
        <v>42320718</v>
      </c>
      <c r="D85" s="329">
        <f>(73.5*1+20*0)*1.27*1000000*0.66*0.9*0.6/C78*C80</f>
        <v>4752594</v>
      </c>
      <c r="E85" s="329">
        <f>(73.5*0+20*1)*1.27*1000000*0.66*0.9*0.6/C79*C80</f>
        <v>362102.4</v>
      </c>
      <c r="F85" s="518">
        <f>(D85+E85)/($C$74*1000000)</f>
        <v>1.0370307790605156E-2</v>
      </c>
      <c r="G85" s="322">
        <f>D85*C78/($C$74*1000000)</f>
        <v>6.745288695659106E-2</v>
      </c>
      <c r="H85" s="372">
        <f>E85*$C$79/($C$74*1000000)</f>
        <v>1.8354527063017975E-2</v>
      </c>
      <c r="I85" s="270"/>
      <c r="J85" s="235"/>
      <c r="K85" s="235"/>
      <c r="L85" s="290"/>
      <c r="M85" s="235"/>
      <c r="N85" s="235"/>
      <c r="O85" s="307"/>
      <c r="P85" s="235"/>
      <c r="Q85" s="462"/>
      <c r="R85" s="537"/>
      <c r="S85" s="462"/>
      <c r="T85" s="538"/>
      <c r="U85" s="462"/>
      <c r="V85" s="462"/>
      <c r="W85" s="462"/>
      <c r="X85" s="462"/>
      <c r="Y85" s="462"/>
      <c r="Z85" s="462"/>
      <c r="AA85" s="462"/>
      <c r="AB85" s="462"/>
      <c r="AC85" s="462"/>
      <c r="AD85" s="462"/>
      <c r="AE85" s="462"/>
      <c r="AF85" s="462"/>
      <c r="AG85" s="462"/>
      <c r="AH85" s="462"/>
      <c r="AI85" s="462"/>
      <c r="AJ85" s="462"/>
      <c r="AK85" s="462"/>
      <c r="AL85" s="462"/>
      <c r="AM85" s="462"/>
      <c r="AN85" s="462"/>
      <c r="AO85" s="462"/>
      <c r="AP85" s="462"/>
      <c r="AQ85" s="462"/>
      <c r="AR85" s="462"/>
      <c r="AS85" s="462"/>
      <c r="AT85" s="462"/>
      <c r="AU85" s="462"/>
      <c r="AV85" s="462"/>
      <c r="AW85" s="462"/>
      <c r="AX85" s="462"/>
      <c r="AY85" s="462"/>
    </row>
    <row r="86" spans="1:51" x14ac:dyDescent="0.45">
      <c r="A86" s="227"/>
      <c r="B86" s="373" t="s">
        <v>234</v>
      </c>
      <c r="C86" s="336">
        <f>SUM(C82:C85)/1000000/C74</f>
        <v>0.53114262435231552</v>
      </c>
      <c r="D86" s="324"/>
      <c r="E86" s="337" t="s">
        <v>176</v>
      </c>
      <c r="F86" s="338">
        <f>SUM(F82:F85)</f>
        <v>6.3317922773772475E-2</v>
      </c>
      <c r="G86" s="807">
        <f>SUM(G82:G85)</f>
        <v>0.44893813601544713</v>
      </c>
      <c r="H86" s="821">
        <f>SUM(H82:H85)</f>
        <v>8.220448833686847E-2</v>
      </c>
      <c r="I86" s="462"/>
      <c r="J86" s="235"/>
      <c r="K86" s="235"/>
      <c r="L86" s="235"/>
      <c r="M86" s="235"/>
      <c r="N86" s="235"/>
      <c r="O86" s="270"/>
      <c r="P86" s="235"/>
      <c r="Q86" s="462"/>
      <c r="R86" s="537"/>
      <c r="S86" s="462"/>
      <c r="T86" s="462"/>
      <c r="U86" s="462"/>
      <c r="V86" s="462"/>
      <c r="W86" s="462"/>
      <c r="X86" s="462"/>
      <c r="Y86" s="462"/>
      <c r="Z86" s="462"/>
      <c r="AA86" s="462"/>
      <c r="AB86" s="462"/>
      <c r="AC86" s="462"/>
      <c r="AD86" s="462"/>
      <c r="AE86" s="462"/>
      <c r="AF86" s="462"/>
      <c r="AG86" s="462"/>
      <c r="AH86" s="462"/>
      <c r="AI86" s="462"/>
      <c r="AJ86" s="462"/>
      <c r="AK86" s="462"/>
      <c r="AL86" s="462"/>
      <c r="AM86" s="462"/>
      <c r="AN86" s="462"/>
      <c r="AO86" s="462"/>
      <c r="AP86" s="462"/>
      <c r="AQ86" s="462"/>
      <c r="AR86" s="462"/>
      <c r="AS86" s="462"/>
      <c r="AT86" s="462"/>
      <c r="AU86" s="462"/>
      <c r="AV86" s="462"/>
      <c r="AW86" s="462"/>
      <c r="AX86" s="462"/>
      <c r="AY86" s="462"/>
    </row>
    <row r="87" spans="1:51" x14ac:dyDescent="0.45">
      <c r="A87" s="227"/>
      <c r="B87" s="235"/>
      <c r="C87" s="235"/>
      <c r="D87" s="235"/>
      <c r="E87" s="229"/>
      <c r="F87" s="229"/>
      <c r="G87" s="235"/>
      <c r="H87" s="235"/>
      <c r="I87" s="462"/>
      <c r="J87" s="235"/>
      <c r="K87" s="235"/>
      <c r="L87" s="235"/>
      <c r="M87" s="230"/>
      <c r="N87" s="290"/>
      <c r="O87" s="290"/>
      <c r="P87" s="290"/>
      <c r="Q87" s="462"/>
      <c r="R87" s="462"/>
      <c r="S87" s="462"/>
      <c r="T87" s="462"/>
      <c r="U87" s="462"/>
      <c r="V87" s="462"/>
      <c r="W87" s="462"/>
      <c r="X87" s="462"/>
      <c r="Y87" s="462"/>
      <c r="Z87" s="462"/>
      <c r="AA87" s="462"/>
      <c r="AB87" s="462"/>
      <c r="AC87" s="462"/>
      <c r="AD87" s="462"/>
      <c r="AE87" s="462"/>
      <c r="AF87" s="462"/>
      <c r="AG87" s="462"/>
      <c r="AH87" s="462"/>
      <c r="AI87" s="462"/>
      <c r="AJ87" s="462"/>
      <c r="AK87" s="462"/>
      <c r="AL87" s="462"/>
      <c r="AM87" s="462"/>
      <c r="AN87" s="462"/>
      <c r="AO87" s="462"/>
      <c r="AP87" s="462"/>
      <c r="AQ87" s="462"/>
      <c r="AR87" s="462"/>
      <c r="AS87" s="462"/>
      <c r="AT87" s="462"/>
      <c r="AU87" s="462"/>
      <c r="AV87" s="462"/>
      <c r="AW87" s="462"/>
      <c r="AX87" s="462"/>
      <c r="AY87" s="462"/>
    </row>
    <row r="88" spans="1:51" x14ac:dyDescent="0.45">
      <c r="A88" s="227"/>
      <c r="B88" s="713" t="s">
        <v>61</v>
      </c>
      <c r="C88" s="714"/>
      <c r="D88" s="714"/>
      <c r="E88" s="714"/>
      <c r="F88" s="715"/>
      <c r="G88" s="550"/>
      <c r="H88" s="232"/>
      <c r="I88" s="232"/>
      <c r="J88" s="235"/>
      <c r="K88" s="235"/>
      <c r="L88" s="235"/>
      <c r="M88" s="230"/>
      <c r="N88" s="290"/>
      <c r="O88" s="290"/>
      <c r="P88" s="290"/>
      <c r="Q88" s="462"/>
      <c r="R88" s="462"/>
      <c r="S88" s="462"/>
      <c r="T88" s="462"/>
      <c r="U88" s="462"/>
      <c r="V88" s="462"/>
      <c r="W88" s="462"/>
      <c r="X88" s="462"/>
      <c r="Y88" s="462"/>
      <c r="Z88" s="462"/>
      <c r="AA88" s="462"/>
      <c r="AB88" s="462"/>
      <c r="AC88" s="462"/>
      <c r="AD88" s="462"/>
      <c r="AE88" s="462"/>
      <c r="AF88" s="462"/>
      <c r="AG88" s="462"/>
      <c r="AH88" s="462"/>
      <c r="AI88" s="462"/>
      <c r="AJ88" s="462"/>
      <c r="AK88" s="462"/>
      <c r="AL88" s="462"/>
      <c r="AM88" s="462"/>
      <c r="AN88" s="462"/>
      <c r="AO88" s="462"/>
      <c r="AP88" s="462"/>
      <c r="AQ88" s="462"/>
      <c r="AR88" s="462"/>
      <c r="AS88" s="462"/>
      <c r="AT88" s="462"/>
      <c r="AU88" s="462"/>
      <c r="AV88" s="462"/>
      <c r="AW88" s="462"/>
      <c r="AX88" s="462"/>
      <c r="AY88" s="462"/>
    </row>
    <row r="89" spans="1:51" x14ac:dyDescent="0.45">
      <c r="A89" s="227"/>
      <c r="B89" s="651" t="s">
        <v>229</v>
      </c>
      <c r="C89" s="663">
        <v>0.05</v>
      </c>
      <c r="D89" s="1026" t="s">
        <v>22</v>
      </c>
      <c r="E89" s="1026"/>
      <c r="F89" s="1030" t="s">
        <v>366</v>
      </c>
      <c r="G89" s="232"/>
      <c r="H89" s="232"/>
      <c r="I89" s="232"/>
      <c r="J89" s="235"/>
      <c r="K89" s="235"/>
      <c r="L89" s="235"/>
      <c r="M89" s="230"/>
      <c r="N89" s="290"/>
      <c r="O89" s="290"/>
      <c r="P89" s="290"/>
      <c r="Q89" s="462"/>
      <c r="R89" s="462"/>
      <c r="S89" s="462"/>
      <c r="T89" s="462"/>
      <c r="U89" s="462"/>
      <c r="V89" s="462"/>
      <c r="W89" s="462"/>
      <c r="X89" s="462"/>
      <c r="Y89" s="462"/>
      <c r="Z89" s="462"/>
      <c r="AA89" s="462"/>
      <c r="AB89" s="462"/>
      <c r="AC89" s="462"/>
      <c r="AD89" s="462"/>
      <c r="AE89" s="462"/>
      <c r="AF89" s="462"/>
      <c r="AG89" s="462"/>
      <c r="AH89" s="462"/>
      <c r="AI89" s="462"/>
      <c r="AJ89" s="462"/>
      <c r="AK89" s="462"/>
      <c r="AL89" s="462"/>
      <c r="AM89" s="462"/>
      <c r="AN89" s="462"/>
      <c r="AO89" s="462"/>
      <c r="AP89" s="462"/>
      <c r="AQ89" s="462"/>
      <c r="AR89" s="462"/>
      <c r="AS89" s="462"/>
      <c r="AT89" s="462"/>
      <c r="AU89" s="462"/>
      <c r="AV89" s="462"/>
      <c r="AW89" s="462"/>
      <c r="AX89" s="462"/>
      <c r="AY89" s="462"/>
    </row>
    <row r="90" spans="1:51" x14ac:dyDescent="0.45">
      <c r="A90" s="227"/>
      <c r="B90" s="651" t="s">
        <v>230</v>
      </c>
      <c r="C90" s="663">
        <v>0.03</v>
      </c>
      <c r="D90" s="1026" t="s">
        <v>22</v>
      </c>
      <c r="E90" s="1026"/>
      <c r="F90" s="1030">
        <v>0</v>
      </c>
      <c r="G90" s="232"/>
      <c r="H90" s="232"/>
      <c r="I90" s="232"/>
      <c r="J90" s="235"/>
      <c r="K90" s="235"/>
      <c r="L90" s="235"/>
      <c r="M90" s="230"/>
      <c r="N90" s="290"/>
      <c r="O90" s="290"/>
      <c r="P90" s="290"/>
      <c r="Q90" s="462"/>
      <c r="R90" s="462"/>
      <c r="S90" s="462"/>
      <c r="T90" s="462"/>
      <c r="U90" s="462"/>
      <c r="V90" s="462"/>
      <c r="W90" s="462"/>
      <c r="X90" s="462"/>
      <c r="Y90" s="462"/>
      <c r="Z90" s="462"/>
      <c r="AA90" s="462"/>
      <c r="AB90" s="462"/>
      <c r="AC90" s="462"/>
      <c r="AD90" s="462"/>
      <c r="AE90" s="462"/>
      <c r="AF90" s="462"/>
      <c r="AG90" s="462"/>
      <c r="AH90" s="462"/>
      <c r="AI90" s="462"/>
      <c r="AJ90" s="462"/>
      <c r="AK90" s="462"/>
      <c r="AL90" s="462"/>
      <c r="AM90" s="462"/>
      <c r="AN90" s="462"/>
      <c r="AO90" s="462"/>
      <c r="AP90" s="462"/>
      <c r="AQ90" s="462"/>
      <c r="AR90" s="462"/>
      <c r="AS90" s="462"/>
      <c r="AT90" s="462"/>
      <c r="AU90" s="462"/>
      <c r="AV90" s="462"/>
      <c r="AW90" s="462"/>
      <c r="AX90" s="462"/>
      <c r="AY90" s="462"/>
    </row>
    <row r="91" spans="1:51" x14ac:dyDescent="0.45">
      <c r="A91" s="227"/>
      <c r="B91" s="651"/>
      <c r="C91" s="663" t="s">
        <v>64</v>
      </c>
      <c r="D91" s="1027" t="s">
        <v>175</v>
      </c>
      <c r="E91" s="663"/>
      <c r="F91" s="663" t="s">
        <v>387</v>
      </c>
      <c r="G91" s="365"/>
      <c r="H91" s="365"/>
      <c r="I91" s="232"/>
      <c r="J91" s="235"/>
      <c r="K91" s="235"/>
      <c r="L91" s="235"/>
      <c r="M91" s="230"/>
      <c r="N91" s="290"/>
      <c r="O91" s="290"/>
      <c r="P91" s="290"/>
      <c r="Q91" s="462"/>
      <c r="R91" s="462"/>
      <c r="S91" s="462"/>
      <c r="T91" s="533"/>
      <c r="U91" s="462"/>
      <c r="V91" s="462"/>
      <c r="W91" s="333"/>
      <c r="X91" s="462"/>
      <c r="Y91" s="462"/>
      <c r="Z91" s="462"/>
      <c r="AA91" s="462"/>
      <c r="AB91" s="333"/>
      <c r="AC91" s="462"/>
      <c r="AD91" s="462"/>
      <c r="AE91" s="333"/>
      <c r="AF91" s="462"/>
      <c r="AG91" s="462"/>
      <c r="AH91" s="462"/>
      <c r="AI91" s="462"/>
      <c r="AJ91" s="462"/>
      <c r="AK91" s="462"/>
      <c r="AL91" s="462"/>
      <c r="AM91" s="462"/>
      <c r="AN91" s="462"/>
      <c r="AO91" s="462"/>
      <c r="AP91" s="462"/>
      <c r="AQ91" s="462"/>
      <c r="AR91" s="462"/>
      <c r="AS91" s="462"/>
      <c r="AT91" s="462"/>
      <c r="AU91" s="462"/>
      <c r="AV91" s="462"/>
      <c r="AW91" s="462"/>
      <c r="AX91" s="462"/>
      <c r="AY91" s="462"/>
    </row>
    <row r="92" spans="1:51" x14ac:dyDescent="0.45">
      <c r="A92" s="227"/>
      <c r="B92" s="651" t="s">
        <v>90</v>
      </c>
      <c r="C92" s="716">
        <f>IF(F90=1,F92,D82*C75*C89+E82*C79*C90)</f>
        <v>2643263.7000000002</v>
      </c>
      <c r="D92" s="1028">
        <f>C92/($C$74*1000000)</f>
        <v>5.3593519530765917E-3</v>
      </c>
      <c r="E92" s="663"/>
      <c r="F92" s="1031">
        <v>2643263.7000000002</v>
      </c>
      <c r="G92" s="232"/>
      <c r="H92" s="232"/>
      <c r="I92" s="232"/>
      <c r="J92" s="235"/>
      <c r="K92" s="235"/>
      <c r="L92" s="235"/>
      <c r="M92" s="230"/>
      <c r="N92" s="290"/>
      <c r="O92" s="290"/>
      <c r="P92" s="290"/>
      <c r="Q92" s="462"/>
      <c r="R92" s="462"/>
      <c r="S92" s="462"/>
      <c r="T92" s="533"/>
      <c r="U92" s="462"/>
      <c r="V92" s="462"/>
      <c r="W92" s="333"/>
      <c r="X92" s="462"/>
      <c r="Y92" s="462"/>
      <c r="Z92" s="462"/>
      <c r="AA92" s="230"/>
      <c r="AB92" s="462"/>
      <c r="AC92" s="462"/>
      <c r="AD92" s="462"/>
      <c r="AE92" s="333"/>
      <c r="AF92" s="462"/>
      <c r="AG92" s="462"/>
      <c r="AH92" s="462"/>
      <c r="AI92" s="462"/>
      <c r="AJ92" s="462"/>
      <c r="AK92" s="462"/>
      <c r="AL92" s="462"/>
      <c r="AM92" s="462"/>
      <c r="AN92" s="462"/>
      <c r="AO92" s="462"/>
      <c r="AP92" s="462"/>
      <c r="AQ92" s="462"/>
      <c r="AR92" s="230"/>
      <c r="AS92" s="462"/>
      <c r="AT92" s="462"/>
      <c r="AU92" s="462"/>
      <c r="AV92" s="462"/>
      <c r="AW92" s="462"/>
      <c r="AX92" s="462"/>
      <c r="AY92" s="462"/>
    </row>
    <row r="93" spans="1:51" x14ac:dyDescent="0.45">
      <c r="A93" s="227"/>
      <c r="B93" s="651" t="s">
        <v>30</v>
      </c>
      <c r="C93" s="716">
        <f>IF(F90=1,F93,D83*C76*C89+E83*C79*C90)</f>
        <v>3191027.4000000004</v>
      </c>
      <c r="D93" s="1028">
        <f>C93/($C$74*1000000)</f>
        <v>6.4699707897138371E-3</v>
      </c>
      <c r="E93" s="663"/>
      <c r="F93" s="1031">
        <v>3191027.4000000004</v>
      </c>
      <c r="G93" s="232"/>
      <c r="H93" s="232"/>
      <c r="I93" s="232"/>
      <c r="J93" s="235"/>
      <c r="K93" s="235"/>
      <c r="L93" s="235"/>
      <c r="M93" s="230"/>
      <c r="N93" s="290"/>
      <c r="O93" s="290"/>
      <c r="P93" s="290"/>
      <c r="Q93" s="462"/>
      <c r="R93" s="462"/>
      <c r="S93" s="462"/>
      <c r="T93" s="462"/>
      <c r="U93" s="462"/>
      <c r="V93" s="462"/>
      <c r="W93" s="333"/>
      <c r="X93" s="462"/>
      <c r="Y93" s="462"/>
      <c r="Z93" s="462"/>
      <c r="AA93" s="230"/>
      <c r="AB93" s="462"/>
      <c r="AC93" s="462"/>
      <c r="AD93" s="462"/>
      <c r="AE93" s="333"/>
      <c r="AF93" s="462"/>
      <c r="AG93" s="462"/>
      <c r="AH93" s="462"/>
      <c r="AI93" s="462"/>
      <c r="AJ93" s="462"/>
      <c r="AK93" s="462"/>
      <c r="AL93" s="462"/>
      <c r="AM93" s="462"/>
      <c r="AN93" s="462"/>
      <c r="AO93" s="462"/>
      <c r="AP93" s="462"/>
      <c r="AQ93" s="462"/>
      <c r="AR93" s="230"/>
      <c r="AS93" s="462"/>
      <c r="AT93" s="462"/>
      <c r="AU93" s="462"/>
      <c r="AV93" s="462"/>
      <c r="AW93" s="462"/>
      <c r="AX93" s="462"/>
      <c r="AY93" s="462"/>
    </row>
    <row r="94" spans="1:51" x14ac:dyDescent="0.45">
      <c r="A94" s="227"/>
      <c r="B94" s="651" t="s">
        <v>31</v>
      </c>
      <c r="C94" s="716">
        <f>IF(F90=1,F94,D84*C77*C89+E84*C79*C90)</f>
        <v>4517981.82</v>
      </c>
      <c r="D94" s="1028">
        <f>C94/($C$74*1000000)</f>
        <v>9.1604385483678892E-3</v>
      </c>
      <c r="E94" s="663"/>
      <c r="F94" s="1031">
        <v>4517981.82</v>
      </c>
      <c r="G94" s="232"/>
      <c r="H94" s="232"/>
      <c r="I94" s="232"/>
      <c r="J94" s="235"/>
      <c r="K94" s="235"/>
      <c r="L94" s="235"/>
      <c r="M94" s="230"/>
      <c r="N94" s="290"/>
      <c r="O94" s="290"/>
      <c r="P94" s="290"/>
      <c r="Q94" s="462"/>
      <c r="R94" s="462"/>
      <c r="S94" s="462"/>
      <c r="T94" s="462"/>
      <c r="U94" s="462"/>
      <c r="V94" s="462"/>
      <c r="W94" s="333"/>
      <c r="X94" s="462"/>
      <c r="Y94" s="462"/>
      <c r="Z94" s="462"/>
      <c r="AA94" s="230"/>
      <c r="AB94" s="462"/>
      <c r="AC94" s="462"/>
      <c r="AD94" s="462"/>
      <c r="AE94" s="333"/>
      <c r="AF94" s="462"/>
      <c r="AG94" s="462"/>
      <c r="AH94" s="462"/>
      <c r="AI94" s="462"/>
      <c r="AJ94" s="462"/>
      <c r="AK94" s="462"/>
      <c r="AL94" s="462"/>
      <c r="AM94" s="462"/>
      <c r="AN94" s="462"/>
      <c r="AO94" s="462"/>
      <c r="AP94" s="462"/>
      <c r="AQ94" s="462"/>
      <c r="AR94" s="462"/>
      <c r="AS94" s="462"/>
      <c r="AT94" s="462"/>
      <c r="AU94" s="462"/>
      <c r="AV94" s="462"/>
      <c r="AW94" s="462"/>
      <c r="AX94" s="462"/>
      <c r="AY94" s="462"/>
    </row>
    <row r="95" spans="1:51" x14ac:dyDescent="0.45">
      <c r="A95" s="227"/>
      <c r="B95" s="651" t="s">
        <v>32</v>
      </c>
      <c r="C95" s="716">
        <f>IF(F90=1,F95,D85*C78*C89+E85*C79*C90)</f>
        <v>1934984.7000000002</v>
      </c>
      <c r="D95" s="1028">
        <f>C95/($C$74*1000000)</f>
        <v>3.9232801597200925E-3</v>
      </c>
      <c r="E95" s="663"/>
      <c r="F95" s="1031">
        <v>1934984.7000000002</v>
      </c>
      <c r="G95" s="232"/>
      <c r="H95" s="232"/>
      <c r="I95" s="304"/>
      <c r="J95" s="235"/>
      <c r="K95" s="235"/>
      <c r="L95" s="235"/>
      <c r="M95" s="230"/>
      <c r="N95" s="290"/>
      <c r="O95" s="290"/>
      <c r="P95" s="290"/>
      <c r="Q95" s="462"/>
      <c r="R95" s="462"/>
      <c r="S95" s="462"/>
      <c r="T95" s="462"/>
      <c r="U95" s="462"/>
      <c r="V95" s="462"/>
      <c r="W95" s="333"/>
      <c r="X95" s="462"/>
      <c r="Y95" s="462"/>
      <c r="Z95" s="462"/>
      <c r="AA95" s="230"/>
      <c r="AB95" s="462"/>
      <c r="AC95" s="462"/>
      <c r="AD95" s="462"/>
      <c r="AE95" s="333"/>
      <c r="AF95" s="462"/>
      <c r="AG95" s="462"/>
      <c r="AH95" s="462"/>
      <c r="AI95" s="462"/>
      <c r="AJ95" s="462"/>
      <c r="AK95" s="462"/>
      <c r="AL95" s="462"/>
      <c r="AM95" s="462"/>
      <c r="AN95" s="462"/>
      <c r="AO95" s="462"/>
      <c r="AP95" s="462"/>
      <c r="AQ95" s="462"/>
      <c r="AR95" s="462"/>
      <c r="AS95" s="462"/>
      <c r="AT95" s="462"/>
      <c r="AU95" s="462"/>
      <c r="AV95" s="462"/>
      <c r="AW95" s="462"/>
      <c r="AX95" s="462"/>
      <c r="AY95" s="462"/>
    </row>
    <row r="96" spans="1:51" s="458" customFormat="1" x14ac:dyDescent="0.45">
      <c r="A96" s="459"/>
      <c r="B96" s="717"/>
      <c r="C96" s="718" t="s">
        <v>176</v>
      </c>
      <c r="D96" s="1029">
        <f>SUM(D92:D95)</f>
        <v>2.4913041450878411E-2</v>
      </c>
      <c r="E96" s="1032"/>
      <c r="F96" s="1033"/>
      <c r="G96" s="460"/>
      <c r="H96" s="460"/>
      <c r="I96" s="304"/>
      <c r="J96" s="462"/>
      <c r="K96" s="462"/>
      <c r="L96" s="462"/>
      <c r="M96" s="230"/>
      <c r="N96" s="290"/>
      <c r="O96" s="290"/>
      <c r="P96" s="290"/>
      <c r="Q96" s="462"/>
      <c r="R96" s="462"/>
      <c r="S96" s="462"/>
      <c r="T96" s="462"/>
      <c r="U96" s="462"/>
      <c r="V96" s="462"/>
      <c r="W96" s="333"/>
      <c r="X96" s="462"/>
      <c r="Y96" s="462"/>
      <c r="Z96" s="462"/>
      <c r="AA96" s="230"/>
      <c r="AB96" s="462"/>
      <c r="AC96" s="462"/>
      <c r="AD96" s="462"/>
      <c r="AE96" s="333"/>
      <c r="AF96" s="462"/>
      <c r="AG96" s="462"/>
      <c r="AH96" s="462"/>
      <c r="AI96" s="462"/>
      <c r="AJ96" s="462"/>
      <c r="AK96" s="462"/>
      <c r="AL96" s="462"/>
      <c r="AM96" s="462"/>
      <c r="AN96" s="462"/>
      <c r="AO96" s="462"/>
      <c r="AP96" s="462"/>
      <c r="AQ96" s="462"/>
      <c r="AR96" s="462"/>
      <c r="AS96" s="462"/>
      <c r="AT96" s="462"/>
      <c r="AU96" s="462"/>
      <c r="AV96" s="462"/>
      <c r="AW96" s="462"/>
      <c r="AX96" s="462"/>
      <c r="AY96" s="462"/>
    </row>
    <row r="97" spans="1:51" s="458" customFormat="1" x14ac:dyDescent="0.45">
      <c r="A97" s="459"/>
      <c r="B97" s="460"/>
      <c r="C97" s="460"/>
      <c r="D97" s="460"/>
      <c r="E97" s="460"/>
      <c r="F97" s="460"/>
      <c r="G97" s="460"/>
      <c r="H97" s="460"/>
      <c r="I97" s="304"/>
      <c r="J97" s="462"/>
      <c r="K97" s="462"/>
      <c r="L97" s="462"/>
      <c r="M97" s="230"/>
      <c r="N97" s="290"/>
      <c r="O97" s="290"/>
      <c r="P97" s="290"/>
      <c r="Q97" s="462"/>
      <c r="R97" s="462"/>
      <c r="S97" s="462"/>
      <c r="T97" s="462"/>
      <c r="U97" s="462"/>
      <c r="V97" s="462"/>
      <c r="W97" s="333"/>
      <c r="X97" s="462"/>
      <c r="Y97" s="462"/>
      <c r="Z97" s="462"/>
      <c r="AA97" s="230"/>
      <c r="AB97" s="462"/>
      <c r="AC97" s="462"/>
      <c r="AD97" s="462"/>
      <c r="AE97" s="333"/>
      <c r="AF97" s="462"/>
      <c r="AG97" s="462"/>
      <c r="AH97" s="462"/>
      <c r="AI97" s="462"/>
      <c r="AJ97" s="462"/>
      <c r="AK97" s="462"/>
      <c r="AL97" s="462"/>
      <c r="AM97" s="462"/>
      <c r="AN97" s="462"/>
      <c r="AO97" s="462"/>
      <c r="AP97" s="462"/>
      <c r="AQ97" s="462"/>
      <c r="AR97" s="462"/>
      <c r="AS97" s="462"/>
      <c r="AT97" s="462"/>
      <c r="AU97" s="462"/>
      <c r="AV97" s="462"/>
      <c r="AW97" s="462"/>
      <c r="AX97" s="462"/>
      <c r="AY97" s="462"/>
    </row>
    <row r="98" spans="1:51" x14ac:dyDescent="0.45">
      <c r="A98" s="227"/>
      <c r="B98" s="470" t="s">
        <v>25</v>
      </c>
      <c r="C98" s="471"/>
      <c r="D98" s="488"/>
      <c r="E98" s="488"/>
      <c r="F98" s="488"/>
      <c r="G98" s="494"/>
      <c r="H98" s="488"/>
      <c r="I98" s="472"/>
      <c r="Q98" s="462"/>
      <c r="R98" s="462"/>
      <c r="S98" s="462"/>
      <c r="T98" s="462"/>
      <c r="U98" s="462"/>
      <c r="V98" s="462"/>
      <c r="W98" s="333"/>
      <c r="X98" s="462"/>
      <c r="Y98" s="462"/>
      <c r="Z98" s="462"/>
      <c r="AA98" s="230"/>
      <c r="AB98" s="462"/>
      <c r="AC98" s="462"/>
      <c r="AD98" s="462"/>
      <c r="AE98" s="333"/>
      <c r="AF98" s="462"/>
      <c r="AG98" s="462"/>
      <c r="AH98" s="462"/>
      <c r="AI98" s="462"/>
      <c r="AJ98" s="462"/>
      <c r="AK98" s="462"/>
      <c r="AL98" s="462"/>
      <c r="AM98" s="462"/>
      <c r="AN98" s="462"/>
      <c r="AO98" s="462"/>
      <c r="AP98" s="462"/>
      <c r="AQ98" s="462"/>
      <c r="AR98" s="462"/>
      <c r="AS98" s="462"/>
      <c r="AT98" s="462"/>
      <c r="AU98" s="462"/>
      <c r="AV98" s="462"/>
      <c r="AW98" s="462"/>
      <c r="AX98" s="462"/>
      <c r="AY98" s="462"/>
    </row>
    <row r="99" spans="1:51" x14ac:dyDescent="0.45">
      <c r="A99" s="227"/>
      <c r="B99" s="467"/>
      <c r="C99" s="704" t="s">
        <v>210</v>
      </c>
      <c r="D99" s="466" t="s">
        <v>194</v>
      </c>
      <c r="E99" s="466" t="s">
        <v>195</v>
      </c>
      <c r="F99" s="586" t="s">
        <v>327</v>
      </c>
      <c r="G99" s="495" t="s">
        <v>200</v>
      </c>
      <c r="H99" s="466" t="s">
        <v>201</v>
      </c>
      <c r="I99" s="469" t="s">
        <v>202</v>
      </c>
      <c r="Q99" s="462"/>
      <c r="R99" s="462"/>
      <c r="S99" s="462"/>
      <c r="T99" s="230"/>
      <c r="U99" s="462"/>
      <c r="V99" s="462"/>
      <c r="W99" s="333"/>
      <c r="X99" s="462"/>
      <c r="Y99" s="462"/>
      <c r="Z99" s="462"/>
      <c r="AA99" s="230"/>
      <c r="AB99" s="462"/>
      <c r="AC99" s="462"/>
      <c r="AD99" s="462"/>
      <c r="AE99" s="333"/>
      <c r="AF99" s="462"/>
      <c r="AG99" s="462"/>
      <c r="AH99" s="462"/>
      <c r="AI99" s="462"/>
      <c r="AJ99" s="462"/>
      <c r="AK99" s="462"/>
      <c r="AL99" s="462"/>
      <c r="AM99" s="462"/>
      <c r="AN99" s="462"/>
      <c r="AO99" s="462"/>
      <c r="AP99" s="462"/>
      <c r="AQ99" s="462"/>
      <c r="AR99" s="462"/>
      <c r="AS99" s="462"/>
      <c r="AT99" s="462"/>
      <c r="AU99" s="462"/>
      <c r="AV99" s="462"/>
      <c r="AW99" s="462"/>
      <c r="AX99" s="462"/>
      <c r="AY99" s="462"/>
    </row>
    <row r="100" spans="1:51" x14ac:dyDescent="0.45">
      <c r="A100" s="227"/>
      <c r="B100" s="467" t="s">
        <v>90</v>
      </c>
      <c r="C100" s="477">
        <f>70/1.35</f>
        <v>51.851851851851848</v>
      </c>
      <c r="D100" s="532">
        <f>16/1.35</f>
        <v>11.851851851851851</v>
      </c>
      <c r="E100" s="532">
        <f>0.05*(C100+D100)</f>
        <v>3.1851851851851851</v>
      </c>
      <c r="F100" s="477">
        <f>C100*$C$12*$C$15+D100*$C$13*$C$15+E100*$C$14*$C$15</f>
        <v>1434.9465370370367</v>
      </c>
      <c r="G100" s="475">
        <f>F100/$C$73</f>
        <v>2.5486583002017626E-2</v>
      </c>
      <c r="H100" s="468">
        <f>SUM(C100:E100)/$C$74</f>
        <v>0.13562063342593844</v>
      </c>
      <c r="I100" s="496">
        <f>SUM(C100:E100)*4/$C$74</f>
        <v>0.54248253370375377</v>
      </c>
      <c r="Q100" s="462"/>
      <c r="R100" s="462"/>
      <c r="S100" s="462"/>
      <c r="T100" s="462"/>
      <c r="U100" s="462"/>
      <c r="V100" s="462"/>
      <c r="W100" s="333"/>
      <c r="X100" s="462"/>
      <c r="Y100" s="462"/>
      <c r="Z100" s="462"/>
      <c r="AA100" s="230"/>
      <c r="AB100" s="462"/>
      <c r="AC100" s="462"/>
      <c r="AD100" s="462"/>
      <c r="AE100" s="333"/>
      <c r="AF100" s="462"/>
      <c r="AG100" s="462"/>
      <c r="AH100" s="462"/>
      <c r="AI100" s="462"/>
      <c r="AJ100" s="462"/>
      <c r="AK100" s="462"/>
      <c r="AL100" s="462"/>
      <c r="AM100" s="462"/>
      <c r="AN100" s="462"/>
      <c r="AO100" s="462"/>
      <c r="AP100" s="462"/>
      <c r="AQ100" s="462"/>
      <c r="AR100" s="462"/>
      <c r="AS100" s="462"/>
      <c r="AT100" s="462"/>
      <c r="AU100" s="462"/>
      <c r="AV100" s="462"/>
      <c r="AW100" s="462"/>
      <c r="AX100" s="462"/>
      <c r="AY100" s="462"/>
    </row>
    <row r="101" spans="1:51" x14ac:dyDescent="0.45">
      <c r="A101" s="227"/>
      <c r="B101" s="467" t="s">
        <v>30</v>
      </c>
      <c r="C101" s="477">
        <f>39/1.32</f>
        <v>29.545454545454543</v>
      </c>
      <c r="D101" s="532">
        <f>8/1.32</f>
        <v>6.0606060606060606</v>
      </c>
      <c r="E101" s="532">
        <f>0.05*(C101+D101)</f>
        <v>1.7803030303030303</v>
      </c>
      <c r="F101" s="477">
        <f>C101*$C$12*$C$15+D101*$C$13*$C$15+E101*$C$14*$C$15</f>
        <v>797.47383522727262</v>
      </c>
      <c r="G101" s="475">
        <f>F101/$C$73</f>
        <v>1.4164209305961493E-2</v>
      </c>
      <c r="H101" s="468">
        <f>SUM(C101:E101)/$C$74</f>
        <v>7.5802758904825532E-2</v>
      </c>
      <c r="I101" s="496">
        <f>SUM(C101:E101)*4/$C$74</f>
        <v>0.30321103561930213</v>
      </c>
      <c r="Q101" s="462"/>
      <c r="R101" s="462"/>
      <c r="S101" s="462"/>
      <c r="T101" s="230"/>
      <c r="U101" s="462"/>
      <c r="V101" s="462"/>
      <c r="W101" s="333"/>
      <c r="X101" s="462"/>
      <c r="Y101" s="462"/>
      <c r="Z101" s="462"/>
      <c r="AA101" s="230"/>
      <c r="AB101" s="462"/>
      <c r="AC101" s="462"/>
      <c r="AD101" s="462"/>
      <c r="AE101" s="333"/>
      <c r="AF101" s="462"/>
      <c r="AG101" s="462"/>
      <c r="AH101" s="462"/>
      <c r="AI101" s="462"/>
      <c r="AJ101" s="462"/>
      <c r="AK101" s="462"/>
      <c r="AL101" s="462"/>
      <c r="AM101" s="462"/>
      <c r="AN101" s="462"/>
      <c r="AO101" s="462"/>
      <c r="AP101" s="462"/>
      <c r="AQ101" s="462"/>
      <c r="AR101" s="462"/>
      <c r="AS101" s="462"/>
      <c r="AT101" s="462"/>
      <c r="AU101" s="462"/>
      <c r="AV101" s="462"/>
      <c r="AW101" s="462"/>
      <c r="AX101" s="462"/>
      <c r="AY101" s="462"/>
    </row>
    <row r="102" spans="1:51" x14ac:dyDescent="0.45">
      <c r="A102" s="227"/>
      <c r="B102" s="467" t="s">
        <v>31</v>
      </c>
      <c r="C102" s="477">
        <f>62/2/1.48</f>
        <v>20.945945945945947</v>
      </c>
      <c r="D102" s="532">
        <f>16/1.48</f>
        <v>10.810810810810811</v>
      </c>
      <c r="E102" s="532">
        <f>0.05*(C102+D102)</f>
        <v>1.5878378378378379</v>
      </c>
      <c r="F102" s="477">
        <f>C102*$C$12*$C$15+D102*$C$13*$C$15+E102*$C$14*$C$15</f>
        <v>755.02125844594593</v>
      </c>
      <c r="G102" s="475">
        <f>F102/$C$73</f>
        <v>1.3410194369613462E-2</v>
      </c>
      <c r="H102" s="468">
        <f>SUM(C102:E102)/$C$74</f>
        <v>6.7607866050249807E-2</v>
      </c>
      <c r="I102" s="496">
        <f>SUM(C102:E102)*4/$C$74</f>
        <v>0.27043146420099923</v>
      </c>
      <c r="Q102" s="462"/>
      <c r="R102" s="462"/>
      <c r="S102" s="462"/>
      <c r="T102" s="230"/>
      <c r="U102" s="462"/>
      <c r="V102" s="462"/>
      <c r="W102" s="462"/>
      <c r="X102" s="462"/>
      <c r="Y102" s="462"/>
      <c r="Z102" s="462"/>
      <c r="AA102" s="230"/>
      <c r="AB102" s="462"/>
      <c r="AC102" s="462"/>
      <c r="AD102" s="462"/>
      <c r="AE102" s="333"/>
      <c r="AF102" s="462"/>
      <c r="AG102" s="462"/>
      <c r="AH102" s="462"/>
      <c r="AI102" s="462"/>
      <c r="AJ102" s="462"/>
      <c r="AK102" s="462"/>
      <c r="AL102" s="462"/>
      <c r="AM102" s="462"/>
      <c r="AN102" s="462"/>
      <c r="AO102" s="462"/>
      <c r="AP102" s="462"/>
      <c r="AQ102" s="462"/>
      <c r="AR102" s="462"/>
      <c r="AS102" s="462"/>
      <c r="AT102" s="462"/>
      <c r="AU102" s="462"/>
      <c r="AV102" s="462"/>
      <c r="AW102" s="462"/>
      <c r="AX102" s="462"/>
      <c r="AY102" s="462"/>
    </row>
    <row r="103" spans="1:51" x14ac:dyDescent="0.45">
      <c r="A103" s="227"/>
      <c r="B103" s="467" t="s">
        <v>32</v>
      </c>
      <c r="C103" s="477">
        <f>58/2/1.65</f>
        <v>17.575757575757578</v>
      </c>
      <c r="D103" s="532">
        <f>16/1.65</f>
        <v>9.6969696969696972</v>
      </c>
      <c r="E103" s="532">
        <f>0.05*(C103+D103)</f>
        <v>1.3636363636363638</v>
      </c>
      <c r="F103" s="477">
        <f>C103*$C$12*$C$15+D103*$C$13*$C$15+E103*$C$14*$C$15</f>
        <v>651.75344696969694</v>
      </c>
      <c r="G103" s="475">
        <f>F103/$C$73</f>
        <v>1.1576018962590476E-2</v>
      </c>
      <c r="H103" s="468">
        <f>SUM(C103:E103)/$C$74</f>
        <v>5.8061687671781263E-2</v>
      </c>
      <c r="I103" s="496">
        <f>SUM(C103:E103)*4/$C$74</f>
        <v>0.23224675068712505</v>
      </c>
      <c r="Q103" s="462"/>
      <c r="R103" s="462"/>
      <c r="S103" s="462"/>
      <c r="T103" s="230"/>
      <c r="U103" s="462"/>
      <c r="V103" s="462"/>
      <c r="W103" s="462"/>
      <c r="X103" s="462"/>
      <c r="Y103" s="462"/>
      <c r="Z103" s="462"/>
      <c r="AA103" s="462"/>
      <c r="AB103" s="462"/>
      <c r="AC103" s="462"/>
      <c r="AD103" s="462"/>
      <c r="AE103" s="333"/>
      <c r="AF103" s="462"/>
      <c r="AG103" s="462"/>
      <c r="AH103" s="462"/>
      <c r="AI103" s="462"/>
      <c r="AJ103" s="462"/>
      <c r="AK103" s="462"/>
      <c r="AL103" s="462"/>
      <c r="AM103" s="462"/>
      <c r="AN103" s="462"/>
      <c r="AO103" s="462"/>
      <c r="AP103" s="462"/>
      <c r="AQ103" s="462"/>
      <c r="AR103" s="462"/>
      <c r="AS103" s="462"/>
      <c r="AT103" s="462"/>
      <c r="AU103" s="462"/>
      <c r="AV103" s="462"/>
      <c r="AW103" s="462"/>
      <c r="AX103" s="462"/>
      <c r="AY103" s="462"/>
    </row>
    <row r="104" spans="1:51" x14ac:dyDescent="0.45">
      <c r="A104" s="227"/>
      <c r="B104" s="489" t="s">
        <v>3</v>
      </c>
      <c r="C104" s="490">
        <f>SUM(C100:C103)</f>
        <v>119.91900991900992</v>
      </c>
      <c r="D104" s="490">
        <f t="shared" ref="D104:I104" si="3">SUM(D100:D103)</f>
        <v>38.42023842023842</v>
      </c>
      <c r="E104" s="490">
        <f t="shared" si="3"/>
        <v>7.9169624169624164</v>
      </c>
      <c r="F104" s="491">
        <f t="shared" si="3"/>
        <v>3639.1950776799522</v>
      </c>
      <c r="G104" s="476">
        <f>SUM(G100:G103)</f>
        <v>6.4637005640183057E-2</v>
      </c>
      <c r="H104" s="492">
        <f t="shared" si="3"/>
        <v>0.33709294605279505</v>
      </c>
      <c r="I104" s="493">
        <f t="shared" si="3"/>
        <v>1.3483717842111802</v>
      </c>
      <c r="Q104" s="462"/>
      <c r="R104" s="462"/>
      <c r="S104" s="462"/>
      <c r="T104" s="230"/>
      <c r="U104" s="462"/>
      <c r="V104" s="462"/>
      <c r="W104" s="462"/>
      <c r="X104" s="462"/>
      <c r="Y104" s="462"/>
      <c r="Z104" s="462"/>
      <c r="AA104" s="462"/>
      <c r="AB104" s="462"/>
      <c r="AC104" s="462"/>
      <c r="AD104" s="462"/>
      <c r="AE104" s="333"/>
      <c r="AF104" s="462"/>
      <c r="AG104" s="462"/>
      <c r="AH104" s="462"/>
      <c r="AI104" s="462"/>
      <c r="AJ104" s="462"/>
      <c r="AK104" s="462"/>
      <c r="AL104" s="462"/>
      <c r="AM104" s="462"/>
      <c r="AN104" s="462"/>
      <c r="AO104" s="462"/>
      <c r="AP104" s="462"/>
      <c r="AQ104" s="462"/>
      <c r="AR104" s="462"/>
      <c r="AS104" s="462"/>
      <c r="AT104" s="462"/>
      <c r="AU104" s="462"/>
      <c r="AV104" s="462"/>
      <c r="AW104" s="462"/>
      <c r="AX104" s="462"/>
      <c r="AY104" s="462"/>
    </row>
    <row r="105" spans="1:51" x14ac:dyDescent="0.45">
      <c r="A105" s="227"/>
      <c r="Q105" s="462"/>
      <c r="R105" s="462"/>
      <c r="S105" s="462"/>
      <c r="T105" s="230"/>
      <c r="U105" s="462"/>
      <c r="V105" s="462"/>
      <c r="W105" s="462"/>
      <c r="X105" s="462"/>
      <c r="Y105" s="462"/>
      <c r="Z105" s="462"/>
      <c r="AA105" s="462"/>
      <c r="AB105" s="462"/>
      <c r="AC105" s="462"/>
      <c r="AD105" s="462"/>
      <c r="AE105" s="333"/>
      <c r="AF105" s="462"/>
      <c r="AG105" s="462"/>
      <c r="AH105" s="462"/>
      <c r="AI105" s="462"/>
      <c r="AJ105" s="462"/>
      <c r="AK105" s="462"/>
      <c r="AL105" s="462"/>
      <c r="AM105" s="462"/>
      <c r="AN105" s="462"/>
      <c r="AO105" s="462"/>
      <c r="AP105" s="462"/>
      <c r="AQ105" s="462"/>
      <c r="AR105" s="462"/>
      <c r="AS105" s="462"/>
      <c r="AT105" s="462"/>
      <c r="AU105" s="462"/>
      <c r="AV105" s="462"/>
      <c r="AW105" s="462"/>
      <c r="AX105" s="462"/>
      <c r="AY105" s="462"/>
    </row>
    <row r="106" spans="1:51" s="458" customFormat="1" x14ac:dyDescent="0.45">
      <c r="A106" s="459"/>
      <c r="B106" s="498" t="s">
        <v>207</v>
      </c>
      <c r="C106" s="499"/>
      <c r="D106" s="500"/>
      <c r="Q106" s="462"/>
      <c r="R106" s="462"/>
      <c r="S106" s="394"/>
      <c r="T106" s="374"/>
      <c r="U106" s="394"/>
      <c r="V106" s="394"/>
      <c r="W106" s="394"/>
      <c r="X106" s="394"/>
      <c r="Y106" s="394"/>
      <c r="Z106" s="394"/>
      <c r="AA106" s="394"/>
      <c r="AB106" s="394"/>
      <c r="AC106" s="394"/>
      <c r="AD106" s="394"/>
      <c r="AE106" s="394"/>
      <c r="AF106" s="394"/>
      <c r="AG106" s="394"/>
      <c r="AH106" s="394"/>
      <c r="AI106" s="462"/>
      <c r="AJ106" s="462"/>
      <c r="AK106" s="462"/>
      <c r="AL106" s="462"/>
      <c r="AM106" s="462"/>
      <c r="AN106" s="462"/>
      <c r="AO106" s="462"/>
      <c r="AP106" s="462"/>
      <c r="AQ106" s="462"/>
      <c r="AR106" s="462"/>
      <c r="AS106" s="462"/>
      <c r="AT106" s="462"/>
      <c r="AU106" s="462"/>
      <c r="AV106" s="462"/>
      <c r="AW106" s="462"/>
      <c r="AX106" s="462"/>
      <c r="AY106" s="462"/>
    </row>
    <row r="107" spans="1:51" s="458" customFormat="1" x14ac:dyDescent="0.45">
      <c r="A107" s="459"/>
      <c r="B107" s="285" t="s">
        <v>204</v>
      </c>
      <c r="C107" s="497">
        <v>1000</v>
      </c>
      <c r="D107" s="342" t="s">
        <v>205</v>
      </c>
      <c r="Q107" s="462"/>
      <c r="R107" s="462"/>
      <c r="S107" s="462"/>
      <c r="T107" s="462"/>
      <c r="U107" s="462"/>
      <c r="V107" s="462"/>
      <c r="W107" s="462"/>
      <c r="X107" s="462"/>
      <c r="Y107" s="462"/>
      <c r="Z107" s="462"/>
      <c r="AA107" s="462"/>
      <c r="AB107" s="462"/>
      <c r="AC107" s="462"/>
      <c r="AD107" s="462"/>
      <c r="AE107" s="462"/>
      <c r="AF107" s="462"/>
      <c r="AG107" s="462"/>
      <c r="AH107" s="462"/>
      <c r="AI107" s="462"/>
      <c r="AJ107" s="462"/>
      <c r="AK107" s="462"/>
      <c r="AL107" s="462"/>
      <c r="AM107" s="462"/>
      <c r="AN107" s="462"/>
      <c r="AO107" s="462"/>
      <c r="AP107" s="462"/>
      <c r="AQ107" s="462"/>
      <c r="AR107" s="462"/>
      <c r="AS107" s="462"/>
      <c r="AT107" s="462"/>
      <c r="AU107" s="462"/>
      <c r="AV107" s="462"/>
      <c r="AW107" s="462"/>
      <c r="AX107" s="462"/>
      <c r="AY107" s="462"/>
    </row>
    <row r="108" spans="1:51" s="458" customFormat="1" x14ac:dyDescent="0.45">
      <c r="A108" s="459"/>
      <c r="B108" s="285" t="s">
        <v>206</v>
      </c>
      <c r="C108" s="370">
        <f>0.7143*C107+953.57</f>
        <v>1667.8700000000001</v>
      </c>
      <c r="D108" s="683" t="s">
        <v>259</v>
      </c>
      <c r="Q108" s="462"/>
      <c r="R108" s="462"/>
      <c r="S108" s="462"/>
      <c r="T108" s="462"/>
      <c r="U108" s="462"/>
      <c r="V108" s="462"/>
      <c r="W108" s="462"/>
      <c r="X108" s="462"/>
      <c r="Y108" s="462"/>
      <c r="Z108" s="462"/>
      <c r="AA108" s="462"/>
      <c r="AB108" s="462"/>
      <c r="AC108" s="462"/>
      <c r="AD108" s="462"/>
      <c r="AE108" s="462"/>
      <c r="AF108" s="462"/>
      <c r="AG108" s="462"/>
      <c r="AH108" s="462"/>
      <c r="AI108" s="462"/>
      <c r="AJ108" s="462"/>
      <c r="AK108" s="462"/>
      <c r="AL108" s="462"/>
      <c r="AM108" s="462"/>
      <c r="AN108" s="462"/>
      <c r="AO108" s="462"/>
      <c r="AP108" s="462"/>
      <c r="AQ108" s="462"/>
      <c r="AR108" s="462"/>
      <c r="AS108" s="462"/>
      <c r="AT108" s="462"/>
      <c r="AU108" s="462"/>
      <c r="AV108" s="462"/>
      <c r="AW108" s="462"/>
      <c r="AX108" s="462"/>
      <c r="AY108" s="462"/>
    </row>
    <row r="109" spans="1:51" s="458" customFormat="1" x14ac:dyDescent="0.45">
      <c r="A109" s="459"/>
      <c r="B109" s="672" t="s">
        <v>347</v>
      </c>
      <c r="C109" s="929">
        <f>C108/C107*C25/1000</f>
        <v>4.3631973083219618E-3</v>
      </c>
      <c r="D109" s="932" t="s">
        <v>138</v>
      </c>
      <c r="Q109" s="462"/>
      <c r="R109" s="462"/>
      <c r="S109" s="462"/>
      <c r="T109" s="462"/>
      <c r="U109" s="462"/>
      <c r="V109" s="462"/>
      <c r="W109" s="462"/>
      <c r="X109" s="462"/>
      <c r="Y109" s="462"/>
      <c r="Z109" s="462"/>
      <c r="AA109" s="462"/>
      <c r="AB109" s="462"/>
      <c r="AC109" s="462"/>
      <c r="AD109" s="462"/>
      <c r="AE109" s="462"/>
      <c r="AF109" s="462"/>
      <c r="AG109" s="462"/>
      <c r="AH109" s="462"/>
      <c r="AI109" s="462"/>
      <c r="AJ109" s="462"/>
      <c r="AK109" s="462"/>
      <c r="AL109" s="462"/>
      <c r="AM109" s="462"/>
      <c r="AN109" s="462"/>
      <c r="AO109" s="462"/>
      <c r="AP109" s="462"/>
      <c r="AQ109" s="462"/>
      <c r="AR109" s="462"/>
      <c r="AS109" s="462"/>
      <c r="AT109" s="462"/>
      <c r="AU109" s="462"/>
      <c r="AV109" s="462"/>
      <c r="AW109" s="462"/>
      <c r="AX109" s="462"/>
      <c r="AY109" s="462"/>
    </row>
    <row r="110" spans="1:51" s="540" customFormat="1" x14ac:dyDescent="0.45">
      <c r="A110" s="545"/>
      <c r="B110" s="672" t="s">
        <v>339</v>
      </c>
      <c r="C110" s="669">
        <f>$C$148*$C$149*$C$150</f>
        <v>0.96042374999999991</v>
      </c>
      <c r="D110" s="683" t="s">
        <v>22</v>
      </c>
      <c r="Q110" s="553"/>
      <c r="R110" s="553"/>
      <c r="S110" s="553"/>
      <c r="T110" s="553"/>
      <c r="U110" s="553"/>
      <c r="V110" s="553"/>
      <c r="W110" s="553"/>
      <c r="X110" s="553"/>
      <c r="Y110" s="553"/>
      <c r="Z110" s="553"/>
      <c r="AA110" s="553"/>
      <c r="AB110" s="553"/>
      <c r="AC110" s="553"/>
      <c r="AD110" s="553"/>
      <c r="AE110" s="553"/>
      <c r="AF110" s="553"/>
      <c r="AG110" s="553"/>
      <c r="AH110" s="553"/>
      <c r="AI110" s="553"/>
      <c r="AJ110" s="553"/>
      <c r="AK110" s="553"/>
      <c r="AL110" s="553"/>
      <c r="AM110" s="553"/>
      <c r="AN110" s="553"/>
      <c r="AO110" s="553"/>
      <c r="AP110" s="553"/>
      <c r="AQ110" s="553"/>
      <c r="AR110" s="553"/>
      <c r="AS110" s="553"/>
      <c r="AT110" s="553"/>
      <c r="AU110" s="553"/>
      <c r="AV110" s="553"/>
      <c r="AW110" s="553"/>
      <c r="AX110" s="553"/>
      <c r="AY110" s="553"/>
    </row>
    <row r="111" spans="1:51" s="540" customFormat="1" x14ac:dyDescent="0.45">
      <c r="A111" s="545"/>
      <c r="B111" s="925" t="s">
        <v>206</v>
      </c>
      <c r="C111" s="503">
        <f>C109/C110</f>
        <v>4.542991891154256E-3</v>
      </c>
      <c r="D111" s="738" t="s">
        <v>138</v>
      </c>
      <c r="Q111" s="553"/>
      <c r="R111" s="553"/>
      <c r="S111" s="553"/>
      <c r="T111" s="553"/>
      <c r="U111" s="553"/>
      <c r="V111" s="553"/>
      <c r="W111" s="553"/>
      <c r="X111" s="553"/>
      <c r="Y111" s="553"/>
      <c r="Z111" s="553"/>
      <c r="AA111" s="553"/>
      <c r="AB111" s="553"/>
      <c r="AC111" s="553"/>
      <c r="AD111" s="553"/>
      <c r="AE111" s="553"/>
      <c r="AF111" s="553"/>
      <c r="AG111" s="553"/>
      <c r="AH111" s="553"/>
      <c r="AI111" s="553"/>
      <c r="AJ111" s="553"/>
      <c r="AK111" s="553"/>
      <c r="AL111" s="553"/>
      <c r="AM111" s="553"/>
      <c r="AN111" s="553"/>
      <c r="AO111" s="553"/>
      <c r="AP111" s="553"/>
      <c r="AQ111" s="553"/>
      <c r="AR111" s="553"/>
      <c r="AS111" s="553"/>
      <c r="AT111" s="553"/>
      <c r="AU111" s="553"/>
      <c r="AV111" s="553"/>
      <c r="AW111" s="553"/>
      <c r="AX111" s="553"/>
      <c r="AY111" s="553"/>
    </row>
    <row r="112" spans="1:51" s="458" customFormat="1" x14ac:dyDescent="0.45">
      <c r="A112" s="459"/>
      <c r="Q112" s="462"/>
      <c r="R112" s="462"/>
      <c r="S112" s="462"/>
      <c r="T112" s="462"/>
      <c r="U112" s="462"/>
      <c r="V112" s="462"/>
      <c r="W112" s="462"/>
      <c r="X112" s="462"/>
      <c r="Y112" s="462"/>
      <c r="Z112" s="462"/>
      <c r="AA112" s="462"/>
      <c r="AB112" s="462"/>
      <c r="AC112" s="462"/>
      <c r="AD112" s="462"/>
      <c r="AE112" s="462"/>
      <c r="AF112" s="462"/>
      <c r="AG112" s="462"/>
      <c r="AH112" s="462"/>
      <c r="AI112" s="462"/>
      <c r="AJ112" s="462"/>
      <c r="AK112" s="462"/>
      <c r="AL112" s="462"/>
      <c r="AM112" s="462"/>
      <c r="AN112" s="462"/>
      <c r="AO112" s="462"/>
      <c r="AP112" s="462"/>
      <c r="AQ112" s="462"/>
      <c r="AR112" s="462"/>
      <c r="AS112" s="462"/>
      <c r="AT112" s="462"/>
      <c r="AU112" s="462"/>
      <c r="AV112" s="462"/>
      <c r="AW112" s="462"/>
      <c r="AX112" s="462"/>
      <c r="AY112" s="462"/>
    </row>
    <row r="113" spans="1:51" s="458" customFormat="1" x14ac:dyDescent="0.45">
      <c r="A113" s="459"/>
      <c r="B113" s="366" t="s">
        <v>208</v>
      </c>
      <c r="C113" s="367"/>
      <c r="D113" s="368"/>
      <c r="Q113" s="462"/>
      <c r="R113" s="462"/>
      <c r="S113" s="462"/>
      <c r="T113" s="462"/>
      <c r="U113" s="462"/>
      <c r="V113" s="462"/>
      <c r="W113" s="462"/>
      <c r="X113" s="462"/>
      <c r="Y113" s="462"/>
      <c r="Z113" s="462"/>
      <c r="AA113" s="462"/>
      <c r="AB113" s="462"/>
      <c r="AC113" s="462"/>
      <c r="AD113" s="462"/>
      <c r="AE113" s="462"/>
      <c r="AF113" s="462"/>
      <c r="AG113" s="462"/>
      <c r="AH113" s="462"/>
      <c r="AI113" s="462"/>
      <c r="AJ113" s="462"/>
      <c r="AK113" s="462"/>
      <c r="AL113" s="462"/>
      <c r="AM113" s="462"/>
      <c r="AN113" s="462"/>
      <c r="AO113" s="462"/>
      <c r="AP113" s="462"/>
      <c r="AQ113" s="462"/>
      <c r="AR113" s="462"/>
      <c r="AS113" s="462"/>
      <c r="AT113" s="462"/>
      <c r="AU113" s="462"/>
      <c r="AV113" s="462"/>
      <c r="AW113" s="462"/>
      <c r="AX113" s="462"/>
      <c r="AY113" s="462"/>
    </row>
    <row r="114" spans="1:51" s="458" customFormat="1" x14ac:dyDescent="0.45">
      <c r="A114" s="459"/>
      <c r="B114" s="505" t="s">
        <v>212</v>
      </c>
      <c r="C114" s="367">
        <v>0.9</v>
      </c>
      <c r="D114" s="368" t="s">
        <v>211</v>
      </c>
      <c r="Q114" s="462"/>
      <c r="R114" s="462"/>
      <c r="S114" s="462"/>
      <c r="T114" s="462"/>
      <c r="U114" s="462"/>
      <c r="V114" s="462"/>
      <c r="W114" s="462"/>
      <c r="X114" s="462"/>
      <c r="Y114" s="462"/>
      <c r="Z114" s="462"/>
      <c r="AA114" s="462"/>
      <c r="AB114" s="462"/>
      <c r="AC114" s="462"/>
      <c r="AD114" s="462"/>
      <c r="AE114" s="462"/>
      <c r="AF114" s="462"/>
      <c r="AG114" s="462"/>
      <c r="AH114" s="462"/>
      <c r="AI114" s="462"/>
      <c r="AJ114" s="462"/>
      <c r="AK114" s="462"/>
      <c r="AL114" s="462"/>
      <c r="AM114" s="462"/>
      <c r="AN114" s="462"/>
      <c r="AO114" s="462"/>
      <c r="AP114" s="462"/>
      <c r="AQ114" s="462"/>
      <c r="AR114" s="462"/>
      <c r="AS114" s="462"/>
      <c r="AT114" s="462"/>
      <c r="AU114" s="462"/>
      <c r="AV114" s="462"/>
      <c r="AW114" s="462"/>
      <c r="AX114" s="462"/>
      <c r="AY114" s="462"/>
    </row>
    <row r="115" spans="1:51" s="458" customFormat="1" x14ac:dyDescent="0.45">
      <c r="A115" s="459"/>
      <c r="B115" s="506" t="s">
        <v>213</v>
      </c>
      <c r="C115" s="369">
        <v>12</v>
      </c>
      <c r="D115" s="341" t="s">
        <v>214</v>
      </c>
      <c r="Q115" s="462"/>
      <c r="R115" s="462"/>
      <c r="S115" s="462"/>
      <c r="T115" s="462"/>
      <c r="U115" s="462"/>
      <c r="V115" s="462"/>
      <c r="W115" s="462"/>
      <c r="X115" s="462"/>
      <c r="Y115" s="462"/>
      <c r="Z115" s="462"/>
      <c r="AA115" s="462"/>
      <c r="AB115" s="462"/>
      <c r="AC115" s="462"/>
      <c r="AD115" s="462"/>
      <c r="AE115" s="462"/>
      <c r="AF115" s="462"/>
      <c r="AG115" s="462"/>
      <c r="AH115" s="462"/>
      <c r="AI115" s="462"/>
      <c r="AJ115" s="462"/>
      <c r="AK115" s="462"/>
      <c r="AL115" s="462"/>
      <c r="AM115" s="462"/>
      <c r="AN115" s="462"/>
      <c r="AO115" s="462"/>
      <c r="AP115" s="462"/>
      <c r="AQ115" s="462"/>
      <c r="AR115" s="462"/>
      <c r="AS115" s="462"/>
      <c r="AT115" s="462"/>
      <c r="AU115" s="462"/>
      <c r="AV115" s="462"/>
      <c r="AW115" s="462"/>
      <c r="AX115" s="462"/>
      <c r="AY115" s="462"/>
    </row>
    <row r="116" spans="1:51" s="458" customFormat="1" x14ac:dyDescent="0.45">
      <c r="A116" s="459"/>
      <c r="B116" s="254" t="s">
        <v>216</v>
      </c>
      <c r="C116" s="369">
        <v>210</v>
      </c>
      <c r="D116" s="341" t="s">
        <v>215</v>
      </c>
      <c r="Q116" s="462"/>
      <c r="R116" s="462"/>
      <c r="S116" s="462"/>
      <c r="T116" s="462"/>
      <c r="U116" s="462"/>
      <c r="V116" s="462"/>
      <c r="W116" s="462"/>
      <c r="X116" s="462"/>
      <c r="Y116" s="462"/>
      <c r="Z116" s="462"/>
      <c r="AA116" s="462"/>
      <c r="AB116" s="462"/>
      <c r="AC116" s="462"/>
      <c r="AD116" s="462"/>
      <c r="AE116" s="462"/>
      <c r="AF116" s="462"/>
      <c r="AG116" s="462"/>
      <c r="AH116" s="462"/>
      <c r="AI116" s="462"/>
      <c r="AJ116" s="462"/>
      <c r="AK116" s="462"/>
      <c r="AL116" s="462"/>
      <c r="AM116" s="462"/>
      <c r="AN116" s="462"/>
      <c r="AO116" s="462"/>
      <c r="AP116" s="462"/>
      <c r="AQ116" s="462"/>
      <c r="AR116" s="462"/>
      <c r="AS116" s="462"/>
      <c r="AT116" s="462"/>
      <c r="AU116" s="462"/>
      <c r="AV116" s="462"/>
      <c r="AW116" s="462"/>
      <c r="AX116" s="462"/>
      <c r="AY116" s="462"/>
    </row>
    <row r="117" spans="1:51" s="458" customFormat="1" x14ac:dyDescent="0.45">
      <c r="A117" s="459"/>
      <c r="B117" s="254" t="s">
        <v>222</v>
      </c>
      <c r="C117" s="369">
        <f>156*1000/C116/60</f>
        <v>12.380952380952381</v>
      </c>
      <c r="D117" s="341" t="s">
        <v>218</v>
      </c>
      <c r="Q117" s="462"/>
      <c r="R117" s="462"/>
      <c r="S117" s="462"/>
      <c r="T117" s="462"/>
      <c r="U117" s="462"/>
      <c r="V117" s="462"/>
      <c r="W117" s="462"/>
      <c r="X117" s="462"/>
      <c r="Y117" s="462"/>
      <c r="Z117" s="462"/>
      <c r="AA117" s="462"/>
      <c r="AB117" s="462"/>
      <c r="AC117" s="462"/>
      <c r="AD117" s="462"/>
      <c r="AE117" s="462"/>
      <c r="AF117" s="462"/>
      <c r="AG117" s="462"/>
      <c r="AH117" s="462"/>
      <c r="AI117" s="462"/>
      <c r="AJ117" s="462"/>
      <c r="AK117" s="462"/>
      <c r="AL117" s="462"/>
      <c r="AM117" s="462"/>
      <c r="AN117" s="462"/>
      <c r="AO117" s="462"/>
      <c r="AP117" s="462"/>
      <c r="AQ117" s="462"/>
      <c r="AR117" s="462"/>
      <c r="AS117" s="462"/>
      <c r="AT117" s="462"/>
      <c r="AU117" s="462"/>
      <c r="AV117" s="462"/>
      <c r="AW117" s="462"/>
      <c r="AX117" s="462"/>
      <c r="AY117" s="462"/>
    </row>
    <row r="118" spans="1:51" s="458" customFormat="1" x14ac:dyDescent="0.45">
      <c r="A118" s="459"/>
      <c r="B118" s="254" t="s">
        <v>225</v>
      </c>
      <c r="C118" s="369">
        <f>C115*C117*60*60/1000*C114</f>
        <v>481.37142857142874</v>
      </c>
      <c r="D118" s="341" t="s">
        <v>1</v>
      </c>
      <c r="Q118" s="462"/>
      <c r="R118" s="462"/>
      <c r="S118" s="462"/>
      <c r="T118" s="462"/>
      <c r="U118" s="462"/>
      <c r="V118" s="462"/>
      <c r="W118" s="462"/>
      <c r="X118" s="462"/>
      <c r="Y118" s="462"/>
      <c r="Z118" s="462"/>
      <c r="AA118" s="462"/>
      <c r="AB118" s="462"/>
      <c r="AC118" s="462"/>
      <c r="AD118" s="462"/>
      <c r="AE118" s="462"/>
      <c r="AF118" s="462"/>
      <c r="AG118" s="462"/>
      <c r="AH118" s="462"/>
      <c r="AI118" s="462"/>
      <c r="AJ118" s="462"/>
      <c r="AK118" s="462"/>
      <c r="AL118" s="462"/>
      <c r="AM118" s="462"/>
      <c r="AN118" s="462"/>
      <c r="AO118" s="462"/>
      <c r="AP118" s="462"/>
      <c r="AQ118" s="462"/>
      <c r="AR118" s="462"/>
      <c r="AS118" s="462"/>
      <c r="AT118" s="462"/>
      <c r="AU118" s="462"/>
      <c r="AV118" s="462"/>
      <c r="AW118" s="462"/>
      <c r="AX118" s="462"/>
      <c r="AY118" s="462"/>
    </row>
    <row r="119" spans="1:51" s="458" customFormat="1" x14ac:dyDescent="0.45">
      <c r="A119" s="459"/>
      <c r="B119" s="254" t="s">
        <v>219</v>
      </c>
      <c r="C119" s="369">
        <v>1.73</v>
      </c>
      <c r="D119" s="341" t="s">
        <v>217</v>
      </c>
      <c r="Q119" s="462"/>
      <c r="R119" s="462"/>
      <c r="S119" s="462"/>
      <c r="T119" s="462"/>
      <c r="U119" s="462"/>
      <c r="V119" s="462"/>
      <c r="W119" s="462"/>
      <c r="X119" s="462"/>
      <c r="Y119" s="462"/>
      <c r="Z119" s="462"/>
      <c r="AA119" s="462"/>
      <c r="AB119" s="462"/>
      <c r="AC119" s="462"/>
      <c r="AD119" s="462"/>
      <c r="AE119" s="462"/>
      <c r="AF119" s="462"/>
      <c r="AG119" s="462"/>
      <c r="AH119" s="462"/>
      <c r="AI119" s="462"/>
      <c r="AJ119" s="462"/>
      <c r="AK119" s="462"/>
      <c r="AL119" s="462"/>
      <c r="AM119" s="462"/>
      <c r="AN119" s="462"/>
      <c r="AO119" s="462"/>
      <c r="AP119" s="462"/>
      <c r="AQ119" s="462"/>
      <c r="AR119" s="462"/>
      <c r="AS119" s="462"/>
      <c r="AT119" s="462"/>
      <c r="AU119" s="462"/>
      <c r="AV119" s="462"/>
      <c r="AW119" s="462"/>
      <c r="AX119" s="462"/>
      <c r="AY119" s="462"/>
    </row>
    <row r="120" spans="1:51" s="458" customFormat="1" x14ac:dyDescent="0.45">
      <c r="A120" s="459"/>
      <c r="B120" s="254" t="s">
        <v>221</v>
      </c>
      <c r="C120" s="369">
        <v>130</v>
      </c>
      <c r="D120" s="341" t="s">
        <v>220</v>
      </c>
      <c r="Q120" s="462"/>
      <c r="R120" s="462"/>
      <c r="S120" s="462"/>
      <c r="T120" s="462"/>
      <c r="U120" s="462"/>
      <c r="V120" s="462"/>
      <c r="W120" s="462"/>
      <c r="X120" s="462"/>
      <c r="Y120" s="462"/>
      <c r="Z120" s="462"/>
      <c r="AA120" s="462"/>
      <c r="AB120" s="462"/>
      <c r="AC120" s="462"/>
      <c r="AD120" s="462"/>
      <c r="AE120" s="462"/>
      <c r="AF120" s="462"/>
      <c r="AG120" s="462"/>
      <c r="AH120" s="462"/>
      <c r="AI120" s="462"/>
      <c r="AJ120" s="462"/>
      <c r="AK120" s="462"/>
      <c r="AL120" s="462"/>
      <c r="AM120" s="462"/>
      <c r="AN120" s="462"/>
      <c r="AO120" s="462"/>
      <c r="AP120" s="462"/>
      <c r="AQ120" s="462"/>
      <c r="AR120" s="462"/>
      <c r="AS120" s="462"/>
      <c r="AT120" s="462"/>
      <c r="AU120" s="462"/>
      <c r="AV120" s="462"/>
      <c r="AW120" s="462"/>
      <c r="AX120" s="462"/>
      <c r="AY120" s="462"/>
    </row>
    <row r="121" spans="1:51" s="458" customFormat="1" x14ac:dyDescent="0.45">
      <c r="A121" s="459"/>
      <c r="B121" s="254" t="s">
        <v>223</v>
      </c>
      <c r="C121" s="509">
        <f>C119*1000000/(C120+C9)</f>
        <v>6920</v>
      </c>
      <c r="D121" s="341" t="s">
        <v>224</v>
      </c>
      <c r="Q121" s="462"/>
      <c r="R121" s="462"/>
      <c r="S121" s="462"/>
      <c r="T121" s="462"/>
      <c r="U121" s="462"/>
      <c r="V121" s="462"/>
      <c r="W121" s="462"/>
      <c r="X121" s="462"/>
      <c r="Y121" s="462"/>
      <c r="Z121" s="462"/>
      <c r="AA121" s="462"/>
      <c r="AB121" s="462"/>
      <c r="AC121" s="462"/>
      <c r="AD121" s="462"/>
      <c r="AE121" s="462"/>
      <c r="AF121" s="462"/>
      <c r="AG121" s="462"/>
      <c r="AH121" s="462"/>
      <c r="AI121" s="462"/>
      <c r="AJ121" s="462"/>
      <c r="AK121" s="462"/>
      <c r="AL121" s="462"/>
      <c r="AM121" s="462"/>
      <c r="AN121" s="462"/>
      <c r="AO121" s="462"/>
      <c r="AP121" s="462"/>
      <c r="AQ121" s="462"/>
      <c r="AR121" s="462"/>
      <c r="AS121" s="462"/>
      <c r="AT121" s="462"/>
      <c r="AU121" s="462"/>
      <c r="AV121" s="462"/>
      <c r="AW121" s="462"/>
      <c r="AX121" s="462"/>
      <c r="AY121" s="462"/>
    </row>
    <row r="122" spans="1:51" s="458" customFormat="1" x14ac:dyDescent="0.45">
      <c r="A122" s="459"/>
      <c r="B122" s="580" t="s">
        <v>346</v>
      </c>
      <c r="C122" s="945">
        <f>C118/C121</f>
        <v>6.9562345169281614E-2</v>
      </c>
      <c r="D122" s="947" t="s">
        <v>226</v>
      </c>
      <c r="Q122" s="462"/>
      <c r="R122" s="462"/>
      <c r="S122" s="462"/>
      <c r="T122" s="462"/>
      <c r="U122" s="462"/>
      <c r="V122" s="462"/>
      <c r="W122" s="462"/>
      <c r="X122" s="462"/>
      <c r="Y122" s="462"/>
      <c r="Z122" s="462"/>
      <c r="AA122" s="462"/>
      <c r="AB122" s="462"/>
      <c r="AC122" s="462"/>
      <c r="AD122" s="462"/>
      <c r="AE122" s="462"/>
      <c r="AF122" s="462"/>
      <c r="AG122" s="462"/>
      <c r="AH122" s="462"/>
      <c r="AI122" s="462"/>
      <c r="AJ122" s="462"/>
      <c r="AK122" s="462"/>
      <c r="AL122" s="462"/>
      <c r="AM122" s="462"/>
      <c r="AN122" s="462"/>
      <c r="AO122" s="462"/>
      <c r="AP122" s="462"/>
      <c r="AQ122" s="462"/>
      <c r="AR122" s="462"/>
      <c r="AS122" s="462"/>
      <c r="AT122" s="462"/>
      <c r="AU122" s="462"/>
      <c r="AV122" s="462"/>
      <c r="AW122" s="462"/>
      <c r="AX122" s="462"/>
      <c r="AY122" s="462"/>
    </row>
    <row r="123" spans="1:51" s="540" customFormat="1" x14ac:dyDescent="0.45">
      <c r="A123" s="545"/>
      <c r="B123" s="580" t="s">
        <v>339</v>
      </c>
      <c r="C123" s="578">
        <f>$C$148*$C$149*$C$150</f>
        <v>0.96042374999999991</v>
      </c>
      <c r="D123" s="595" t="s">
        <v>22</v>
      </c>
      <c r="Q123" s="553"/>
      <c r="R123" s="553"/>
      <c r="S123" s="553"/>
      <c r="T123" s="553"/>
      <c r="U123" s="553"/>
      <c r="V123" s="553"/>
      <c r="W123" s="553"/>
      <c r="X123" s="553"/>
      <c r="Y123" s="553"/>
      <c r="Z123" s="553"/>
      <c r="AA123" s="553"/>
      <c r="AB123" s="553"/>
      <c r="AC123" s="553"/>
      <c r="AD123" s="553"/>
      <c r="AE123" s="553"/>
      <c r="AF123" s="553"/>
      <c r="AG123" s="553"/>
      <c r="AH123" s="553"/>
      <c r="AI123" s="553"/>
      <c r="AJ123" s="553"/>
      <c r="AK123" s="553"/>
      <c r="AL123" s="553"/>
      <c r="AM123" s="553"/>
      <c r="AN123" s="553"/>
      <c r="AO123" s="553"/>
      <c r="AP123" s="553"/>
      <c r="AQ123" s="553"/>
      <c r="AR123" s="553"/>
      <c r="AS123" s="553"/>
      <c r="AT123" s="553"/>
      <c r="AU123" s="553"/>
      <c r="AV123" s="553"/>
      <c r="AW123" s="553"/>
      <c r="AX123" s="553"/>
      <c r="AY123" s="553"/>
    </row>
    <row r="124" spans="1:51" s="540" customFormat="1" x14ac:dyDescent="0.45">
      <c r="A124" s="545"/>
      <c r="B124" s="504" t="s">
        <v>340</v>
      </c>
      <c r="C124" s="510">
        <f>C122/C123</f>
        <v>7.2428805690489872E-2</v>
      </c>
      <c r="D124" s="507" t="s">
        <v>226</v>
      </c>
      <c r="Q124" s="553"/>
      <c r="R124" s="553"/>
      <c r="S124" s="553"/>
      <c r="T124" s="553"/>
      <c r="U124" s="553"/>
      <c r="V124" s="553"/>
      <c r="W124" s="553"/>
      <c r="X124" s="553"/>
      <c r="Y124" s="553"/>
      <c r="Z124" s="553"/>
      <c r="AA124" s="553"/>
      <c r="AB124" s="553"/>
      <c r="AC124" s="553"/>
      <c r="AD124" s="553"/>
      <c r="AE124" s="553"/>
      <c r="AF124" s="553"/>
      <c r="AG124" s="553"/>
      <c r="AH124" s="553"/>
      <c r="AI124" s="553"/>
      <c r="AJ124" s="553"/>
      <c r="AK124" s="553"/>
      <c r="AL124" s="553"/>
      <c r="AM124" s="553"/>
      <c r="AN124" s="553"/>
      <c r="AO124" s="553"/>
      <c r="AP124" s="553"/>
      <c r="AQ124" s="553"/>
      <c r="AR124" s="553"/>
      <c r="AS124" s="553"/>
      <c r="AT124" s="553"/>
      <c r="AU124" s="553"/>
      <c r="AV124" s="553"/>
      <c r="AW124" s="553"/>
      <c r="AX124" s="553"/>
      <c r="AY124" s="553"/>
    </row>
    <row r="125" spans="1:51" s="458" customFormat="1" x14ac:dyDescent="0.45">
      <c r="A125" s="459"/>
      <c r="B125" s="511" t="s">
        <v>227</v>
      </c>
      <c r="C125" s="512">
        <f>C115*C117*60*60/C121</f>
        <v>77.291494632535105</v>
      </c>
      <c r="D125" s="513" t="s">
        <v>228</v>
      </c>
      <c r="Q125" s="462"/>
      <c r="R125" s="462"/>
      <c r="S125" s="462"/>
      <c r="T125" s="462"/>
      <c r="U125" s="462"/>
      <c r="V125" s="462"/>
      <c r="W125" s="462"/>
      <c r="X125" s="462"/>
      <c r="Y125" s="462"/>
      <c r="Z125" s="462"/>
      <c r="AA125" s="462"/>
      <c r="AB125" s="462"/>
      <c r="AC125" s="462"/>
      <c r="AD125" s="462"/>
      <c r="AE125" s="462"/>
      <c r="AF125" s="462"/>
      <c r="AG125" s="462"/>
      <c r="AH125" s="462"/>
      <c r="AI125" s="462"/>
      <c r="AJ125" s="462"/>
      <c r="AK125" s="462"/>
      <c r="AL125" s="462"/>
      <c r="AM125" s="462"/>
      <c r="AN125" s="462"/>
      <c r="AO125" s="462"/>
      <c r="AP125" s="462"/>
      <c r="AQ125" s="462"/>
      <c r="AR125" s="462"/>
      <c r="AS125" s="462"/>
      <c r="AT125" s="462"/>
      <c r="AU125" s="462"/>
      <c r="AV125" s="462"/>
      <c r="AW125" s="462"/>
      <c r="AX125" s="462"/>
      <c r="AY125" s="462"/>
    </row>
    <row r="126" spans="1:51" s="458" customFormat="1" x14ac:dyDescent="0.45">
      <c r="A126" s="459"/>
      <c r="Q126" s="462"/>
      <c r="R126" s="462"/>
      <c r="S126" s="462"/>
      <c r="T126" s="462"/>
      <c r="U126" s="462"/>
      <c r="V126" s="462"/>
      <c r="W126" s="462"/>
      <c r="X126" s="462"/>
      <c r="Y126" s="462"/>
      <c r="Z126" s="462"/>
      <c r="AA126" s="462"/>
      <c r="AB126" s="462"/>
      <c r="AC126" s="462"/>
      <c r="AD126" s="462"/>
      <c r="AE126" s="462"/>
      <c r="AF126" s="462"/>
      <c r="AG126" s="462"/>
      <c r="AH126" s="462"/>
      <c r="AI126" s="462"/>
      <c r="AJ126" s="462"/>
      <c r="AK126" s="462"/>
      <c r="AL126" s="462"/>
      <c r="AM126" s="462"/>
      <c r="AN126" s="462"/>
      <c r="AO126" s="462"/>
      <c r="AP126" s="462"/>
      <c r="AQ126" s="462"/>
      <c r="AR126" s="462"/>
      <c r="AS126" s="462"/>
      <c r="AT126" s="462"/>
      <c r="AU126" s="462"/>
      <c r="AV126" s="462"/>
      <c r="AW126" s="462"/>
      <c r="AX126" s="462"/>
      <c r="AY126" s="462"/>
    </row>
    <row r="127" spans="1:51" s="458" customFormat="1" x14ac:dyDescent="0.45">
      <c r="A127" s="459"/>
      <c r="B127" s="66" t="s">
        <v>209</v>
      </c>
      <c r="C127" s="67"/>
      <c r="D127" s="68"/>
      <c r="Q127" s="462"/>
      <c r="R127" s="462"/>
      <c r="S127" s="462"/>
      <c r="T127" s="462"/>
      <c r="U127" s="462"/>
      <c r="V127" s="462"/>
      <c r="W127" s="462"/>
      <c r="X127" s="462"/>
      <c r="Y127" s="462"/>
      <c r="Z127" s="462"/>
      <c r="AA127" s="462"/>
      <c r="AB127" s="462"/>
      <c r="AC127" s="462"/>
      <c r="AD127" s="462"/>
      <c r="AE127" s="462"/>
      <c r="AF127" s="462"/>
      <c r="AG127" s="462"/>
      <c r="AH127" s="462"/>
      <c r="AI127" s="462"/>
      <c r="AJ127" s="462"/>
      <c r="AK127" s="462"/>
      <c r="AL127" s="462"/>
      <c r="AM127" s="462"/>
      <c r="AN127" s="462"/>
      <c r="AO127" s="462"/>
      <c r="AP127" s="462"/>
      <c r="AQ127" s="462"/>
      <c r="AR127" s="462"/>
      <c r="AS127" s="462"/>
      <c r="AT127" s="462"/>
      <c r="AU127" s="462"/>
      <c r="AV127" s="462"/>
      <c r="AW127" s="462"/>
      <c r="AX127" s="462"/>
      <c r="AY127" s="462"/>
    </row>
    <row r="128" spans="1:51" s="540" customFormat="1" x14ac:dyDescent="0.45">
      <c r="A128" s="545"/>
      <c r="B128" s="824" t="s">
        <v>262</v>
      </c>
      <c r="C128" s="823">
        <v>9.0999999999999998E-2</v>
      </c>
      <c r="D128" s="825" t="s">
        <v>260</v>
      </c>
      <c r="Q128" s="553"/>
      <c r="R128" s="553"/>
      <c r="S128" s="553"/>
      <c r="T128" s="553"/>
      <c r="U128" s="553"/>
      <c r="V128" s="553"/>
      <c r="W128" s="553"/>
      <c r="X128" s="553"/>
      <c r="Y128" s="553"/>
      <c r="Z128" s="553"/>
      <c r="AA128" s="553"/>
      <c r="AB128" s="553"/>
      <c r="AC128" s="553"/>
      <c r="AD128" s="553"/>
      <c r="AE128" s="553"/>
      <c r="AF128" s="553"/>
      <c r="AG128" s="553"/>
      <c r="AH128" s="553"/>
      <c r="AI128" s="553"/>
      <c r="AJ128" s="553"/>
      <c r="AK128" s="553"/>
      <c r="AL128" s="553"/>
      <c r="AM128" s="553"/>
      <c r="AN128" s="553"/>
      <c r="AO128" s="553"/>
      <c r="AP128" s="553"/>
      <c r="AQ128" s="553"/>
      <c r="AR128" s="553"/>
      <c r="AS128" s="553"/>
      <c r="AT128" s="553"/>
      <c r="AU128" s="553"/>
      <c r="AV128" s="553"/>
      <c r="AW128" s="553"/>
      <c r="AX128" s="553"/>
      <c r="AY128" s="553"/>
    </row>
    <row r="129" spans="1:51" s="540" customFormat="1" x14ac:dyDescent="0.45">
      <c r="A129" s="545"/>
      <c r="B129" s="824" t="s">
        <v>261</v>
      </c>
      <c r="C129" s="823">
        <v>0.9</v>
      </c>
      <c r="D129" s="825" t="s">
        <v>12</v>
      </c>
      <c r="Q129" s="553"/>
      <c r="R129" s="553"/>
      <c r="S129" s="553"/>
      <c r="T129" s="553"/>
      <c r="U129" s="553"/>
      <c r="V129" s="553"/>
      <c r="W129" s="553"/>
      <c r="X129" s="553"/>
      <c r="Y129" s="553"/>
      <c r="Z129" s="553"/>
      <c r="AA129" s="553"/>
      <c r="AB129" s="553"/>
      <c r="AC129" s="553"/>
      <c r="AD129" s="553"/>
      <c r="AE129" s="553"/>
      <c r="AF129" s="553"/>
      <c r="AG129" s="553"/>
      <c r="AH129" s="553"/>
      <c r="AI129" s="553"/>
      <c r="AJ129" s="553"/>
      <c r="AK129" s="553"/>
      <c r="AL129" s="553"/>
      <c r="AM129" s="553"/>
      <c r="AN129" s="553"/>
      <c r="AO129" s="553"/>
      <c r="AP129" s="553"/>
      <c r="AQ129" s="553"/>
      <c r="AR129" s="553"/>
      <c r="AS129" s="553"/>
      <c r="AT129" s="553"/>
      <c r="AU129" s="553"/>
      <c r="AV129" s="553"/>
      <c r="AW129" s="553"/>
      <c r="AX129" s="553"/>
      <c r="AY129" s="553"/>
    </row>
    <row r="130" spans="1:51" s="458" customFormat="1" x14ac:dyDescent="0.45">
      <c r="A130" s="459"/>
      <c r="B130" s="915" t="s">
        <v>346</v>
      </c>
      <c r="C130" s="823">
        <f>C128*C129</f>
        <v>8.1900000000000001E-2</v>
      </c>
      <c r="D130" s="935" t="s">
        <v>226</v>
      </c>
      <c r="Q130" s="462"/>
      <c r="R130" s="462"/>
      <c r="S130" s="462"/>
      <c r="T130" s="462"/>
      <c r="U130" s="462"/>
      <c r="V130" s="462"/>
      <c r="W130" s="462"/>
      <c r="X130" s="462"/>
      <c r="Y130" s="462"/>
      <c r="Z130" s="462"/>
      <c r="AA130" s="462"/>
      <c r="AB130" s="462"/>
      <c r="AC130" s="462"/>
      <c r="AD130" s="462"/>
      <c r="AE130" s="462"/>
      <c r="AF130" s="462"/>
      <c r="AG130" s="462"/>
      <c r="AH130" s="462"/>
      <c r="AI130" s="462"/>
      <c r="AJ130" s="462"/>
      <c r="AK130" s="462"/>
      <c r="AL130" s="462"/>
      <c r="AM130" s="462"/>
      <c r="AN130" s="462"/>
      <c r="AO130" s="462"/>
      <c r="AP130" s="462"/>
      <c r="AQ130" s="462"/>
      <c r="AR130" s="462"/>
      <c r="AS130" s="462"/>
      <c r="AT130" s="462"/>
      <c r="AU130" s="462"/>
      <c r="AV130" s="462"/>
      <c r="AW130" s="462"/>
      <c r="AX130" s="462"/>
      <c r="AY130" s="462"/>
    </row>
    <row r="131" spans="1:51" s="540" customFormat="1" x14ac:dyDescent="0.45">
      <c r="A131" s="545"/>
      <c r="B131" s="915" t="s">
        <v>339</v>
      </c>
      <c r="C131" s="662">
        <f>$C$148*$C$149*$C$150</f>
        <v>0.96042374999999991</v>
      </c>
      <c r="D131" s="916" t="s">
        <v>22</v>
      </c>
      <c r="Q131" s="553"/>
      <c r="R131" s="553"/>
      <c r="S131" s="553"/>
      <c r="T131" s="553"/>
      <c r="U131" s="553"/>
      <c r="V131" s="553"/>
      <c r="W131" s="553"/>
      <c r="X131" s="553"/>
      <c r="Y131" s="553"/>
      <c r="Z131" s="553"/>
      <c r="AA131" s="553"/>
      <c r="AB131" s="553"/>
      <c r="AC131" s="553"/>
      <c r="AD131" s="553"/>
      <c r="AE131" s="553"/>
      <c r="AF131" s="553"/>
      <c r="AG131" s="553"/>
      <c r="AH131" s="553"/>
      <c r="AI131" s="553"/>
      <c r="AJ131" s="553"/>
      <c r="AK131" s="553"/>
      <c r="AL131" s="553"/>
      <c r="AM131" s="553"/>
      <c r="AN131" s="553"/>
      <c r="AO131" s="553"/>
      <c r="AP131" s="553"/>
      <c r="AQ131" s="553"/>
      <c r="AR131" s="553"/>
      <c r="AS131" s="553"/>
      <c r="AT131" s="553"/>
      <c r="AU131" s="553"/>
      <c r="AV131" s="553"/>
      <c r="AW131" s="553"/>
      <c r="AX131" s="553"/>
      <c r="AY131" s="553"/>
    </row>
    <row r="132" spans="1:51" s="540" customFormat="1" x14ac:dyDescent="0.45">
      <c r="A132" s="545"/>
      <c r="B132" s="680" t="s">
        <v>341</v>
      </c>
      <c r="C132" s="681">
        <f>C130/C131</f>
        <v>8.5274859144205892E-2</v>
      </c>
      <c r="D132" s="682" t="s">
        <v>226</v>
      </c>
      <c r="Q132" s="553"/>
      <c r="R132" s="553"/>
      <c r="S132" s="553"/>
      <c r="T132" s="553"/>
      <c r="U132" s="553"/>
      <c r="V132" s="553"/>
      <c r="W132" s="553"/>
      <c r="X132" s="553"/>
      <c r="Y132" s="553"/>
      <c r="Z132" s="553"/>
      <c r="AA132" s="553"/>
      <c r="AB132" s="553"/>
      <c r="AC132" s="553"/>
      <c r="AD132" s="553"/>
      <c r="AE132" s="553"/>
      <c r="AF132" s="553"/>
      <c r="AG132" s="553"/>
      <c r="AH132" s="553"/>
      <c r="AI132" s="553"/>
      <c r="AJ132" s="553"/>
      <c r="AK132" s="553"/>
      <c r="AL132" s="553"/>
      <c r="AM132" s="553"/>
      <c r="AN132" s="553"/>
      <c r="AO132" s="553"/>
      <c r="AP132" s="553"/>
      <c r="AQ132" s="553"/>
      <c r="AR132" s="553"/>
      <c r="AS132" s="553"/>
      <c r="AT132" s="553"/>
      <c r="AU132" s="553"/>
      <c r="AV132" s="553"/>
      <c r="AW132" s="553"/>
      <c r="AX132" s="553"/>
      <c r="AY132" s="553"/>
    </row>
    <row r="133" spans="1:51" s="458" customFormat="1" x14ac:dyDescent="0.45">
      <c r="A133" s="459"/>
      <c r="Q133" s="462"/>
      <c r="R133" s="462"/>
      <c r="S133" s="462"/>
      <c r="T133" s="462"/>
      <c r="U133" s="462"/>
      <c r="V133" s="462"/>
      <c r="W133" s="462"/>
      <c r="X133" s="462"/>
      <c r="Y133" s="462"/>
      <c r="Z133" s="462"/>
      <c r="AA133" s="462"/>
      <c r="AB133" s="462"/>
      <c r="AC133" s="462"/>
      <c r="AD133" s="462"/>
      <c r="AE133" s="462"/>
      <c r="AF133" s="462"/>
      <c r="AG133" s="462"/>
      <c r="AH133" s="462"/>
      <c r="AI133" s="462"/>
      <c r="AJ133" s="462"/>
      <c r="AK133" s="462"/>
      <c r="AL133" s="462"/>
      <c r="AM133" s="462"/>
      <c r="AN133" s="462"/>
      <c r="AO133" s="462"/>
      <c r="AP133" s="462"/>
      <c r="AQ133" s="462"/>
      <c r="AR133" s="462"/>
      <c r="AS133" s="462"/>
      <c r="AT133" s="462"/>
      <c r="AU133" s="462"/>
      <c r="AV133" s="462"/>
      <c r="AW133" s="462"/>
      <c r="AX133" s="462"/>
      <c r="AY133" s="462"/>
    </row>
    <row r="134" spans="1:51" x14ac:dyDescent="0.45">
      <c r="A134" s="227"/>
      <c r="B134" s="599" t="s">
        <v>20</v>
      </c>
      <c r="C134" s="600"/>
      <c r="D134" s="978"/>
      <c r="E134" s="601"/>
      <c r="F134" s="995"/>
      <c r="G134" s="995"/>
      <c r="Q134" s="462"/>
      <c r="R134" s="462"/>
      <c r="S134" s="462"/>
      <c r="T134" s="462"/>
      <c r="U134" s="462"/>
      <c r="V134" s="462"/>
      <c r="W134" s="462"/>
      <c r="X134" s="462"/>
      <c r="Y134" s="462"/>
      <c r="Z134" s="462"/>
      <c r="AA134" s="462"/>
      <c r="AB134" s="462"/>
      <c r="AC134" s="462"/>
      <c r="AD134" s="462"/>
      <c r="AE134" s="462"/>
      <c r="AF134" s="462"/>
      <c r="AG134" s="462"/>
      <c r="AH134" s="462"/>
      <c r="AI134" s="462"/>
      <c r="AJ134" s="462"/>
      <c r="AK134" s="462"/>
      <c r="AL134" s="462"/>
      <c r="AM134" s="462"/>
      <c r="AN134" s="462"/>
      <c r="AO134" s="462"/>
      <c r="AP134" s="462"/>
      <c r="AQ134" s="462"/>
      <c r="AR134" s="462"/>
      <c r="AS134" s="462"/>
      <c r="AT134" s="462"/>
      <c r="AU134" s="462"/>
      <c r="AV134" s="462"/>
      <c r="AW134" s="462"/>
      <c r="AX134" s="462"/>
      <c r="AY134" s="462"/>
    </row>
    <row r="135" spans="1:51" x14ac:dyDescent="0.45">
      <c r="A135" s="227"/>
      <c r="B135" s="955" t="s">
        <v>62</v>
      </c>
      <c r="C135" s="937">
        <v>13.6</v>
      </c>
      <c r="D135" s="953" t="s">
        <v>0</v>
      </c>
      <c r="E135" s="598"/>
      <c r="F135" s="995"/>
      <c r="G135" s="995"/>
      <c r="Q135" s="462"/>
      <c r="R135" s="462"/>
      <c r="S135" s="462"/>
      <c r="T135" s="462"/>
      <c r="U135" s="462"/>
      <c r="V135" s="462"/>
      <c r="W135" s="462"/>
      <c r="X135" s="462"/>
      <c r="Y135" s="462"/>
      <c r="Z135" s="462"/>
      <c r="AA135" s="462"/>
      <c r="AB135" s="462"/>
      <c r="AC135" s="462"/>
      <c r="AD135" s="462"/>
      <c r="AE135" s="462"/>
      <c r="AF135" s="462"/>
      <c r="AG135" s="462"/>
      <c r="AH135" s="462"/>
      <c r="AI135" s="462"/>
      <c r="AJ135" s="462"/>
      <c r="AK135" s="462"/>
      <c r="AL135" s="462"/>
      <c r="AM135" s="462"/>
      <c r="AN135" s="462"/>
      <c r="AO135" s="462"/>
      <c r="AP135" s="462"/>
      <c r="AQ135" s="462"/>
      <c r="AR135" s="462"/>
      <c r="AS135" s="462"/>
      <c r="AT135" s="462"/>
      <c r="AU135" s="462"/>
      <c r="AV135" s="462"/>
      <c r="AW135" s="462"/>
      <c r="AX135" s="462"/>
      <c r="AY135" s="462"/>
    </row>
    <row r="136" spans="1:51" x14ac:dyDescent="0.45">
      <c r="A136" s="227"/>
      <c r="B136" s="576" t="s">
        <v>236</v>
      </c>
      <c r="C136" s="776">
        <v>25.9</v>
      </c>
      <c r="D136" s="585" t="s">
        <v>53</v>
      </c>
      <c r="E136" s="598"/>
      <c r="F136" s="995"/>
      <c r="G136" s="995"/>
      <c r="Q136" s="462"/>
      <c r="R136" s="462"/>
      <c r="S136" s="462"/>
      <c r="T136" s="462"/>
      <c r="U136" s="462"/>
      <c r="V136" s="462"/>
      <c r="W136" s="462"/>
      <c r="X136" s="462"/>
      <c r="Y136" s="462"/>
      <c r="Z136" s="462"/>
      <c r="AA136" s="462"/>
      <c r="AB136" s="462"/>
      <c r="AC136" s="462"/>
      <c r="AD136" s="462"/>
      <c r="AE136" s="462"/>
      <c r="AF136" s="462"/>
      <c r="AG136" s="462"/>
      <c r="AH136" s="462"/>
      <c r="AI136" s="462"/>
      <c r="AJ136" s="462"/>
      <c r="AK136" s="462"/>
      <c r="AL136" s="462"/>
      <c r="AM136" s="462"/>
      <c r="AN136" s="462"/>
      <c r="AO136" s="462"/>
      <c r="AP136" s="462"/>
      <c r="AQ136" s="462"/>
      <c r="AR136" s="462"/>
      <c r="AS136" s="462"/>
      <c r="AT136" s="462"/>
      <c r="AU136" s="462"/>
      <c r="AV136" s="462"/>
      <c r="AW136" s="462"/>
      <c r="AX136" s="462"/>
      <c r="AY136" s="462"/>
    </row>
    <row r="137" spans="1:51" x14ac:dyDescent="0.45">
      <c r="A137" s="227"/>
      <c r="B137" s="576" t="s">
        <v>101</v>
      </c>
      <c r="C137" s="666">
        <v>0.2</v>
      </c>
      <c r="D137" s="585" t="s">
        <v>235</v>
      </c>
      <c r="E137" s="598"/>
      <c r="F137" s="639"/>
      <c r="G137" s="995"/>
      <c r="Q137" s="462"/>
      <c r="R137" s="462"/>
      <c r="S137" s="462"/>
      <c r="T137" s="462"/>
      <c r="U137" s="462"/>
      <c r="V137" s="462"/>
      <c r="W137" s="462"/>
      <c r="X137" s="462"/>
      <c r="Y137" s="462"/>
      <c r="Z137" s="462"/>
      <c r="AA137" s="462"/>
      <c r="AB137" s="462"/>
      <c r="AC137" s="462"/>
      <c r="AD137" s="462"/>
      <c r="AE137" s="462"/>
      <c r="AF137" s="462"/>
      <c r="AG137" s="462"/>
      <c r="AH137" s="462"/>
      <c r="AI137" s="462"/>
      <c r="AJ137" s="462"/>
      <c r="AK137" s="462"/>
      <c r="AL137" s="462"/>
      <c r="AM137" s="462"/>
      <c r="AN137" s="462"/>
      <c r="AO137" s="462"/>
      <c r="AP137" s="462"/>
      <c r="AQ137" s="462"/>
      <c r="AR137" s="462"/>
      <c r="AS137" s="462"/>
      <c r="AT137" s="462"/>
      <c r="AU137" s="462"/>
      <c r="AV137" s="462"/>
      <c r="AW137" s="462"/>
      <c r="AX137" s="462"/>
      <c r="AY137" s="462"/>
    </row>
    <row r="138" spans="1:51" x14ac:dyDescent="0.45">
      <c r="A138" s="227"/>
      <c r="B138" s="576" t="s">
        <v>102</v>
      </c>
      <c r="C138" s="666">
        <v>0.34</v>
      </c>
      <c r="D138" s="585" t="s">
        <v>235</v>
      </c>
      <c r="E138" s="956"/>
      <c r="F138" s="995"/>
      <c r="G138" s="995"/>
      <c r="Q138" s="462"/>
      <c r="R138" s="462"/>
      <c r="S138" s="462"/>
      <c r="T138" s="462"/>
      <c r="U138" s="462"/>
      <c r="V138" s="462"/>
      <c r="W138" s="462"/>
      <c r="X138" s="462"/>
      <c r="Y138" s="462"/>
      <c r="Z138" s="462"/>
      <c r="AA138" s="462"/>
      <c r="AB138" s="462"/>
      <c r="AC138" s="462"/>
      <c r="AD138" s="462"/>
      <c r="AE138" s="462"/>
      <c r="AF138" s="462"/>
      <c r="AG138" s="462"/>
      <c r="AH138" s="462"/>
      <c r="AI138" s="462"/>
      <c r="AJ138" s="462"/>
      <c r="AK138" s="462"/>
      <c r="AL138" s="462"/>
      <c r="AM138" s="462"/>
      <c r="AN138" s="462"/>
      <c r="AO138" s="462"/>
      <c r="AP138" s="462"/>
      <c r="AQ138" s="462"/>
      <c r="AR138" s="462"/>
      <c r="AS138" s="462"/>
      <c r="AT138" s="462"/>
      <c r="AU138" s="462"/>
      <c r="AV138" s="462"/>
      <c r="AW138" s="462"/>
      <c r="AX138" s="462"/>
      <c r="AY138" s="462"/>
    </row>
    <row r="139" spans="1:51" x14ac:dyDescent="0.45">
      <c r="A139" s="227"/>
      <c r="B139" s="576" t="s">
        <v>103</v>
      </c>
      <c r="C139" s="666">
        <v>0.05</v>
      </c>
      <c r="D139" s="585" t="s">
        <v>235</v>
      </c>
      <c r="E139" s="956"/>
      <c r="F139" s="995"/>
      <c r="G139" s="995"/>
      <c r="Q139" s="462"/>
      <c r="R139" s="462"/>
      <c r="S139" s="462"/>
      <c r="T139" s="462"/>
      <c r="U139" s="462"/>
      <c r="V139" s="462"/>
      <c r="W139" s="462"/>
      <c r="X139" s="462"/>
      <c r="Y139" s="462"/>
      <c r="Z139" s="462"/>
      <c r="AA139" s="462"/>
      <c r="AB139" s="462"/>
      <c r="AC139" s="462"/>
      <c r="AD139" s="462"/>
      <c r="AE139" s="462"/>
      <c r="AF139" s="462"/>
      <c r="AG139" s="462"/>
      <c r="AH139" s="462"/>
      <c r="AI139" s="462"/>
      <c r="AJ139" s="462"/>
      <c r="AK139" s="462"/>
      <c r="AL139" s="462"/>
      <c r="AM139" s="462"/>
      <c r="AN139" s="462"/>
      <c r="AO139" s="462"/>
      <c r="AP139" s="462"/>
      <c r="AQ139" s="462"/>
      <c r="AR139" s="462"/>
      <c r="AS139" s="462"/>
      <c r="AT139" s="462"/>
      <c r="AU139" s="462"/>
      <c r="AV139" s="462"/>
      <c r="AW139" s="462"/>
      <c r="AX139" s="462"/>
      <c r="AY139" s="462"/>
    </row>
    <row r="140" spans="1:51" s="540" customFormat="1" x14ac:dyDescent="0.45">
      <c r="A140" s="545"/>
      <c r="B140" s="576"/>
      <c r="C140" s="585" t="s">
        <v>345</v>
      </c>
      <c r="D140" s="585" t="s">
        <v>342</v>
      </c>
      <c r="E140" s="687" t="s">
        <v>171</v>
      </c>
      <c r="F140" s="995"/>
      <c r="G140" s="995"/>
      <c r="Q140" s="553"/>
      <c r="R140" s="553"/>
      <c r="S140" s="553"/>
      <c r="T140" s="553"/>
      <c r="U140" s="553"/>
      <c r="V140" s="553"/>
      <c r="W140" s="553"/>
      <c r="X140" s="553"/>
      <c r="Y140" s="553"/>
      <c r="Z140" s="553"/>
      <c r="AA140" s="553"/>
      <c r="AB140" s="553"/>
      <c r="AC140" s="553"/>
      <c r="AD140" s="553"/>
      <c r="AE140" s="553"/>
      <c r="AF140" s="553"/>
      <c r="AG140" s="553"/>
      <c r="AH140" s="553"/>
      <c r="AI140" s="553"/>
      <c r="AJ140" s="553"/>
      <c r="AK140" s="553"/>
      <c r="AL140" s="553"/>
      <c r="AM140" s="553"/>
      <c r="AN140" s="553"/>
      <c r="AO140" s="553"/>
      <c r="AP140" s="553"/>
      <c r="AQ140" s="553"/>
      <c r="AR140" s="553"/>
      <c r="AS140" s="553"/>
      <c r="AT140" s="553"/>
      <c r="AU140" s="553"/>
      <c r="AV140" s="553"/>
      <c r="AW140" s="553"/>
      <c r="AX140" s="553"/>
      <c r="AY140" s="553"/>
    </row>
    <row r="141" spans="1:51" x14ac:dyDescent="0.45">
      <c r="A141" s="227"/>
      <c r="B141" s="686" t="s">
        <v>281</v>
      </c>
      <c r="C141" s="951">
        <f>C136*C25/1000*C16</f>
        <v>4.6683310022205705E-3</v>
      </c>
      <c r="D141" s="951">
        <f>$C$148*$C$149*$C$150</f>
        <v>0.96042374999999991</v>
      </c>
      <c r="E141" s="948">
        <f>C141/D141</f>
        <v>4.8606992509510217E-3</v>
      </c>
      <c r="F141" s="995"/>
      <c r="G141" s="995"/>
      <c r="Q141" s="462"/>
      <c r="R141" s="462"/>
      <c r="S141" s="462"/>
      <c r="T141" s="462"/>
      <c r="U141" s="462"/>
      <c r="V141" s="462"/>
      <c r="W141" s="462"/>
      <c r="X141" s="462"/>
      <c r="Y141" s="462"/>
      <c r="Z141" s="462"/>
      <c r="AA141" s="462"/>
      <c r="AB141" s="462"/>
      <c r="AC141" s="462"/>
      <c r="AD141" s="462"/>
      <c r="AE141" s="462"/>
      <c r="AF141" s="462"/>
      <c r="AG141" s="462"/>
      <c r="AH141" s="462"/>
      <c r="AI141" s="462"/>
      <c r="AJ141" s="462"/>
      <c r="AK141" s="462"/>
      <c r="AL141" s="462"/>
      <c r="AM141" s="462"/>
      <c r="AN141" s="462"/>
      <c r="AO141" s="462"/>
      <c r="AP141" s="462"/>
      <c r="AQ141" s="462"/>
      <c r="AR141" s="462"/>
      <c r="AS141" s="462"/>
      <c r="AT141" s="462"/>
      <c r="AU141" s="462"/>
      <c r="AV141" s="462"/>
      <c r="AW141" s="462"/>
      <c r="AX141" s="462"/>
      <c r="AY141" s="462"/>
    </row>
    <row r="142" spans="1:51" x14ac:dyDescent="0.45">
      <c r="A142" s="227"/>
      <c r="B142" s="686" t="s">
        <v>54</v>
      </c>
      <c r="C142" s="951">
        <f>C16*C137*(C135/C8)</f>
        <v>1.0411555555555556E-2</v>
      </c>
      <c r="D142" s="951">
        <f>$C$148*$C$149*$C$150</f>
        <v>0.96042374999999991</v>
      </c>
      <c r="E142" s="948">
        <f>C142/D142</f>
        <v>1.0840585268279294E-2</v>
      </c>
      <c r="F142" s="995"/>
      <c r="G142" s="995"/>
      <c r="Q142" s="462"/>
      <c r="R142" s="462"/>
      <c r="S142" s="462"/>
      <c r="T142" s="462"/>
      <c r="U142" s="462"/>
      <c r="V142" s="462"/>
      <c r="W142" s="462"/>
      <c r="X142" s="462"/>
      <c r="Y142" s="462"/>
      <c r="Z142" s="462"/>
      <c r="AA142" s="462"/>
      <c r="AB142" s="462"/>
      <c r="AC142" s="462"/>
      <c r="AD142" s="462"/>
      <c r="AE142" s="462"/>
      <c r="AF142" s="462"/>
      <c r="AG142" s="462"/>
      <c r="AH142" s="462"/>
      <c r="AI142" s="462"/>
      <c r="AJ142" s="462"/>
      <c r="AK142" s="462"/>
      <c r="AL142" s="462"/>
      <c r="AM142" s="462"/>
      <c r="AN142" s="462"/>
      <c r="AO142" s="462"/>
      <c r="AP142" s="462"/>
      <c r="AQ142" s="462"/>
      <c r="AR142" s="462"/>
      <c r="AS142" s="462"/>
      <c r="AT142" s="462"/>
      <c r="AU142" s="462"/>
      <c r="AV142" s="462"/>
      <c r="AW142" s="462"/>
      <c r="AX142" s="462"/>
      <c r="AY142" s="462"/>
    </row>
    <row r="143" spans="1:51" x14ac:dyDescent="0.45">
      <c r="A143" s="227"/>
      <c r="B143" s="686" t="s">
        <v>56</v>
      </c>
      <c r="C143" s="951">
        <f>C16*C138*(C135/C8)</f>
        <v>1.7699644444444447E-2</v>
      </c>
      <c r="D143" s="951">
        <f>$C$149*$C$150</f>
        <v>0.98504999999999998</v>
      </c>
      <c r="E143" s="948">
        <f>C143/D143</f>
        <v>1.7968270082172933E-2</v>
      </c>
      <c r="F143" s="995"/>
      <c r="G143" s="995"/>
      <c r="Q143" s="462"/>
      <c r="R143" s="462"/>
      <c r="S143" s="462"/>
      <c r="T143" s="462"/>
      <c r="U143" s="462"/>
      <c r="V143" s="462"/>
      <c r="W143" s="462"/>
      <c r="X143" s="462"/>
      <c r="Y143" s="462"/>
      <c r="Z143" s="462"/>
      <c r="AA143" s="462"/>
      <c r="AB143" s="462"/>
      <c r="AC143" s="462"/>
      <c r="AD143" s="462"/>
      <c r="AE143" s="462"/>
      <c r="AF143" s="462"/>
      <c r="AG143" s="462"/>
      <c r="AH143" s="462"/>
      <c r="AI143" s="462"/>
      <c r="AJ143" s="462"/>
      <c r="AK143" s="462"/>
      <c r="AL143" s="462"/>
      <c r="AM143" s="462"/>
      <c r="AN143" s="462"/>
      <c r="AO143" s="462"/>
      <c r="AP143" s="462"/>
      <c r="AQ143" s="462"/>
      <c r="AR143" s="462"/>
      <c r="AS143" s="462"/>
      <c r="AT143" s="462"/>
      <c r="AU143" s="462"/>
      <c r="AV143" s="462"/>
      <c r="AW143" s="462"/>
      <c r="AX143" s="462"/>
      <c r="AY143" s="462"/>
    </row>
    <row r="144" spans="1:51" x14ac:dyDescent="0.45">
      <c r="A144" s="227"/>
      <c r="B144" s="686" t="s">
        <v>65</v>
      </c>
      <c r="C144" s="951">
        <f>C16*C139*(C135/C8)</f>
        <v>2.602888888888889E-3</v>
      </c>
      <c r="D144" s="951">
        <f>$C$150</f>
        <v>0.995</v>
      </c>
      <c r="E144" s="948">
        <f>C144/D144</f>
        <v>2.6159687325516471E-3</v>
      </c>
      <c r="F144" s="995"/>
      <c r="G144" s="995"/>
      <c r="Q144" s="462"/>
      <c r="R144" s="462"/>
      <c r="S144" s="462"/>
      <c r="T144" s="462"/>
      <c r="U144" s="462"/>
      <c r="V144" s="462"/>
      <c r="W144" s="462"/>
      <c r="X144" s="462"/>
      <c r="Y144" s="462"/>
      <c r="Z144" s="462"/>
      <c r="AA144" s="462"/>
      <c r="AB144" s="462"/>
      <c r="AC144" s="462"/>
      <c r="AD144" s="462"/>
      <c r="AE144" s="462"/>
      <c r="AF144" s="462"/>
      <c r="AG144" s="462"/>
      <c r="AH144" s="462"/>
      <c r="AI144" s="462"/>
      <c r="AJ144" s="462"/>
      <c r="AK144" s="462"/>
      <c r="AL144" s="462"/>
      <c r="AM144" s="462"/>
      <c r="AN144" s="462"/>
      <c r="AO144" s="462"/>
      <c r="AP144" s="462"/>
      <c r="AQ144" s="462"/>
      <c r="AR144" s="462"/>
      <c r="AS144" s="462"/>
      <c r="AT144" s="462"/>
      <c r="AU144" s="462"/>
      <c r="AV144" s="462"/>
      <c r="AW144" s="462"/>
      <c r="AX144" s="462"/>
      <c r="AY144" s="462"/>
    </row>
    <row r="145" spans="1:51" x14ac:dyDescent="0.45">
      <c r="A145" s="227"/>
      <c r="B145" s="632" t="s">
        <v>55</v>
      </c>
      <c r="C145" s="952"/>
      <c r="D145" s="954"/>
      <c r="E145" s="982">
        <f>SUM(E141:E144)</f>
        <v>3.6285523333954899E-2</v>
      </c>
      <c r="F145" s="995"/>
      <c r="G145" s="995"/>
      <c r="Q145" s="462"/>
      <c r="R145" s="462"/>
      <c r="S145" s="462"/>
      <c r="T145" s="462"/>
      <c r="U145" s="462"/>
      <c r="V145" s="462"/>
      <c r="W145" s="462"/>
      <c r="X145" s="462"/>
      <c r="Y145" s="462"/>
      <c r="Z145" s="462"/>
      <c r="AA145" s="462"/>
      <c r="AB145" s="462"/>
      <c r="AC145" s="462"/>
      <c r="AD145" s="462"/>
      <c r="AE145" s="462"/>
      <c r="AF145" s="462"/>
      <c r="AG145" s="462"/>
      <c r="AH145" s="462"/>
      <c r="AI145" s="462"/>
      <c r="AJ145" s="462"/>
      <c r="AK145" s="462"/>
      <c r="AL145" s="462"/>
      <c r="AM145" s="462"/>
      <c r="AN145" s="462"/>
      <c r="AO145" s="462"/>
      <c r="AP145" s="462"/>
      <c r="AQ145" s="462"/>
      <c r="AR145" s="462"/>
      <c r="AS145" s="462"/>
      <c r="AT145" s="462"/>
      <c r="AU145" s="462"/>
      <c r="AV145" s="462"/>
      <c r="AW145" s="462"/>
      <c r="AX145" s="462"/>
      <c r="AY145" s="462"/>
    </row>
    <row r="146" spans="1:51" x14ac:dyDescent="0.45">
      <c r="A146" s="227"/>
      <c r="F146" s="225"/>
      <c r="Q146" s="462"/>
      <c r="R146" s="462"/>
      <c r="S146" s="462"/>
      <c r="T146" s="462"/>
      <c r="U146" s="462"/>
      <c r="V146" s="462"/>
      <c r="W146" s="462"/>
      <c r="X146" s="462"/>
      <c r="Y146" s="462"/>
      <c r="Z146" s="462"/>
      <c r="AA146" s="462"/>
      <c r="AB146" s="462"/>
      <c r="AC146" s="462"/>
      <c r="AD146" s="462"/>
      <c r="AE146" s="462"/>
      <c r="AF146" s="462"/>
      <c r="AG146" s="462"/>
      <c r="AH146" s="462"/>
      <c r="AI146" s="462"/>
      <c r="AJ146" s="462"/>
      <c r="AK146" s="462"/>
      <c r="AL146" s="462"/>
      <c r="AM146" s="462"/>
      <c r="AN146" s="462"/>
      <c r="AO146" s="462"/>
      <c r="AP146" s="462"/>
      <c r="AQ146" s="462"/>
      <c r="AR146" s="462"/>
      <c r="AS146" s="462"/>
      <c r="AT146" s="462"/>
      <c r="AU146" s="462"/>
      <c r="AV146" s="462"/>
      <c r="AW146" s="462"/>
      <c r="AX146" s="462"/>
      <c r="AY146" s="462"/>
    </row>
    <row r="147" spans="1:51" x14ac:dyDescent="0.45">
      <c r="A147" s="227"/>
      <c r="B147" s="612" t="s">
        <v>26</v>
      </c>
      <c r="C147" s="262"/>
      <c r="D147" s="263"/>
      <c r="AA147" s="268"/>
      <c r="AB147" s="268"/>
      <c r="AC147" s="268"/>
      <c r="AD147" s="268"/>
      <c r="AE147" s="268"/>
      <c r="AF147" s="268"/>
      <c r="AG147" s="268"/>
      <c r="AH147" s="268"/>
      <c r="AI147" s="268"/>
      <c r="AJ147" s="268"/>
      <c r="AK147" s="268"/>
      <c r="AL147" s="268"/>
      <c r="AM147" s="268"/>
      <c r="AN147" s="268"/>
    </row>
    <row r="148" spans="1:51" x14ac:dyDescent="0.45">
      <c r="A148" s="227"/>
      <c r="B148" s="968" t="s">
        <v>58</v>
      </c>
      <c r="C148" s="983">
        <v>0.97499999999999998</v>
      </c>
      <c r="D148" s="984" t="s">
        <v>22</v>
      </c>
      <c r="AA148" s="268"/>
      <c r="AB148" s="268"/>
      <c r="AC148" s="268"/>
      <c r="AD148" s="268"/>
      <c r="AE148" s="268"/>
      <c r="AF148" s="268"/>
      <c r="AG148" s="268"/>
      <c r="AH148" s="268"/>
      <c r="AI148" s="268"/>
      <c r="AJ148" s="268"/>
      <c r="AK148" s="268"/>
      <c r="AL148" s="268"/>
      <c r="AM148" s="268"/>
      <c r="AN148" s="268"/>
    </row>
    <row r="149" spans="1:51" x14ac:dyDescent="0.45">
      <c r="A149" s="227"/>
      <c r="B149" s="591" t="s">
        <v>59</v>
      </c>
      <c r="C149" s="611">
        <v>0.99</v>
      </c>
      <c r="D149" s="610" t="s">
        <v>22</v>
      </c>
      <c r="AA149" s="268"/>
      <c r="AB149" s="268"/>
      <c r="AC149" s="268"/>
      <c r="AD149" s="268"/>
      <c r="AE149" s="268"/>
      <c r="AF149" s="268"/>
      <c r="AG149" s="268"/>
      <c r="AH149" s="268"/>
      <c r="AI149" s="268"/>
      <c r="AJ149" s="268"/>
      <c r="AK149" s="268"/>
      <c r="AL149" s="268"/>
      <c r="AM149" s="268"/>
      <c r="AN149" s="268"/>
    </row>
    <row r="150" spans="1:51" x14ac:dyDescent="0.45">
      <c r="A150" s="227"/>
      <c r="B150" s="591" t="s">
        <v>60</v>
      </c>
      <c r="C150" s="611">
        <v>0.995</v>
      </c>
      <c r="D150" s="610" t="s">
        <v>22</v>
      </c>
      <c r="AA150" s="268"/>
      <c r="AB150" s="268"/>
      <c r="AC150" s="268"/>
      <c r="AD150" s="268"/>
      <c r="AE150" s="268"/>
      <c r="AF150" s="268"/>
      <c r="AG150" s="268"/>
      <c r="AH150" s="268"/>
      <c r="AI150" s="268"/>
      <c r="AJ150" s="268"/>
      <c r="AK150" s="268"/>
      <c r="AL150" s="268"/>
      <c r="AM150" s="268"/>
      <c r="AN150" s="268"/>
    </row>
    <row r="151" spans="1:51" s="458" customFormat="1" x14ac:dyDescent="0.45">
      <c r="A151" s="459"/>
      <c r="B151" s="985" t="s">
        <v>192</v>
      </c>
      <c r="C151" s="986">
        <f>C148*C149*C150</f>
        <v>0.96042374999999991</v>
      </c>
      <c r="D151" s="987" t="s">
        <v>22</v>
      </c>
      <c r="AA151" s="473"/>
      <c r="AB151" s="473"/>
      <c r="AC151" s="473"/>
      <c r="AD151" s="473"/>
      <c r="AE151" s="473"/>
      <c r="AF151" s="473"/>
      <c r="AG151" s="473"/>
      <c r="AH151" s="473"/>
      <c r="AI151" s="473"/>
      <c r="AJ151" s="473"/>
      <c r="AK151" s="473"/>
      <c r="AL151" s="473"/>
      <c r="AM151" s="473"/>
      <c r="AN151" s="473"/>
    </row>
    <row r="152" spans="1:51" x14ac:dyDescent="0.45">
      <c r="A152" s="227"/>
      <c r="AA152" s="268"/>
      <c r="AB152" s="268"/>
      <c r="AC152" s="268"/>
      <c r="AD152" s="268"/>
      <c r="AE152" s="268"/>
      <c r="AF152" s="268"/>
      <c r="AG152" s="268"/>
      <c r="AH152" s="268"/>
      <c r="AI152" s="268"/>
      <c r="AJ152" s="268"/>
      <c r="AK152" s="268"/>
      <c r="AL152" s="268"/>
      <c r="AM152" s="268"/>
      <c r="AN152" s="268"/>
    </row>
    <row r="153" spans="1:51" x14ac:dyDescent="0.45">
      <c r="A153" s="227"/>
      <c r="B153" s="308" t="s">
        <v>21</v>
      </c>
      <c r="C153" s="309"/>
      <c r="D153" s="310"/>
      <c r="AA153" s="268"/>
      <c r="AB153" s="268"/>
      <c r="AC153" s="268"/>
      <c r="AD153" s="268"/>
      <c r="AE153" s="268"/>
      <c r="AF153" s="268"/>
      <c r="AG153" s="268"/>
      <c r="AH153" s="268"/>
      <c r="AI153" s="268"/>
      <c r="AJ153" s="268"/>
      <c r="AK153" s="268"/>
      <c r="AL153" s="268"/>
      <c r="AM153" s="268"/>
      <c r="AN153" s="268"/>
    </row>
    <row r="154" spans="1:51" x14ac:dyDescent="0.45">
      <c r="A154" s="227"/>
      <c r="B154" s="311" t="s">
        <v>92</v>
      </c>
      <c r="C154" s="309">
        <f>0.15</f>
        <v>0.15</v>
      </c>
      <c r="D154" s="310" t="s">
        <v>23</v>
      </c>
      <c r="AA154" s="268"/>
      <c r="AB154" s="268"/>
      <c r="AC154" s="268"/>
      <c r="AD154" s="268"/>
      <c r="AE154" s="268"/>
      <c r="AF154" s="268"/>
      <c r="AG154" s="268"/>
      <c r="AH154" s="268"/>
      <c r="AI154" s="268"/>
      <c r="AJ154" s="268"/>
      <c r="AK154" s="268"/>
      <c r="AL154" s="268"/>
      <c r="AM154" s="268"/>
      <c r="AN154" s="268"/>
    </row>
    <row r="155" spans="1:51" x14ac:dyDescent="0.45">
      <c r="A155" s="227"/>
      <c r="B155" s="313" t="s">
        <v>21</v>
      </c>
      <c r="C155" s="312">
        <f>3*C154*C57</f>
        <v>0.88593977528089884</v>
      </c>
      <c r="D155" s="314" t="s">
        <v>98</v>
      </c>
      <c r="AA155" s="268"/>
      <c r="AB155" s="268"/>
      <c r="AC155" s="268"/>
      <c r="AD155" s="268"/>
      <c r="AE155" s="268"/>
      <c r="AF155" s="268"/>
      <c r="AG155" s="268"/>
      <c r="AH155" s="268"/>
      <c r="AI155" s="268"/>
      <c r="AJ155" s="268"/>
      <c r="AK155" s="268"/>
      <c r="AL155" s="268"/>
      <c r="AM155" s="268"/>
      <c r="AN155" s="268"/>
    </row>
    <row r="156" spans="1:51" x14ac:dyDescent="0.45">
      <c r="A156" s="227"/>
      <c r="B156" s="584" t="s">
        <v>344</v>
      </c>
      <c r="C156" s="777">
        <f>C155/C58</f>
        <v>2.4999999999999996E-3</v>
      </c>
      <c r="D156" s="779" t="s">
        <v>138</v>
      </c>
      <c r="AA156" s="268"/>
      <c r="AB156" s="268"/>
      <c r="AC156" s="268"/>
      <c r="AD156" s="268"/>
      <c r="AE156" s="268"/>
      <c r="AF156" s="268"/>
      <c r="AG156" s="268"/>
      <c r="AH156" s="268"/>
      <c r="AI156" s="268"/>
      <c r="AJ156" s="268"/>
      <c r="AK156" s="268"/>
      <c r="AL156" s="268"/>
      <c r="AM156" s="268"/>
      <c r="AN156" s="268"/>
    </row>
    <row r="157" spans="1:51" s="540" customFormat="1" x14ac:dyDescent="0.45">
      <c r="A157" s="545"/>
      <c r="B157" s="778" t="s">
        <v>339</v>
      </c>
      <c r="C157" s="777">
        <f>$C$150</f>
        <v>0.995</v>
      </c>
      <c r="D157" s="779" t="s">
        <v>22</v>
      </c>
      <c r="AA157" s="631"/>
      <c r="AB157" s="631"/>
      <c r="AC157" s="631"/>
      <c r="AD157" s="631"/>
      <c r="AE157" s="631"/>
      <c r="AF157" s="631"/>
      <c r="AG157" s="631"/>
      <c r="AH157" s="631"/>
      <c r="AI157" s="631"/>
      <c r="AJ157" s="631"/>
      <c r="AK157" s="631"/>
      <c r="AL157" s="631"/>
      <c r="AM157" s="631"/>
      <c r="AN157" s="631"/>
    </row>
    <row r="158" spans="1:51" s="540" customFormat="1" x14ac:dyDescent="0.45">
      <c r="A158" s="545"/>
      <c r="B158" s="633" t="s">
        <v>99</v>
      </c>
      <c r="C158" s="634">
        <f>C156/C157</f>
        <v>2.5125628140703514E-3</v>
      </c>
      <c r="D158" s="635" t="s">
        <v>138</v>
      </c>
      <c r="AA158" s="631"/>
      <c r="AB158" s="631"/>
      <c r="AC158" s="631"/>
      <c r="AD158" s="631"/>
      <c r="AE158" s="631"/>
      <c r="AF158" s="631"/>
      <c r="AG158" s="631"/>
      <c r="AH158" s="631"/>
      <c r="AI158" s="631"/>
      <c r="AJ158" s="631"/>
      <c r="AK158" s="631"/>
      <c r="AL158" s="631"/>
      <c r="AM158" s="631"/>
      <c r="AN158" s="631"/>
    </row>
    <row r="159" spans="1:51" x14ac:dyDescent="0.45">
      <c r="A159" s="227"/>
      <c r="B159" s="229"/>
      <c r="C159" s="295"/>
      <c r="D159" s="229"/>
      <c r="AA159" s="268"/>
      <c r="AB159" s="268"/>
      <c r="AC159" s="268"/>
      <c r="AD159" s="268"/>
      <c r="AE159" s="268"/>
      <c r="AF159" s="268"/>
      <c r="AG159" s="268"/>
      <c r="AH159" s="268"/>
      <c r="AI159" s="268"/>
      <c r="AJ159" s="268"/>
      <c r="AK159" s="268"/>
      <c r="AL159" s="268"/>
      <c r="AM159" s="268"/>
      <c r="AN159" s="268"/>
    </row>
    <row r="160" spans="1:51" x14ac:dyDescent="0.45">
      <c r="A160" s="227"/>
      <c r="B160" s="300" t="s">
        <v>29</v>
      </c>
      <c r="C160" s="301"/>
      <c r="D160" s="302"/>
      <c r="AA160" s="268"/>
      <c r="AB160" s="268"/>
      <c r="AC160" s="268"/>
      <c r="AD160" s="268"/>
      <c r="AE160" s="268"/>
      <c r="AF160" s="268"/>
      <c r="AG160" s="268"/>
      <c r="AH160" s="268"/>
      <c r="AI160" s="268"/>
      <c r="AJ160" s="268"/>
      <c r="AK160" s="268"/>
      <c r="AL160" s="268"/>
      <c r="AM160" s="268"/>
      <c r="AN160" s="268"/>
    </row>
    <row r="161" spans="1:40" x14ac:dyDescent="0.45">
      <c r="A161" s="227"/>
      <c r="B161" s="804" t="s">
        <v>285</v>
      </c>
      <c r="C161" s="876">
        <f>0.25*1100</f>
        <v>275</v>
      </c>
      <c r="D161" s="335" t="s">
        <v>12</v>
      </c>
      <c r="AA161" s="268"/>
      <c r="AB161" s="268"/>
      <c r="AC161" s="268"/>
      <c r="AD161" s="268"/>
      <c r="AE161" s="268"/>
      <c r="AF161" s="268"/>
      <c r="AG161" s="268"/>
      <c r="AH161" s="268"/>
      <c r="AI161" s="268"/>
      <c r="AJ161" s="268"/>
      <c r="AK161" s="268"/>
      <c r="AL161" s="268"/>
      <c r="AM161" s="268"/>
      <c r="AN161" s="268"/>
    </row>
    <row r="162" spans="1:40" x14ac:dyDescent="0.45">
      <c r="A162" s="227"/>
      <c r="B162" s="751" t="s">
        <v>286</v>
      </c>
      <c r="C162" s="803">
        <v>0.22500000000000001</v>
      </c>
      <c r="D162" s="331" t="s">
        <v>85</v>
      </c>
      <c r="AA162" s="268"/>
      <c r="AB162" s="268"/>
      <c r="AC162" s="268"/>
      <c r="AD162" s="268"/>
      <c r="AE162" s="268"/>
      <c r="AF162" s="268"/>
      <c r="AG162" s="268"/>
      <c r="AH162" s="268"/>
      <c r="AI162" s="268"/>
      <c r="AJ162" s="268"/>
      <c r="AK162" s="268"/>
      <c r="AL162" s="268"/>
      <c r="AM162" s="268"/>
      <c r="AN162" s="268"/>
    </row>
    <row r="163" spans="1:40" x14ac:dyDescent="0.45">
      <c r="A163" s="227"/>
      <c r="B163" s="972" t="s">
        <v>353</v>
      </c>
      <c r="C163" s="958">
        <f>C161*C162/1000</f>
        <v>6.1874999999999999E-2</v>
      </c>
      <c r="D163" s="799" t="s">
        <v>16</v>
      </c>
      <c r="AA163" s="268"/>
      <c r="AB163" s="268"/>
      <c r="AC163" s="268"/>
      <c r="AD163" s="268"/>
      <c r="AE163" s="268"/>
      <c r="AF163" s="268"/>
      <c r="AG163" s="268"/>
      <c r="AH163" s="268"/>
      <c r="AI163" s="268"/>
      <c r="AJ163" s="268"/>
      <c r="AK163" s="268"/>
      <c r="AL163" s="268"/>
      <c r="AM163" s="268"/>
      <c r="AN163" s="268"/>
    </row>
    <row r="164" spans="1:40" x14ac:dyDescent="0.45">
      <c r="A164" s="227"/>
      <c r="B164" s="972" t="s">
        <v>114</v>
      </c>
      <c r="C164" s="958">
        <v>50</v>
      </c>
      <c r="D164" s="799" t="s">
        <v>12</v>
      </c>
      <c r="AA164" s="268"/>
      <c r="AB164" s="268"/>
      <c r="AC164" s="268"/>
      <c r="AD164" s="268"/>
      <c r="AE164" s="268"/>
      <c r="AF164" s="268"/>
      <c r="AG164" s="268"/>
      <c r="AH164" s="268"/>
      <c r="AI164" s="268"/>
      <c r="AJ164" s="268"/>
      <c r="AK164" s="268"/>
      <c r="AL164" s="268"/>
      <c r="AM164" s="268"/>
      <c r="AN164" s="268"/>
    </row>
    <row r="165" spans="1:40" x14ac:dyDescent="0.45">
      <c r="A165" s="227"/>
      <c r="B165" s="972" t="s">
        <v>115</v>
      </c>
      <c r="C165" s="958">
        <v>1.4</v>
      </c>
      <c r="D165" s="799" t="s">
        <v>85</v>
      </c>
      <c r="AA165" s="268"/>
      <c r="AB165" s="268"/>
      <c r="AC165" s="268"/>
      <c r="AD165" s="268"/>
      <c r="AE165" s="268"/>
      <c r="AF165" s="268"/>
      <c r="AG165" s="268"/>
      <c r="AH165" s="268"/>
      <c r="AI165" s="268"/>
      <c r="AJ165" s="268"/>
      <c r="AK165" s="268"/>
      <c r="AL165" s="268"/>
      <c r="AM165" s="268"/>
      <c r="AN165" s="268"/>
    </row>
    <row r="166" spans="1:40" x14ac:dyDescent="0.45">
      <c r="A166" s="227"/>
      <c r="B166" s="972" t="s">
        <v>352</v>
      </c>
      <c r="C166" s="958">
        <f>C164*C165/1000</f>
        <v>7.0000000000000007E-2</v>
      </c>
      <c r="D166" s="799" t="s">
        <v>16</v>
      </c>
      <c r="AA166" s="268"/>
      <c r="AB166" s="268"/>
      <c r="AC166" s="268"/>
      <c r="AD166" s="268"/>
      <c r="AE166" s="268"/>
      <c r="AF166" s="268"/>
      <c r="AG166" s="268"/>
      <c r="AH166" s="268"/>
      <c r="AI166" s="268"/>
      <c r="AJ166" s="268"/>
      <c r="AK166" s="268"/>
      <c r="AL166" s="268"/>
      <c r="AM166" s="268"/>
      <c r="AN166" s="268"/>
    </row>
    <row r="167" spans="1:40" x14ac:dyDescent="0.45">
      <c r="A167" s="227"/>
      <c r="B167" s="751" t="s">
        <v>343</v>
      </c>
      <c r="C167" s="958">
        <f>C163+C166</f>
        <v>0.13187500000000002</v>
      </c>
      <c r="D167" s="799" t="s">
        <v>16</v>
      </c>
      <c r="AA167" s="268"/>
      <c r="AB167" s="268"/>
      <c r="AC167" s="268"/>
      <c r="AD167" s="268"/>
      <c r="AE167" s="268"/>
      <c r="AF167" s="268"/>
      <c r="AG167" s="268"/>
      <c r="AH167" s="268"/>
      <c r="AI167" s="268"/>
      <c r="AJ167" s="268"/>
      <c r="AK167" s="268"/>
      <c r="AL167" s="268"/>
      <c r="AM167" s="268"/>
      <c r="AN167" s="268"/>
    </row>
    <row r="168" spans="1:40" s="540" customFormat="1" x14ac:dyDescent="0.45">
      <c r="A168" s="545"/>
      <c r="B168" s="972" t="s">
        <v>339</v>
      </c>
      <c r="C168" s="749">
        <f>$C$149*$C$150</f>
        <v>0.98504999999999998</v>
      </c>
      <c r="D168" s="976" t="s">
        <v>22</v>
      </c>
      <c r="AA168" s="631"/>
      <c r="AB168" s="631"/>
      <c r="AC168" s="631"/>
      <c r="AD168" s="631"/>
      <c r="AE168" s="631"/>
      <c r="AF168" s="631"/>
      <c r="AG168" s="631"/>
      <c r="AH168" s="631"/>
      <c r="AI168" s="631"/>
      <c r="AJ168" s="631"/>
      <c r="AK168" s="631"/>
      <c r="AL168" s="631"/>
      <c r="AM168" s="631"/>
      <c r="AN168" s="631"/>
    </row>
    <row r="169" spans="1:40" s="540" customFormat="1" x14ac:dyDescent="0.45">
      <c r="A169" s="545"/>
      <c r="B169" s="942" t="s">
        <v>86</v>
      </c>
      <c r="C169" s="943">
        <f>C167/C168</f>
        <v>0.13387645297193038</v>
      </c>
      <c r="D169" s="944" t="s">
        <v>16</v>
      </c>
      <c r="AA169" s="631"/>
      <c r="AB169" s="631"/>
      <c r="AC169" s="631"/>
      <c r="AD169" s="631"/>
      <c r="AE169" s="631"/>
      <c r="AF169" s="631"/>
      <c r="AG169" s="631"/>
      <c r="AH169" s="631"/>
      <c r="AI169" s="631"/>
      <c r="AJ169" s="631"/>
      <c r="AK169" s="631"/>
      <c r="AL169" s="631"/>
      <c r="AM169" s="631"/>
      <c r="AN169" s="631"/>
    </row>
    <row r="170" spans="1:40" x14ac:dyDescent="0.45">
      <c r="A170" s="227"/>
      <c r="AA170" s="268"/>
      <c r="AB170" s="268"/>
      <c r="AC170" s="268"/>
      <c r="AD170" s="268"/>
      <c r="AE170" s="268"/>
      <c r="AF170" s="268"/>
      <c r="AG170" s="268"/>
      <c r="AH170" s="268"/>
      <c r="AI170" s="268"/>
      <c r="AJ170" s="268"/>
      <c r="AK170" s="268"/>
      <c r="AL170" s="268"/>
      <c r="AM170" s="268"/>
      <c r="AN170" s="268"/>
    </row>
    <row r="171" spans="1:40" x14ac:dyDescent="0.45">
      <c r="A171" s="227"/>
      <c r="B171" s="386" t="s">
        <v>162</v>
      </c>
      <c r="C171" s="387"/>
      <c r="D171" s="388"/>
      <c r="AA171" s="268"/>
      <c r="AB171" s="268"/>
      <c r="AC171" s="268"/>
      <c r="AD171" s="268"/>
      <c r="AE171" s="268"/>
      <c r="AF171" s="268"/>
      <c r="AG171" s="268"/>
      <c r="AH171" s="268"/>
      <c r="AI171" s="268"/>
      <c r="AJ171" s="268"/>
      <c r="AK171" s="268"/>
      <c r="AL171" s="268"/>
      <c r="AM171" s="268"/>
      <c r="AN171" s="268"/>
    </row>
    <row r="172" spans="1:40" x14ac:dyDescent="0.45">
      <c r="A172" s="227"/>
      <c r="B172" s="382" t="s">
        <v>104</v>
      </c>
      <c r="C172" s="389">
        <v>4</v>
      </c>
      <c r="D172" s="390" t="s">
        <v>108</v>
      </c>
      <c r="AA172" s="268"/>
      <c r="AB172" s="268"/>
      <c r="AC172" s="268"/>
      <c r="AD172" s="268"/>
      <c r="AE172" s="268"/>
      <c r="AF172" s="268"/>
      <c r="AG172" s="268"/>
      <c r="AH172" s="268"/>
      <c r="AI172" s="268"/>
      <c r="AJ172" s="268"/>
      <c r="AK172" s="268"/>
      <c r="AL172" s="268"/>
      <c r="AM172" s="268"/>
      <c r="AN172" s="268"/>
    </row>
    <row r="173" spans="1:40" x14ac:dyDescent="0.45">
      <c r="A173" s="227"/>
      <c r="B173" s="382" t="s">
        <v>105</v>
      </c>
      <c r="C173" s="389">
        <v>8000</v>
      </c>
      <c r="D173" s="390" t="s">
        <v>106</v>
      </c>
      <c r="AA173" s="268"/>
      <c r="AB173" s="268"/>
      <c r="AC173" s="268"/>
      <c r="AD173" s="268"/>
      <c r="AE173" s="268"/>
      <c r="AF173" s="268"/>
      <c r="AG173" s="268"/>
      <c r="AH173" s="268"/>
      <c r="AI173" s="268"/>
      <c r="AJ173" s="268"/>
      <c r="AK173" s="268"/>
      <c r="AL173" s="268"/>
      <c r="AM173" s="268"/>
      <c r="AN173" s="268"/>
    </row>
    <row r="174" spans="1:40" x14ac:dyDescent="0.45">
      <c r="A174" s="227"/>
      <c r="B174" s="382" t="s">
        <v>107</v>
      </c>
      <c r="C174" s="389">
        <v>70</v>
      </c>
      <c r="D174" s="390" t="s">
        <v>397</v>
      </c>
      <c r="AA174" s="268"/>
      <c r="AB174" s="268"/>
      <c r="AC174" s="268"/>
      <c r="AD174" s="268"/>
      <c r="AE174" s="268"/>
      <c r="AF174" s="268"/>
      <c r="AG174" s="268"/>
      <c r="AH174" s="268"/>
      <c r="AI174" s="268"/>
      <c r="AJ174" s="268"/>
      <c r="AK174" s="268"/>
      <c r="AL174" s="268"/>
      <c r="AM174" s="268"/>
      <c r="AN174" s="268"/>
    </row>
    <row r="175" spans="1:40" x14ac:dyDescent="0.45">
      <c r="A175" s="227"/>
      <c r="B175" s="382" t="s">
        <v>350</v>
      </c>
      <c r="C175" s="389">
        <f>C174*C172/C173</f>
        <v>3.5000000000000003E-2</v>
      </c>
      <c r="D175" s="390" t="s">
        <v>16</v>
      </c>
      <c r="N175" s="235"/>
      <c r="O175" s="235"/>
      <c r="P175" s="235"/>
      <c r="Q175" s="235"/>
      <c r="R175" s="235"/>
      <c r="S175" s="235"/>
      <c r="T175" s="235"/>
      <c r="U175" s="235"/>
      <c r="V175" s="235"/>
      <c r="W175" s="235"/>
      <c r="X175" s="235"/>
      <c r="Y175" s="235"/>
      <c r="AA175" s="268"/>
      <c r="AB175" s="268"/>
      <c r="AC175" s="268"/>
      <c r="AD175" s="268"/>
      <c r="AE175" s="268"/>
      <c r="AF175" s="268"/>
      <c r="AG175" s="268"/>
      <c r="AH175" s="268"/>
      <c r="AI175" s="268"/>
      <c r="AJ175" s="268"/>
      <c r="AK175" s="268"/>
      <c r="AL175" s="268"/>
      <c r="AM175" s="268"/>
      <c r="AN175" s="268"/>
    </row>
    <row r="176" spans="1:40" s="540" customFormat="1" x14ac:dyDescent="0.45">
      <c r="A176" s="545"/>
      <c r="B176" s="969" t="s">
        <v>339</v>
      </c>
      <c r="C176" s="381">
        <f>$C$149*$C$150</f>
        <v>0.98504999999999998</v>
      </c>
      <c r="D176" s="390" t="s">
        <v>22</v>
      </c>
      <c r="N176" s="553"/>
      <c r="O176" s="553"/>
      <c r="P176" s="553"/>
      <c r="Q176" s="553"/>
      <c r="R176" s="553"/>
      <c r="S176" s="553"/>
      <c r="T176" s="553"/>
      <c r="U176" s="553"/>
      <c r="V176" s="553"/>
      <c r="W176" s="553"/>
      <c r="X176" s="553"/>
      <c r="Y176" s="553"/>
      <c r="AA176" s="631"/>
      <c r="AB176" s="631"/>
      <c r="AC176" s="631"/>
      <c r="AD176" s="631"/>
      <c r="AE176" s="631"/>
      <c r="AF176" s="631"/>
      <c r="AG176" s="631"/>
      <c r="AH176" s="631"/>
      <c r="AI176" s="631"/>
      <c r="AJ176" s="631"/>
      <c r="AK176" s="631"/>
      <c r="AL176" s="631"/>
      <c r="AM176" s="631"/>
      <c r="AN176" s="631"/>
    </row>
    <row r="177" spans="1:40" s="540" customFormat="1" x14ac:dyDescent="0.45">
      <c r="A177" s="545"/>
      <c r="B177" s="962" t="s">
        <v>107</v>
      </c>
      <c r="C177" s="970">
        <f>C175/C176</f>
        <v>3.5531191310085787E-2</v>
      </c>
      <c r="D177" s="971" t="s">
        <v>16</v>
      </c>
      <c r="N177" s="553"/>
      <c r="O177" s="553"/>
      <c r="P177" s="553"/>
      <c r="Q177" s="553"/>
      <c r="R177" s="553"/>
      <c r="S177" s="553"/>
      <c r="T177" s="553"/>
      <c r="U177" s="553"/>
      <c r="V177" s="553"/>
      <c r="W177" s="553"/>
      <c r="X177" s="553"/>
      <c r="Y177" s="553"/>
      <c r="AA177" s="631"/>
      <c r="AB177" s="631"/>
      <c r="AC177" s="631"/>
      <c r="AD177" s="631"/>
      <c r="AE177" s="631"/>
      <c r="AF177" s="631"/>
      <c r="AG177" s="631"/>
      <c r="AH177" s="631"/>
      <c r="AI177" s="631"/>
      <c r="AJ177" s="631"/>
      <c r="AK177" s="631"/>
      <c r="AL177" s="631"/>
      <c r="AM177" s="631"/>
      <c r="AN177" s="631"/>
    </row>
    <row r="178" spans="1:40" x14ac:dyDescent="0.45">
      <c r="A178" s="227"/>
      <c r="N178" s="235"/>
      <c r="O178" s="235"/>
      <c r="P178" s="235"/>
      <c r="Q178" s="235"/>
      <c r="R178" s="235"/>
      <c r="S178" s="235"/>
      <c r="T178" s="235"/>
      <c r="U178" s="235"/>
      <c r="V178" s="235"/>
      <c r="W178" s="235"/>
      <c r="X178" s="235"/>
      <c r="Y178" s="235"/>
      <c r="AA178" s="268"/>
      <c r="AB178" s="268"/>
      <c r="AC178" s="268"/>
      <c r="AD178" s="268"/>
      <c r="AE178" s="268"/>
      <c r="AF178" s="268"/>
      <c r="AG178" s="268"/>
      <c r="AH178" s="268"/>
      <c r="AI178" s="268"/>
      <c r="AJ178" s="268"/>
      <c r="AK178" s="268"/>
      <c r="AL178" s="268"/>
      <c r="AM178" s="268"/>
      <c r="AN178" s="268"/>
    </row>
    <row r="179" spans="1:40" x14ac:dyDescent="0.45">
      <c r="A179" s="227"/>
      <c r="B179" s="623" t="s">
        <v>144</v>
      </c>
      <c r="C179" s="624"/>
      <c r="D179" s="624"/>
      <c r="E179" s="624"/>
      <c r="F179" s="267"/>
      <c r="G179" s="235"/>
      <c r="H179" s="235"/>
      <c r="I179" s="235"/>
      <c r="J179" s="235"/>
      <c r="N179" s="235"/>
      <c r="O179" s="235"/>
      <c r="P179" s="235"/>
      <c r="Q179" s="235"/>
      <c r="R179" s="235"/>
      <c r="S179" s="235"/>
      <c r="T179" s="235"/>
      <c r="U179" s="235"/>
      <c r="V179" s="235"/>
      <c r="W179" s="235"/>
      <c r="X179" s="235"/>
      <c r="Y179" s="235"/>
      <c r="AA179" s="268"/>
      <c r="AB179" s="268"/>
      <c r="AC179" s="268"/>
      <c r="AD179" s="268"/>
      <c r="AE179" s="268"/>
      <c r="AF179" s="268"/>
      <c r="AG179" s="268"/>
      <c r="AH179" s="268"/>
      <c r="AI179" s="268"/>
      <c r="AJ179" s="268"/>
      <c r="AK179" s="268"/>
      <c r="AL179" s="268"/>
      <c r="AM179" s="268"/>
      <c r="AN179" s="268"/>
    </row>
    <row r="180" spans="1:40" x14ac:dyDescent="0.45">
      <c r="A180" s="227"/>
      <c r="B180" s="618"/>
      <c r="C180" s="819" t="s">
        <v>161</v>
      </c>
      <c r="D180" s="620" t="s">
        <v>171</v>
      </c>
      <c r="E180" s="620" t="s">
        <v>342</v>
      </c>
      <c r="F180" s="979" t="s">
        <v>171</v>
      </c>
      <c r="G180" s="235"/>
      <c r="H180" s="235"/>
      <c r="I180" s="235"/>
      <c r="J180" s="235"/>
      <c r="N180" s="235"/>
      <c r="O180" s="235"/>
      <c r="P180" s="391"/>
      <c r="Q180" s="235"/>
      <c r="R180" s="235"/>
      <c r="S180" s="391"/>
      <c r="T180" s="235"/>
      <c r="U180" s="235"/>
      <c r="V180" s="392"/>
      <c r="W180" s="235"/>
      <c r="X180" s="235"/>
      <c r="Y180" s="235"/>
      <c r="Z180" s="268"/>
      <c r="AA180" s="268"/>
      <c r="AB180" s="268"/>
      <c r="AC180" s="268"/>
      <c r="AD180" s="268"/>
      <c r="AE180" s="268"/>
      <c r="AF180" s="268"/>
      <c r="AG180" s="268"/>
      <c r="AH180" s="268"/>
      <c r="AI180" s="268"/>
      <c r="AJ180" s="268"/>
      <c r="AK180" s="268"/>
      <c r="AL180" s="268"/>
      <c r="AM180" s="268"/>
      <c r="AN180" s="268"/>
    </row>
    <row r="181" spans="1:40" x14ac:dyDescent="0.45">
      <c r="A181" s="227"/>
      <c r="B181" s="618" t="s">
        <v>7</v>
      </c>
      <c r="C181" s="620">
        <v>2.8</v>
      </c>
      <c r="D181" s="616">
        <f>C181*(C57*2+2)/C58</f>
        <v>4.6913539662827408E-2</v>
      </c>
      <c r="E181" s="616">
        <f>$C$150</f>
        <v>0.995</v>
      </c>
      <c r="F181" s="980">
        <f>D181/E181</f>
        <v>4.7149286093293878E-2</v>
      </c>
      <c r="G181" s="235"/>
      <c r="H181" s="235"/>
      <c r="I181" s="235"/>
      <c r="J181" s="235"/>
      <c r="N181" s="235"/>
      <c r="O181" s="235"/>
      <c r="P181" s="393"/>
      <c r="Q181" s="235"/>
      <c r="R181" s="235"/>
      <c r="S181" s="393"/>
      <c r="T181" s="235"/>
      <c r="U181" s="235"/>
      <c r="V181" s="392"/>
      <c r="W181" s="235"/>
      <c r="X181" s="235"/>
      <c r="Y181" s="235"/>
      <c r="Z181" s="268"/>
      <c r="AA181" s="268"/>
      <c r="AB181" s="268"/>
      <c r="AC181" s="268"/>
      <c r="AD181" s="268"/>
      <c r="AE181" s="268"/>
      <c r="AF181" s="268"/>
      <c r="AG181" s="268"/>
      <c r="AH181" s="268"/>
      <c r="AI181" s="268"/>
      <c r="AJ181" s="268"/>
      <c r="AK181" s="268"/>
      <c r="AL181" s="268"/>
      <c r="AM181" s="268"/>
      <c r="AN181" s="268"/>
    </row>
    <row r="182" spans="1:40" x14ac:dyDescent="0.45">
      <c r="A182" s="227"/>
      <c r="B182" s="618"/>
      <c r="C182" s="819" t="s">
        <v>159</v>
      </c>
      <c r="D182" s="620" t="s">
        <v>171</v>
      </c>
      <c r="E182" s="616"/>
      <c r="F182" s="980" t="s">
        <v>171</v>
      </c>
      <c r="G182" s="235"/>
      <c r="H182" s="235"/>
      <c r="I182" s="235"/>
      <c r="J182" s="235"/>
      <c r="N182" s="235"/>
      <c r="O182" s="235"/>
      <c r="P182" s="393"/>
      <c r="Q182" s="235"/>
      <c r="R182" s="235"/>
      <c r="S182" s="393"/>
      <c r="T182" s="235"/>
      <c r="U182" s="235"/>
      <c r="V182" s="392"/>
      <c r="W182" s="235"/>
      <c r="X182" s="235"/>
      <c r="Y182" s="235"/>
      <c r="Z182" s="268"/>
      <c r="AA182" s="268"/>
      <c r="AB182" s="268"/>
      <c r="AC182" s="268"/>
      <c r="AD182" s="268"/>
      <c r="AE182" s="268"/>
      <c r="AF182" s="268"/>
      <c r="AG182" s="268"/>
      <c r="AH182" s="268"/>
      <c r="AI182" s="268"/>
      <c r="AJ182" s="268"/>
      <c r="AK182" s="268"/>
      <c r="AL182" s="268"/>
      <c r="AM182" s="268"/>
      <c r="AN182" s="268"/>
    </row>
    <row r="183" spans="1:40" x14ac:dyDescent="0.45">
      <c r="A183" s="227"/>
      <c r="B183" s="618" t="s">
        <v>87</v>
      </c>
      <c r="C183" s="620">
        <v>7</v>
      </c>
      <c r="D183" s="616">
        <f>C183*$C$57/$C$58</f>
        <v>3.888888888888889E-2</v>
      </c>
      <c r="E183" s="616">
        <f>$C$150</f>
        <v>0.995</v>
      </c>
      <c r="F183" s="980">
        <f>D183/E183</f>
        <v>3.908431044109436E-2</v>
      </c>
      <c r="G183" s="235"/>
      <c r="H183" s="235"/>
      <c r="I183" s="235"/>
      <c r="J183" s="235"/>
      <c r="L183" s="228"/>
      <c r="N183" s="235"/>
      <c r="O183" s="235"/>
      <c r="P183" s="393"/>
      <c r="Q183" s="235"/>
      <c r="R183" s="235"/>
      <c r="S183" s="393"/>
      <c r="T183" s="235"/>
      <c r="U183" s="235"/>
      <c r="V183" s="392"/>
      <c r="W183" s="235"/>
      <c r="X183" s="235"/>
      <c r="Y183" s="235"/>
      <c r="Z183" s="268"/>
      <c r="AA183" s="268"/>
      <c r="AB183" s="268"/>
      <c r="AC183" s="268"/>
      <c r="AD183" s="268"/>
      <c r="AE183" s="268"/>
      <c r="AF183" s="268"/>
      <c r="AG183" s="268"/>
      <c r="AH183" s="268"/>
      <c r="AI183" s="268"/>
      <c r="AJ183" s="268"/>
      <c r="AK183" s="268"/>
      <c r="AL183" s="268"/>
      <c r="AM183" s="268"/>
      <c r="AN183" s="268"/>
    </row>
    <row r="184" spans="1:40" x14ac:dyDescent="0.45">
      <c r="A184" s="227"/>
      <c r="B184" s="618" t="s">
        <v>6</v>
      </c>
      <c r="C184" s="620">
        <v>2.5</v>
      </c>
      <c r="D184" s="616">
        <f>C184*$C$57*2/$C$58</f>
        <v>2.7777777777777776E-2</v>
      </c>
      <c r="E184" s="616">
        <f>$C$150</f>
        <v>0.995</v>
      </c>
      <c r="F184" s="980">
        <f>D184/E184</f>
        <v>2.7917364600781685E-2</v>
      </c>
      <c r="G184" s="235"/>
      <c r="H184" s="235"/>
      <c r="I184" s="235"/>
      <c r="J184" s="235"/>
      <c r="L184" s="228"/>
      <c r="N184" s="235"/>
      <c r="O184" s="235"/>
      <c r="P184" s="393"/>
      <c r="Q184" s="235"/>
      <c r="R184" s="235"/>
      <c r="S184" s="393"/>
      <c r="T184" s="235"/>
      <c r="U184" s="235"/>
      <c r="V184" s="392"/>
      <c r="W184" s="235"/>
      <c r="X184" s="235"/>
      <c r="Y184" s="235"/>
      <c r="Z184" s="268"/>
      <c r="AA184" s="268"/>
      <c r="AB184" s="268"/>
      <c r="AC184" s="268"/>
      <c r="AD184" s="268"/>
      <c r="AE184" s="268"/>
      <c r="AF184" s="268"/>
      <c r="AG184" s="268"/>
      <c r="AH184" s="268"/>
      <c r="AI184" s="268"/>
      <c r="AJ184" s="268"/>
      <c r="AK184" s="268"/>
      <c r="AL184" s="268"/>
      <c r="AM184" s="268"/>
      <c r="AN184" s="268"/>
    </row>
    <row r="185" spans="1:40" x14ac:dyDescent="0.45">
      <c r="A185" s="227"/>
      <c r="B185" s="618" t="s">
        <v>10</v>
      </c>
      <c r="C185" s="620">
        <v>7.3</v>
      </c>
      <c r="D185" s="616">
        <f>C185*$C$57/$C$58</f>
        <v>4.0555555555555553E-2</v>
      </c>
      <c r="E185" s="616">
        <f>$C$150</f>
        <v>0.995</v>
      </c>
      <c r="F185" s="980">
        <f>D185/E185</f>
        <v>4.0759352317141256E-2</v>
      </c>
      <c r="G185" s="235"/>
      <c r="H185" s="235"/>
      <c r="I185" s="235"/>
      <c r="J185" s="235"/>
      <c r="L185" s="228"/>
      <c r="N185" s="235"/>
      <c r="O185" s="235"/>
      <c r="P185" s="391"/>
      <c r="Q185" s="235"/>
      <c r="R185" s="235"/>
      <c r="S185" s="391"/>
      <c r="T185" s="235"/>
      <c r="U185" s="235"/>
      <c r="V185" s="392"/>
      <c r="W185" s="235"/>
      <c r="X185" s="235"/>
      <c r="Y185" s="235"/>
      <c r="Z185" s="268"/>
      <c r="AA185" s="268"/>
      <c r="AB185" s="268"/>
      <c r="AC185" s="268"/>
      <c r="AD185" s="268"/>
      <c r="AE185" s="268"/>
      <c r="AF185" s="268"/>
      <c r="AG185" s="268"/>
      <c r="AH185" s="268"/>
      <c r="AI185" s="268"/>
      <c r="AJ185" s="268"/>
      <c r="AK185" s="268"/>
      <c r="AL185" s="268"/>
      <c r="AM185" s="268"/>
      <c r="AN185" s="268"/>
    </row>
    <row r="186" spans="1:40" x14ac:dyDescent="0.45">
      <c r="A186" s="227"/>
      <c r="B186" s="618" t="s">
        <v>9</v>
      </c>
      <c r="C186" s="620">
        <v>4.7</v>
      </c>
      <c r="D186" s="616">
        <f>C186*$C$57/$C$58</f>
        <v>2.6111111111111109E-2</v>
      </c>
      <c r="E186" s="616">
        <f>$C$150</f>
        <v>0.995</v>
      </c>
      <c r="F186" s="980">
        <f>D186/E186</f>
        <v>2.6242322724734785E-2</v>
      </c>
      <c r="G186" s="235"/>
      <c r="H186" s="235"/>
      <c r="I186" s="230"/>
      <c r="J186" s="235"/>
      <c r="L186" s="228"/>
      <c r="N186" s="235"/>
      <c r="O186" s="235"/>
      <c r="P186" s="391"/>
      <c r="Q186" s="235"/>
      <c r="R186" s="235"/>
      <c r="S186" s="391"/>
      <c r="T186" s="235"/>
      <c r="U186" s="235"/>
      <c r="V186" s="392"/>
      <c r="W186" s="235"/>
      <c r="X186" s="235"/>
      <c r="Y186" s="235"/>
      <c r="Z186" s="268"/>
      <c r="AA186" s="268"/>
      <c r="AB186" s="268"/>
      <c r="AC186" s="268"/>
      <c r="AD186" s="268"/>
      <c r="AE186" s="268"/>
      <c r="AF186" s="268"/>
      <c r="AG186" s="268"/>
      <c r="AH186" s="268"/>
      <c r="AI186" s="268"/>
      <c r="AJ186" s="268"/>
      <c r="AK186" s="268"/>
      <c r="AL186" s="268"/>
      <c r="AM186" s="268"/>
      <c r="AN186" s="268"/>
    </row>
    <row r="187" spans="1:40" x14ac:dyDescent="0.45">
      <c r="A187" s="227"/>
      <c r="B187" s="618"/>
      <c r="C187" s="819" t="s">
        <v>160</v>
      </c>
      <c r="D187" s="620" t="s">
        <v>171</v>
      </c>
      <c r="E187" s="620"/>
      <c r="F187" s="980" t="s">
        <v>171</v>
      </c>
      <c r="G187" s="235"/>
      <c r="H187" s="235"/>
      <c r="I187" s="235"/>
      <c r="J187" s="235"/>
      <c r="L187" s="228"/>
      <c r="N187" s="235"/>
      <c r="O187" s="235"/>
      <c r="P187" s="393"/>
      <c r="Q187" s="235"/>
      <c r="R187" s="235"/>
      <c r="S187" s="393"/>
      <c r="T187" s="235"/>
      <c r="U187" s="235"/>
      <c r="V187" s="392"/>
      <c r="W187" s="235"/>
      <c r="X187" s="235"/>
      <c r="Y187" s="235"/>
      <c r="Z187" s="268"/>
      <c r="AA187" s="268"/>
      <c r="AB187" s="268"/>
      <c r="AC187" s="268"/>
      <c r="AD187" s="268"/>
      <c r="AE187" s="268"/>
      <c r="AF187" s="268"/>
      <c r="AG187" s="268"/>
      <c r="AH187" s="268"/>
      <c r="AI187" s="268"/>
      <c r="AJ187" s="268"/>
      <c r="AK187" s="268"/>
      <c r="AL187" s="268"/>
      <c r="AM187" s="268"/>
      <c r="AN187" s="268"/>
    </row>
    <row r="188" spans="1:40" x14ac:dyDescent="0.45">
      <c r="A188" s="227"/>
      <c r="B188" s="621" t="s">
        <v>8</v>
      </c>
      <c r="C188" s="622">
        <v>7.2</v>
      </c>
      <c r="D188" s="977">
        <f>C188/C58</f>
        <v>2.0317408137920958E-2</v>
      </c>
      <c r="E188" s="977">
        <f>$C$150</f>
        <v>0.995</v>
      </c>
      <c r="F188" s="981">
        <f>D188/E188</f>
        <v>2.0419505666252218E-2</v>
      </c>
      <c r="G188" s="235"/>
      <c r="H188" s="235"/>
      <c r="I188" s="235"/>
      <c r="J188" s="235"/>
      <c r="L188" s="228"/>
      <c r="N188" s="235"/>
      <c r="O188" s="235"/>
      <c r="P188" s="393"/>
      <c r="Q188" s="235"/>
      <c r="R188" s="235"/>
      <c r="S188" s="393"/>
      <c r="T188" s="235"/>
      <c r="U188" s="392"/>
      <c r="V188" s="392"/>
      <c r="W188" s="235"/>
      <c r="X188" s="235"/>
      <c r="Y188" s="235"/>
      <c r="Z188" s="268"/>
      <c r="AA188" s="268"/>
      <c r="AB188" s="268"/>
      <c r="AC188" s="268"/>
      <c r="AD188" s="268"/>
      <c r="AE188" s="268"/>
      <c r="AF188" s="268"/>
      <c r="AG188" s="268"/>
      <c r="AH188" s="268"/>
      <c r="AI188" s="268"/>
      <c r="AJ188" s="268"/>
      <c r="AK188" s="268"/>
      <c r="AL188" s="268"/>
      <c r="AM188" s="268"/>
      <c r="AN188" s="268"/>
    </row>
    <row r="189" spans="1:40" x14ac:dyDescent="0.45">
      <c r="A189" s="227"/>
      <c r="N189" s="235"/>
      <c r="O189" s="235"/>
      <c r="P189" s="235"/>
      <c r="Q189" s="235"/>
      <c r="R189" s="235"/>
      <c r="S189" s="235"/>
      <c r="T189" s="235"/>
      <c r="U189" s="235"/>
      <c r="V189" s="235"/>
      <c r="W189" s="235"/>
      <c r="X189" s="235"/>
      <c r="Y189" s="235"/>
      <c r="Z189" s="268"/>
      <c r="AA189" s="268"/>
      <c r="AB189" s="268"/>
      <c r="AC189" s="268"/>
      <c r="AD189" s="268"/>
      <c r="AE189" s="268"/>
      <c r="AF189" s="268"/>
      <c r="AG189" s="268"/>
      <c r="AH189" s="268"/>
      <c r="AI189" s="268"/>
      <c r="AJ189" s="268"/>
      <c r="AK189" s="268"/>
      <c r="AL189" s="268"/>
      <c r="AM189" s="268"/>
      <c r="AN189" s="268"/>
    </row>
    <row r="190" spans="1:40" x14ac:dyDescent="0.45">
      <c r="A190" s="227"/>
      <c r="B190" s="279" t="s">
        <v>43</v>
      </c>
      <c r="C190" s="280"/>
      <c r="D190" s="281"/>
      <c r="N190" s="235"/>
      <c r="O190" s="235"/>
      <c r="P190" s="235"/>
      <c r="Q190" s="235"/>
      <c r="R190" s="235"/>
      <c r="S190" s="235"/>
      <c r="T190" s="235"/>
      <c r="U190" s="235"/>
      <c r="V190" s="235"/>
      <c r="W190" s="235"/>
      <c r="X190" s="235"/>
      <c r="Y190" s="235"/>
      <c r="Z190" s="268"/>
      <c r="AA190" s="268"/>
      <c r="AB190" s="268"/>
      <c r="AC190" s="268"/>
      <c r="AD190" s="268"/>
      <c r="AE190" s="268"/>
      <c r="AF190" s="268"/>
      <c r="AG190" s="268"/>
      <c r="AH190" s="268"/>
      <c r="AI190" s="268"/>
      <c r="AJ190" s="268"/>
      <c r="AK190" s="268"/>
      <c r="AL190" s="268"/>
      <c r="AM190" s="268"/>
      <c r="AN190" s="268"/>
    </row>
    <row r="191" spans="1:40" x14ac:dyDescent="0.45">
      <c r="A191" s="227"/>
      <c r="B191" s="277" t="s">
        <v>46</v>
      </c>
      <c r="C191" s="658">
        <f>280*504*$C$8/14.4</f>
        <v>176400</v>
      </c>
      <c r="D191" s="282" t="s">
        <v>100</v>
      </c>
      <c r="N191" s="235"/>
      <c r="O191" s="235"/>
      <c r="P191" s="235"/>
      <c r="Q191" s="235"/>
      <c r="R191" s="235"/>
      <c r="S191" s="235"/>
      <c r="T191" s="235"/>
      <c r="U191" s="235"/>
      <c r="V191" s="235"/>
      <c r="W191" s="235"/>
      <c r="X191" s="235"/>
      <c r="Y191" s="235"/>
      <c r="Z191" s="268"/>
      <c r="AA191" s="268"/>
      <c r="AB191" s="268"/>
      <c r="AC191" s="268"/>
      <c r="AD191" s="268"/>
      <c r="AE191" s="268"/>
      <c r="AF191" s="268"/>
      <c r="AG191" s="268"/>
      <c r="AH191" s="268"/>
      <c r="AI191" s="268"/>
      <c r="AJ191" s="268"/>
      <c r="AK191" s="268"/>
      <c r="AL191" s="268"/>
      <c r="AM191" s="268"/>
      <c r="AN191" s="268"/>
    </row>
    <row r="192" spans="1:40" x14ac:dyDescent="0.45">
      <c r="A192" s="227"/>
      <c r="B192" s="277" t="s">
        <v>43</v>
      </c>
      <c r="C192" s="278">
        <f>C17</f>
        <v>0</v>
      </c>
      <c r="D192" s="282" t="s">
        <v>44</v>
      </c>
      <c r="Z192" s="268"/>
      <c r="AA192" s="268"/>
      <c r="AB192" s="268"/>
      <c r="AC192" s="268"/>
      <c r="AD192" s="268"/>
      <c r="AE192" s="268"/>
      <c r="AF192" s="268"/>
      <c r="AG192" s="268"/>
      <c r="AH192" s="268"/>
      <c r="AI192" s="268"/>
      <c r="AJ192" s="268"/>
      <c r="AK192" s="268"/>
      <c r="AL192" s="268"/>
      <c r="AM192" s="268"/>
      <c r="AN192" s="268"/>
    </row>
    <row r="193" spans="1:40" x14ac:dyDescent="0.45">
      <c r="A193" s="227"/>
      <c r="B193" s="283" t="s">
        <v>2</v>
      </c>
      <c r="C193" s="288">
        <f>C192/C191</f>
        <v>0</v>
      </c>
      <c r="D193" s="284" t="s">
        <v>138</v>
      </c>
      <c r="Z193" s="268"/>
      <c r="AA193" s="268"/>
      <c r="AB193" s="268"/>
      <c r="AC193" s="268"/>
      <c r="AD193" s="268"/>
      <c r="AE193" s="268"/>
      <c r="AF193" s="268"/>
      <c r="AG193" s="268"/>
      <c r="AH193" s="268"/>
      <c r="AI193" s="268"/>
      <c r="AJ193" s="268"/>
      <c r="AK193" s="268"/>
      <c r="AL193" s="268"/>
      <c r="AM193" s="268"/>
      <c r="AN193" s="268"/>
    </row>
    <row r="194" spans="1:40" x14ac:dyDescent="0.45">
      <c r="A194" s="227"/>
      <c r="Z194" s="268"/>
      <c r="AA194" s="268"/>
      <c r="AB194" s="268"/>
      <c r="AC194" s="268"/>
      <c r="AD194" s="268"/>
      <c r="AE194" s="268"/>
      <c r="AF194" s="268"/>
      <c r="AG194" s="268"/>
      <c r="AH194" s="268"/>
      <c r="AI194" s="268"/>
      <c r="AJ194" s="268"/>
      <c r="AK194" s="268"/>
      <c r="AL194" s="268"/>
      <c r="AM194" s="268"/>
      <c r="AN194" s="268"/>
    </row>
    <row r="195" spans="1:40" s="240" customFormat="1" ht="28.5" x14ac:dyDescent="0.85">
      <c r="A195" s="305"/>
      <c r="B195" s="273" t="s">
        <v>163</v>
      </c>
      <c r="G195" s="274"/>
    </row>
    <row r="196" spans="1:40" x14ac:dyDescent="0.45">
      <c r="A196" s="227"/>
      <c r="N196" s="268"/>
      <c r="Z196" s="268"/>
      <c r="AA196" s="268"/>
      <c r="AB196" s="268"/>
      <c r="AC196" s="268"/>
      <c r="AD196" s="268"/>
      <c r="AE196" s="268"/>
      <c r="AF196" s="268"/>
      <c r="AG196" s="268"/>
      <c r="AH196" s="268"/>
      <c r="AI196" s="268"/>
      <c r="AJ196" s="268"/>
      <c r="AK196" s="268"/>
      <c r="AL196" s="268"/>
      <c r="AM196" s="268"/>
      <c r="AN196" s="268"/>
    </row>
    <row r="197" spans="1:40" x14ac:dyDescent="0.45">
      <c r="A197" s="232"/>
      <c r="B197" s="1034" t="s">
        <v>127</v>
      </c>
      <c r="C197" s="350"/>
      <c r="D197" s="350"/>
      <c r="E197" s="350"/>
      <c r="F197" s="350"/>
      <c r="G197" s="350"/>
      <c r="H197" s="350"/>
      <c r="I197" s="350"/>
      <c r="J197" s="350"/>
      <c r="K197" s="350"/>
      <c r="L197" s="350"/>
      <c r="M197" s="350"/>
      <c r="N197" s="350"/>
      <c r="O197" s="350"/>
      <c r="P197" s="350"/>
      <c r="Q197" s="350"/>
      <c r="R197" s="350"/>
      <c r="S197" s="350"/>
      <c r="T197" s="350"/>
      <c r="U197" s="350"/>
      <c r="V197" s="350"/>
      <c r="W197" s="350"/>
      <c r="X197" s="1035"/>
    </row>
    <row r="198" spans="1:40" x14ac:dyDescent="0.45">
      <c r="A198" s="232"/>
      <c r="B198" s="344" t="s">
        <v>147</v>
      </c>
      <c r="C198" s="347">
        <f>C74</f>
        <v>493.20584338235284</v>
      </c>
      <c r="D198" s="345" t="s">
        <v>18</v>
      </c>
      <c r="E198" s="345"/>
      <c r="F198" s="345"/>
      <c r="G198" s="345"/>
      <c r="H198" s="345"/>
      <c r="I198" s="345"/>
      <c r="J198" s="345"/>
      <c r="K198" s="352"/>
      <c r="L198" s="345"/>
      <c r="M198" s="345"/>
      <c r="N198" s="345"/>
      <c r="O198" s="345"/>
      <c r="P198" s="345"/>
      <c r="Q198" s="345"/>
      <c r="R198" s="345"/>
      <c r="S198" s="345"/>
      <c r="T198" s="345"/>
      <c r="U198" s="345"/>
      <c r="V198" s="345"/>
      <c r="W198" s="345"/>
      <c r="X198" s="346"/>
    </row>
    <row r="199" spans="1:40" x14ac:dyDescent="0.45">
      <c r="A199" s="232"/>
      <c r="B199" s="344" t="s">
        <v>168</v>
      </c>
      <c r="C199" s="351">
        <v>2.1999999999999999E-2</v>
      </c>
      <c r="D199" s="345" t="s">
        <v>0</v>
      </c>
      <c r="E199" s="345"/>
      <c r="F199" s="345"/>
      <c r="G199" s="345"/>
      <c r="H199" s="345"/>
      <c r="I199" s="345"/>
      <c r="J199" s="345"/>
      <c r="K199" s="352"/>
      <c r="L199" s="345"/>
      <c r="M199" s="345"/>
      <c r="N199" s="345"/>
      <c r="O199" s="345"/>
      <c r="P199" s="345"/>
      <c r="Q199" s="345"/>
      <c r="R199" s="345"/>
      <c r="S199" s="345"/>
      <c r="T199" s="345"/>
      <c r="U199" s="345"/>
      <c r="V199" s="345"/>
      <c r="W199" s="345"/>
      <c r="X199" s="346"/>
    </row>
    <row r="200" spans="1:40" s="458" customFormat="1" x14ac:dyDescent="0.45">
      <c r="A200" s="460"/>
      <c r="B200" s="344" t="s">
        <v>167</v>
      </c>
      <c r="C200" s="351">
        <v>2.1999999999999999E-2</v>
      </c>
      <c r="D200" s="345" t="s">
        <v>0</v>
      </c>
      <c r="E200" s="345"/>
      <c r="F200" s="345"/>
      <c r="G200" s="345"/>
      <c r="H200" s="345"/>
      <c r="I200" s="345"/>
      <c r="J200" s="345"/>
      <c r="K200" s="352"/>
      <c r="L200" s="345"/>
      <c r="M200" s="345"/>
      <c r="N200" s="345"/>
      <c r="O200" s="345"/>
      <c r="P200" s="345"/>
      <c r="Q200" s="345"/>
      <c r="R200" s="345"/>
      <c r="S200" s="345"/>
      <c r="T200" s="345"/>
      <c r="U200" s="345"/>
      <c r="V200" s="345"/>
      <c r="W200" s="345"/>
      <c r="X200" s="346"/>
    </row>
    <row r="201" spans="1:40" x14ac:dyDescent="0.45">
      <c r="A201" s="232"/>
      <c r="B201" s="344" t="s">
        <v>154</v>
      </c>
      <c r="C201" s="371">
        <f>10%*1</f>
        <v>0.1</v>
      </c>
      <c r="D201" s="345" t="s">
        <v>0</v>
      </c>
      <c r="E201" s="345"/>
      <c r="F201" s="345"/>
      <c r="G201" s="345"/>
      <c r="H201" s="345"/>
      <c r="I201" s="345"/>
      <c r="J201" s="345"/>
      <c r="K201" s="345"/>
      <c r="L201" s="345"/>
      <c r="M201" s="345"/>
      <c r="N201" s="345"/>
      <c r="O201" s="345"/>
      <c r="P201" s="345"/>
      <c r="Q201" s="345"/>
      <c r="R201" s="345"/>
      <c r="S201" s="345"/>
      <c r="T201" s="345"/>
      <c r="U201" s="345"/>
      <c r="V201" s="345"/>
      <c r="W201" s="345"/>
      <c r="X201" s="346"/>
    </row>
    <row r="202" spans="1:40" x14ac:dyDescent="0.45">
      <c r="A202" s="232"/>
      <c r="B202" s="344" t="s">
        <v>148</v>
      </c>
      <c r="C202" s="351">
        <f>27.9%*1</f>
        <v>0.27899999999999997</v>
      </c>
      <c r="D202" s="345" t="s">
        <v>0</v>
      </c>
      <c r="E202" s="345"/>
      <c r="F202" s="345"/>
      <c r="G202" s="345"/>
      <c r="H202" s="345"/>
      <c r="I202" s="345"/>
      <c r="J202" s="345"/>
      <c r="K202" s="345"/>
      <c r="L202" s="345"/>
      <c r="M202" s="345"/>
      <c r="N202" s="345"/>
      <c r="O202" s="345"/>
      <c r="P202" s="345"/>
      <c r="Q202" s="345"/>
      <c r="R202" s="345"/>
      <c r="S202" s="345"/>
      <c r="T202" s="345"/>
      <c r="U202" s="345"/>
      <c r="V202" s="345"/>
      <c r="W202" s="345"/>
      <c r="X202" s="346"/>
    </row>
    <row r="203" spans="1:40" s="540" customFormat="1" x14ac:dyDescent="0.45">
      <c r="A203" s="550"/>
      <c r="B203" s="344" t="s">
        <v>145</v>
      </c>
      <c r="C203" s="371">
        <v>9.4E-2</v>
      </c>
      <c r="D203" s="345" t="s">
        <v>136</v>
      </c>
      <c r="E203" s="345"/>
      <c r="F203" s="345"/>
      <c r="G203" s="345"/>
      <c r="H203" s="345"/>
      <c r="I203" s="345"/>
      <c r="J203" s="345"/>
      <c r="K203" s="345"/>
      <c r="L203" s="345"/>
      <c r="M203" s="345"/>
      <c r="N203" s="345"/>
      <c r="O203" s="345"/>
      <c r="P203" s="345"/>
      <c r="Q203" s="345"/>
      <c r="R203" s="345"/>
      <c r="S203" s="345"/>
      <c r="T203" s="345"/>
      <c r="U203" s="345"/>
      <c r="V203" s="345"/>
      <c r="W203" s="345"/>
      <c r="X203" s="346"/>
    </row>
    <row r="204" spans="1:40" x14ac:dyDescent="0.45">
      <c r="A204" s="232"/>
      <c r="B204" s="344" t="s">
        <v>133</v>
      </c>
      <c r="C204" s="371">
        <v>1.0999999999999999E-2</v>
      </c>
      <c r="D204" s="345" t="s">
        <v>136</v>
      </c>
      <c r="E204" s="345"/>
      <c r="F204" s="345"/>
      <c r="G204" s="345"/>
      <c r="H204" s="345"/>
      <c r="I204" s="345"/>
      <c r="J204" s="345"/>
      <c r="K204" s="345"/>
      <c r="L204" s="345"/>
      <c r="M204" s="345"/>
      <c r="N204" s="345"/>
      <c r="O204" s="345"/>
      <c r="P204" s="345"/>
      <c r="Q204" s="345"/>
      <c r="R204" s="345"/>
      <c r="S204" s="345"/>
      <c r="T204" s="345"/>
      <c r="U204" s="345"/>
      <c r="V204" s="345"/>
      <c r="W204" s="345"/>
      <c r="X204" s="346"/>
    </row>
    <row r="205" spans="1:40" x14ac:dyDescent="0.45">
      <c r="A205" s="232"/>
      <c r="B205" s="344" t="s">
        <v>153</v>
      </c>
      <c r="C205" s="347">
        <v>3</v>
      </c>
      <c r="D205" s="345" t="s">
        <v>152</v>
      </c>
      <c r="E205" s="345"/>
      <c r="F205" s="345"/>
      <c r="G205" s="345"/>
      <c r="H205" s="376"/>
      <c r="I205" s="345"/>
      <c r="J205" s="345"/>
      <c r="K205" s="347"/>
      <c r="L205" s="345"/>
      <c r="M205" s="345"/>
      <c r="N205" s="345"/>
      <c r="O205" s="345"/>
      <c r="P205" s="345"/>
      <c r="Q205" s="345"/>
      <c r="R205" s="345"/>
      <c r="S205" s="345"/>
      <c r="T205" s="345"/>
      <c r="U205" s="345"/>
      <c r="V205" s="345"/>
      <c r="W205" s="345"/>
      <c r="X205" s="346"/>
    </row>
    <row r="206" spans="1:40" x14ac:dyDescent="0.45">
      <c r="A206" s="232"/>
      <c r="B206" s="357" t="s">
        <v>276</v>
      </c>
      <c r="C206" s="360">
        <f>SUM(C217,C246,C275,C304)</f>
        <v>0.67727203500382904</v>
      </c>
      <c r="D206" s="348" t="s">
        <v>138</v>
      </c>
      <c r="E206" s="345"/>
      <c r="F206" s="345"/>
      <c r="G206" s="345"/>
      <c r="H206" s="345"/>
      <c r="I206" s="345"/>
      <c r="J206" s="345"/>
      <c r="K206" s="347"/>
      <c r="L206" s="345"/>
      <c r="M206" s="345"/>
      <c r="N206" s="345"/>
      <c r="O206" s="345"/>
      <c r="P206" s="345"/>
      <c r="Q206" s="345"/>
      <c r="R206" s="345"/>
      <c r="S206" s="345"/>
      <c r="T206" s="345"/>
      <c r="U206" s="345"/>
      <c r="V206" s="345"/>
      <c r="W206" s="345"/>
      <c r="X206" s="346"/>
    </row>
    <row r="207" spans="1:40" x14ac:dyDescent="0.45">
      <c r="A207" s="232"/>
      <c r="B207" s="357" t="s">
        <v>390</v>
      </c>
      <c r="C207" s="989">
        <f>D378</f>
        <v>0.16781855220572234</v>
      </c>
      <c r="D207" s="348" t="s">
        <v>0</v>
      </c>
      <c r="E207" s="345"/>
      <c r="F207" s="345"/>
      <c r="G207" s="371"/>
      <c r="H207" s="345"/>
      <c r="I207" s="345"/>
      <c r="J207" s="345"/>
      <c r="K207" s="347"/>
      <c r="L207" s="345"/>
      <c r="M207" s="345"/>
      <c r="N207" s="345"/>
      <c r="O207" s="345"/>
      <c r="P207" s="345"/>
      <c r="Q207" s="345"/>
      <c r="R207" s="345"/>
      <c r="S207" s="345"/>
      <c r="T207" s="347"/>
      <c r="U207" s="345"/>
      <c r="V207" s="345"/>
      <c r="W207" s="345"/>
      <c r="X207" s="346"/>
    </row>
    <row r="208" spans="1:40" x14ac:dyDescent="0.45">
      <c r="A208" s="232"/>
      <c r="B208" s="357" t="s">
        <v>277</v>
      </c>
      <c r="C208" s="358">
        <f>D379</f>
        <v>3.5112119289704806E-2</v>
      </c>
      <c r="D208" s="348" t="s">
        <v>0</v>
      </c>
      <c r="E208" s="345"/>
      <c r="F208" s="345"/>
      <c r="G208" s="345"/>
      <c r="H208" s="345"/>
      <c r="I208" s="345"/>
      <c r="J208" s="345"/>
      <c r="K208" s="347"/>
      <c r="L208" s="345"/>
      <c r="M208" s="345"/>
      <c r="N208" s="345"/>
      <c r="O208" s="345"/>
      <c r="P208" s="345"/>
      <c r="Q208" s="345"/>
      <c r="R208" s="345"/>
      <c r="S208" s="345"/>
      <c r="T208" s="345"/>
      <c r="U208" s="345"/>
      <c r="V208" s="345"/>
      <c r="W208" s="345"/>
      <c r="X208" s="346"/>
    </row>
    <row r="209" spans="1:24" x14ac:dyDescent="0.45">
      <c r="A209" s="232"/>
      <c r="B209" s="357" t="s">
        <v>134</v>
      </c>
      <c r="C209" s="358">
        <f>X239</f>
        <v>0.10000000000000009</v>
      </c>
      <c r="D209" s="348" t="s">
        <v>0</v>
      </c>
      <c r="E209" s="345"/>
      <c r="F209" s="345"/>
      <c r="G209" s="345"/>
      <c r="H209" s="345"/>
      <c r="I209" s="345"/>
      <c r="J209" s="345"/>
      <c r="K209" s="345"/>
      <c r="L209" s="345"/>
      <c r="M209" s="345"/>
      <c r="N209" s="345"/>
      <c r="O209" s="345"/>
      <c r="P209" s="345"/>
      <c r="Q209" s="345"/>
      <c r="R209" s="345"/>
      <c r="S209" s="345"/>
      <c r="T209" s="345"/>
      <c r="U209" s="345"/>
      <c r="V209" s="345"/>
      <c r="W209" s="345"/>
      <c r="X209" s="346"/>
    </row>
    <row r="210" spans="1:24" x14ac:dyDescent="0.45">
      <c r="A210" s="232"/>
      <c r="B210" s="357" t="s">
        <v>146</v>
      </c>
      <c r="C210" s="349">
        <f>-1*SUM(U217,U246,U275,U304)</f>
        <v>261962646</v>
      </c>
      <c r="D210" s="348" t="s">
        <v>1</v>
      </c>
      <c r="E210" s="345"/>
      <c r="F210" s="345"/>
      <c r="G210" s="345"/>
      <c r="H210" s="345"/>
      <c r="I210" s="345"/>
      <c r="J210" s="345"/>
      <c r="K210" s="345"/>
      <c r="L210" s="345"/>
      <c r="M210" s="345"/>
      <c r="N210" s="345"/>
      <c r="O210" s="345"/>
      <c r="P210" s="345"/>
      <c r="Q210" s="345"/>
      <c r="R210" s="345"/>
      <c r="S210" s="345"/>
      <c r="T210" s="345"/>
      <c r="U210" s="376"/>
      <c r="V210" s="345"/>
      <c r="W210" s="345"/>
      <c r="X210" s="346"/>
    </row>
    <row r="211" spans="1:24" x14ac:dyDescent="0.45">
      <c r="A211" s="232"/>
      <c r="B211" s="357"/>
      <c r="C211" s="345"/>
      <c r="D211" s="358"/>
      <c r="E211" s="345"/>
      <c r="F211" s="348"/>
      <c r="G211" s="345"/>
      <c r="H211" s="345"/>
      <c r="I211" s="345"/>
      <c r="J211" s="345"/>
      <c r="K211" s="345"/>
      <c r="L211" s="345"/>
      <c r="M211" s="345"/>
      <c r="N211" s="345"/>
      <c r="O211" s="345"/>
      <c r="P211" s="345"/>
      <c r="Q211" s="345"/>
      <c r="R211" s="345"/>
      <c r="S211" s="345"/>
      <c r="T211" s="345"/>
      <c r="U211" s="345"/>
      <c r="V211" s="345"/>
      <c r="W211" s="345"/>
      <c r="X211" s="346"/>
    </row>
    <row r="212" spans="1:24" x14ac:dyDescent="0.45">
      <c r="A212" s="232"/>
      <c r="B212" s="357" t="s">
        <v>90</v>
      </c>
      <c r="C212" s="345"/>
      <c r="D212" s="358"/>
      <c r="E212" s="345"/>
      <c r="F212" s="348"/>
      <c r="G212" s="345"/>
      <c r="H212" s="345"/>
      <c r="I212" s="345"/>
      <c r="J212" s="345"/>
      <c r="K212" s="345"/>
      <c r="L212" s="345"/>
      <c r="M212" s="345"/>
      <c r="N212" s="345"/>
      <c r="O212" s="345"/>
      <c r="P212" s="345"/>
      <c r="Q212" s="345"/>
      <c r="R212" s="345"/>
      <c r="S212" s="345"/>
      <c r="T212" s="345"/>
      <c r="U212" s="345"/>
      <c r="V212" s="345"/>
      <c r="W212" s="345"/>
      <c r="X212" s="346"/>
    </row>
    <row r="213" spans="1:24" x14ac:dyDescent="0.45">
      <c r="A213" s="232"/>
      <c r="B213" s="344" t="s">
        <v>268</v>
      </c>
      <c r="C213" s="832">
        <f>$D$82*$C$75</f>
        <v>47232570</v>
      </c>
      <c r="D213" s="345" t="s">
        <v>1</v>
      </c>
      <c r="E213" s="345"/>
      <c r="F213" s="345"/>
      <c r="G213" s="345"/>
      <c r="H213" s="345"/>
      <c r="I213" s="345"/>
      <c r="J213" s="347"/>
      <c r="K213" s="345"/>
      <c r="L213" s="345"/>
      <c r="M213" s="345"/>
      <c r="N213" s="345"/>
      <c r="O213" s="345"/>
      <c r="P213" s="345"/>
      <c r="Q213" s="345"/>
      <c r="R213" s="345"/>
      <c r="S213" s="345"/>
      <c r="T213" s="345"/>
      <c r="U213" s="345"/>
      <c r="V213" s="345"/>
      <c r="W213" s="345"/>
      <c r="X213" s="346"/>
    </row>
    <row r="214" spans="1:24" x14ac:dyDescent="0.45">
      <c r="A214" s="232"/>
      <c r="B214" s="344" t="s">
        <v>269</v>
      </c>
      <c r="C214" s="832">
        <f>$E$82*$C$79</f>
        <v>9387840</v>
      </c>
      <c r="D214" s="345" t="s">
        <v>1</v>
      </c>
      <c r="E214" s="345"/>
      <c r="F214" s="345"/>
      <c r="G214" s="347"/>
      <c r="H214" s="345"/>
      <c r="I214" s="345"/>
      <c r="J214" s="345"/>
      <c r="K214" s="345"/>
      <c r="L214" s="345"/>
      <c r="M214" s="345"/>
      <c r="N214" s="345"/>
      <c r="O214" s="345"/>
      <c r="P214" s="345"/>
      <c r="Q214" s="345"/>
      <c r="R214" s="345"/>
      <c r="S214" s="345"/>
      <c r="T214" s="345"/>
      <c r="U214" s="345"/>
      <c r="V214" s="345"/>
      <c r="W214" s="345"/>
      <c r="X214" s="346"/>
    </row>
    <row r="215" spans="1:24" x14ac:dyDescent="0.45">
      <c r="A215" s="232"/>
      <c r="B215" s="829"/>
      <c r="C215" s="345"/>
      <c r="D215" s="358"/>
      <c r="E215" s="345"/>
      <c r="F215" s="348"/>
      <c r="G215" s="345"/>
      <c r="H215" s="345"/>
      <c r="I215" s="345"/>
      <c r="J215" s="345"/>
      <c r="K215" s="345"/>
      <c r="L215" s="345"/>
      <c r="M215" s="345"/>
      <c r="N215" s="345"/>
      <c r="O215" s="345"/>
      <c r="P215" s="345"/>
      <c r="Q215" s="345"/>
      <c r="R215" s="345"/>
      <c r="S215" s="345"/>
      <c r="T215" s="345"/>
      <c r="U215" s="345"/>
      <c r="V215" s="345"/>
      <c r="W215" s="345"/>
      <c r="X215" s="346"/>
    </row>
    <row r="216" spans="1:24" x14ac:dyDescent="0.45">
      <c r="A216" s="232"/>
      <c r="B216" s="354" t="s">
        <v>27</v>
      </c>
      <c r="C216" s="1040" t="s">
        <v>379</v>
      </c>
      <c r="D216" s="355" t="s">
        <v>128</v>
      </c>
      <c r="E216" s="355" t="s">
        <v>380</v>
      </c>
      <c r="F216" s="355" t="s">
        <v>245</v>
      </c>
      <c r="G216" s="355" t="s">
        <v>367</v>
      </c>
      <c r="H216" s="355" t="s">
        <v>368</v>
      </c>
      <c r="I216" s="355" t="s">
        <v>369</v>
      </c>
      <c r="J216" s="355" t="s">
        <v>370</v>
      </c>
      <c r="K216" s="355" t="s">
        <v>131</v>
      </c>
      <c r="L216" s="355" t="s">
        <v>130</v>
      </c>
      <c r="M216" s="355" t="s">
        <v>129</v>
      </c>
      <c r="N216" s="355" t="s">
        <v>374</v>
      </c>
      <c r="O216" s="355" t="s">
        <v>124</v>
      </c>
      <c r="P216" s="355" t="s">
        <v>125</v>
      </c>
      <c r="Q216" s="355" t="s">
        <v>126</v>
      </c>
      <c r="R216" s="355" t="s">
        <v>155</v>
      </c>
      <c r="S216" s="355" t="s">
        <v>157</v>
      </c>
      <c r="T216" s="355" t="s">
        <v>156</v>
      </c>
      <c r="U216" s="345" t="s">
        <v>280</v>
      </c>
      <c r="V216" s="355" t="s">
        <v>375</v>
      </c>
      <c r="W216" s="355" t="s">
        <v>373</v>
      </c>
      <c r="X216" s="835" t="s">
        <v>164</v>
      </c>
    </row>
    <row r="217" spans="1:24" x14ac:dyDescent="0.45">
      <c r="A217" s="232"/>
      <c r="B217" s="359">
        <v>0</v>
      </c>
      <c r="C217" s="1039">
        <v>0.15386643689397769</v>
      </c>
      <c r="D217" s="375">
        <v>0</v>
      </c>
      <c r="E217" s="833">
        <f>SUM(I30,IF(C80=0,0,(D92+L32*D92/(D92+D93))*E32),(G100+L33*G100/(G100+G101))*E33,I36,(E141+L34*E141/(E141+E142))*E34)</f>
        <v>0.11873051444560725</v>
      </c>
      <c r="F217" s="375">
        <v>0</v>
      </c>
      <c r="G217" s="345">
        <v>0</v>
      </c>
      <c r="H217" s="376">
        <f t="shared" ref="H217:H237" si="4">IF(D217&gt;0,-1*G217*$C$213,0)</f>
        <v>0</v>
      </c>
      <c r="I217" s="376">
        <v>0</v>
      </c>
      <c r="J217" s="376">
        <v>0</v>
      </c>
      <c r="K217" s="379">
        <f t="shared" ref="K217:K237" si="5">D217+F217+H217+J217</f>
        <v>0</v>
      </c>
      <c r="L217" s="375">
        <f t="shared" ref="L217:L237" si="6">IF(F217&lt;&gt;0,-1*($C$203+$C$204)*D217,0)</f>
        <v>0</v>
      </c>
      <c r="M217" s="375">
        <f t="shared" ref="M217:M237" si="7">K217+L217</f>
        <v>0</v>
      </c>
      <c r="N217" s="376">
        <f t="shared" ref="N217:N237" si="8">IF(V217&gt;0,V217-W217,0)</f>
        <v>0</v>
      </c>
      <c r="O217" s="347">
        <v>0</v>
      </c>
      <c r="P217" s="347">
        <v>0</v>
      </c>
      <c r="Q217" s="347">
        <v>0</v>
      </c>
      <c r="R217" s="376">
        <f>IF(M217&gt;0,-1*(M217+N217)*$C$202,0)</f>
        <v>0</v>
      </c>
      <c r="S217" s="375">
        <f t="shared" ref="S217:S237" si="9">IF(B217=$C$75,0,$C$205/12*(D218+F218+L218))</f>
        <v>2391740.7524743751</v>
      </c>
      <c r="T217" s="375">
        <f>S217</f>
        <v>2391740.7524743751</v>
      </c>
      <c r="U217" s="375">
        <f>-1*(C213+C214)</f>
        <v>-56620410</v>
      </c>
      <c r="V217" s="376">
        <v>0</v>
      </c>
      <c r="W217" s="347">
        <f>IF(B217&gt;$C$75,0,$C$214+SUM($J$217:J217))</f>
        <v>9387840</v>
      </c>
      <c r="X217" s="836">
        <f>-T217+U217</f>
        <v>-59012150.752474375</v>
      </c>
    </row>
    <row r="218" spans="1:24" x14ac:dyDescent="0.45">
      <c r="A218" s="232"/>
      <c r="B218" s="344">
        <v>1</v>
      </c>
      <c r="C218" s="1038">
        <f t="shared" ref="C218:C237" si="10">IF(B218&gt;$C$75,0,$C$217*(1+$C$199)^B218)</f>
        <v>0.15725149850564521</v>
      </c>
      <c r="D218" s="376">
        <f t="shared" ref="D218:D237" si="11">C218*$C$198*1000000</f>
        <v>77557357.943615541</v>
      </c>
      <c r="E218" s="1038">
        <f t="shared" ref="E218:E237" si="12">IF(B218&gt;$C$75,0,$E$217*(1+$C$200)^B218)</f>
        <v>0.12134258576341062</v>
      </c>
      <c r="F218" s="376">
        <f t="shared" ref="F218:F237" si="13">-1*E218*$C$198*1000000</f>
        <v>-59846872.34963841</v>
      </c>
      <c r="G218" s="345">
        <v>0.1429</v>
      </c>
      <c r="H218" s="376">
        <f t="shared" si="4"/>
        <v>-6749534.2529999996</v>
      </c>
      <c r="I218" s="345">
        <v>1.391E-2</v>
      </c>
      <c r="J218" s="376">
        <f t="shared" ref="J218:J237" si="14">IF(D218&gt;0,-1*$C$214*I218,0)</f>
        <v>-130584.85440000001</v>
      </c>
      <c r="K218" s="377">
        <f t="shared" si="5"/>
        <v>10830366.486577133</v>
      </c>
      <c r="L218" s="376">
        <f t="shared" si="6"/>
        <v>-8143522.5840796316</v>
      </c>
      <c r="M218" s="376">
        <f t="shared" si="7"/>
        <v>2686843.9024975011</v>
      </c>
      <c r="N218" s="376">
        <f t="shared" si="8"/>
        <v>0</v>
      </c>
      <c r="O218" s="347">
        <f t="shared" ref="O218:O237" si="15">IF(M218&lt;0,M218*-1,0)</f>
        <v>0</v>
      </c>
      <c r="P218" s="347">
        <f t="shared" ref="P218:P237" si="16">P217+O218-Q218</f>
        <v>0</v>
      </c>
      <c r="Q218" s="347">
        <f t="shared" ref="Q218:Q237" si="17">IF(B218=$C$75+1,O218,IF(AND(M218&gt;0, P217&gt;0), MIN(M218,P217),0))</f>
        <v>0</v>
      </c>
      <c r="R218" s="376">
        <f t="shared" ref="R218:R237" si="18">IF(M218&gt;0,-1*(M218+N218-Q218)*$C$202,0)</f>
        <v>-749629.44879680278</v>
      </c>
      <c r="S218" s="376">
        <f t="shared" si="9"/>
        <v>2444359.0490288101</v>
      </c>
      <c r="T218" s="376">
        <f t="shared" ref="T218:T237" si="19">(S218-S217)</f>
        <v>52618.296554435045</v>
      </c>
      <c r="U218" s="376"/>
      <c r="V218" s="376">
        <f t="shared" ref="V218:V237" si="20">IF(B218=$C$75,$C$214*(1-1/$C$79*B218),0)</f>
        <v>0</v>
      </c>
      <c r="W218" s="347">
        <f>IF(B218&gt;$C$75,0,$C$214+SUM($J$217:J218))</f>
        <v>9257255.1456000004</v>
      </c>
      <c r="X218" s="378">
        <f t="shared" ref="X218:X237" si="21">M218+R218-1*(H218+J218)-T218+U218+V218</f>
        <v>8764715.2645462621</v>
      </c>
    </row>
    <row r="219" spans="1:24" x14ac:dyDescent="0.45">
      <c r="A219" s="232"/>
      <c r="B219" s="344">
        <v>2</v>
      </c>
      <c r="C219" s="1038">
        <f t="shared" si="10"/>
        <v>0.16071103147276938</v>
      </c>
      <c r="D219" s="376">
        <f t="shared" si="11"/>
        <v>79263619.818375081</v>
      </c>
      <c r="E219" s="1038">
        <f t="shared" si="12"/>
        <v>0.12401212265020564</v>
      </c>
      <c r="F219" s="376">
        <f t="shared" si="13"/>
        <v>-61163503.541330457</v>
      </c>
      <c r="G219" s="345">
        <v>0.24490000000000001</v>
      </c>
      <c r="H219" s="376">
        <f t="shared" si="4"/>
        <v>-11567256.393000001</v>
      </c>
      <c r="I219" s="345">
        <v>2.564E-2</v>
      </c>
      <c r="J219" s="376">
        <f t="shared" si="14"/>
        <v>-240704.2176</v>
      </c>
      <c r="K219" s="377">
        <f t="shared" si="5"/>
        <v>6292155.6664446229</v>
      </c>
      <c r="L219" s="376">
        <f t="shared" si="6"/>
        <v>-8322680.0809293836</v>
      </c>
      <c r="M219" s="376">
        <f t="shared" si="7"/>
        <v>-2030524.4144847607</v>
      </c>
      <c r="N219" s="376">
        <f t="shared" si="8"/>
        <v>0</v>
      </c>
      <c r="O219" s="347">
        <f t="shared" si="15"/>
        <v>2030524.4144847607</v>
      </c>
      <c r="P219" s="347">
        <f t="shared" si="16"/>
        <v>2030524.4144847607</v>
      </c>
      <c r="Q219" s="347">
        <f t="shared" si="17"/>
        <v>0</v>
      </c>
      <c r="R219" s="376">
        <f t="shared" si="18"/>
        <v>0</v>
      </c>
      <c r="S219" s="376">
        <f t="shared" si="9"/>
        <v>2498134.9481074433</v>
      </c>
      <c r="T219" s="376">
        <f t="shared" si="19"/>
        <v>53775.899078633171</v>
      </c>
      <c r="U219" s="376"/>
      <c r="V219" s="376">
        <f t="shared" si="20"/>
        <v>0</v>
      </c>
      <c r="W219" s="347">
        <f>IF(B219&gt;$C$75,0,$C$214+SUM($J$217:J219))</f>
        <v>9016550.9279999994</v>
      </c>
      <c r="X219" s="378">
        <f t="shared" si="21"/>
        <v>9723660.2970366068</v>
      </c>
    </row>
    <row r="220" spans="1:24" x14ac:dyDescent="0.45">
      <c r="A220" s="232"/>
      <c r="B220" s="344">
        <v>3</v>
      </c>
      <c r="C220" s="1038">
        <f t="shared" si="10"/>
        <v>0.16424667416517033</v>
      </c>
      <c r="D220" s="376">
        <f t="shared" si="11"/>
        <v>81007419.454379335</v>
      </c>
      <c r="E220" s="1038">
        <f t="shared" si="12"/>
        <v>0.12674038934851017</v>
      </c>
      <c r="F220" s="376">
        <f t="shared" si="13"/>
        <v>-62509100.619239733</v>
      </c>
      <c r="G220" s="345">
        <v>0.1749</v>
      </c>
      <c r="H220" s="376">
        <f t="shared" si="4"/>
        <v>-8260976.4929999998</v>
      </c>
      <c r="I220" s="345">
        <v>2.564E-2</v>
      </c>
      <c r="J220" s="376">
        <f t="shared" si="14"/>
        <v>-240704.2176</v>
      </c>
      <c r="K220" s="377">
        <f t="shared" si="5"/>
        <v>9996638.1245396025</v>
      </c>
      <c r="L220" s="376">
        <f t="shared" si="6"/>
        <v>-8505779.0427098293</v>
      </c>
      <c r="M220" s="376">
        <f t="shared" si="7"/>
        <v>1490859.0818297733</v>
      </c>
      <c r="N220" s="376">
        <f t="shared" si="8"/>
        <v>0</v>
      </c>
      <c r="O220" s="347">
        <f t="shared" si="15"/>
        <v>0</v>
      </c>
      <c r="P220" s="347">
        <f t="shared" si="16"/>
        <v>539665.33265498746</v>
      </c>
      <c r="Q220" s="347">
        <f t="shared" si="17"/>
        <v>1490859.0818297733</v>
      </c>
      <c r="R220" s="376">
        <f t="shared" si="18"/>
        <v>0</v>
      </c>
      <c r="S220" s="376">
        <f t="shared" si="9"/>
        <v>2553093.9169658069</v>
      </c>
      <c r="T220" s="376">
        <f t="shared" si="19"/>
        <v>54958.968858363573</v>
      </c>
      <c r="U220" s="376"/>
      <c r="V220" s="376">
        <f t="shared" si="20"/>
        <v>0</v>
      </c>
      <c r="W220" s="347">
        <f>IF(B220&gt;$C$75,0,$C$214+SUM($J$217:J220))</f>
        <v>8775846.7104000002</v>
      </c>
      <c r="X220" s="378">
        <f t="shared" si="21"/>
        <v>9937580.82357141</v>
      </c>
    </row>
    <row r="221" spans="1:24" x14ac:dyDescent="0.45">
      <c r="A221" s="232"/>
      <c r="B221" s="344">
        <v>4</v>
      </c>
      <c r="C221" s="1038">
        <f t="shared" si="10"/>
        <v>0.16786010099680407</v>
      </c>
      <c r="D221" s="376">
        <f t="shared" si="11"/>
        <v>82789582.682375684</v>
      </c>
      <c r="E221" s="1038">
        <f t="shared" si="12"/>
        <v>0.12952867791417741</v>
      </c>
      <c r="F221" s="376">
        <f t="shared" si="13"/>
        <v>-63884300.83286301</v>
      </c>
      <c r="G221" s="345">
        <v>0.1249</v>
      </c>
      <c r="H221" s="376">
        <f t="shared" si="4"/>
        <v>-5899347.9929999998</v>
      </c>
      <c r="I221" s="345">
        <v>2.564E-2</v>
      </c>
      <c r="J221" s="376">
        <f t="shared" si="14"/>
        <v>-240704.2176</v>
      </c>
      <c r="K221" s="377">
        <f t="shared" si="5"/>
        <v>12765229.638912674</v>
      </c>
      <c r="L221" s="376">
        <f t="shared" si="6"/>
        <v>-8692906.1816494465</v>
      </c>
      <c r="M221" s="376">
        <f t="shared" si="7"/>
        <v>4072323.4572632276</v>
      </c>
      <c r="N221" s="376">
        <f t="shared" si="8"/>
        <v>0</v>
      </c>
      <c r="O221" s="347">
        <f t="shared" si="15"/>
        <v>0</v>
      </c>
      <c r="P221" s="347">
        <f t="shared" si="16"/>
        <v>0</v>
      </c>
      <c r="Q221" s="347">
        <f t="shared" si="17"/>
        <v>539665.33265498746</v>
      </c>
      <c r="R221" s="376">
        <f t="shared" si="18"/>
        <v>-985611.61676569888</v>
      </c>
      <c r="S221" s="376">
        <f t="shared" si="9"/>
        <v>2609261.9831390567</v>
      </c>
      <c r="T221" s="376">
        <f t="shared" si="19"/>
        <v>56168.066173249856</v>
      </c>
      <c r="U221" s="376"/>
      <c r="V221" s="376">
        <f t="shared" si="20"/>
        <v>0</v>
      </c>
      <c r="W221" s="347">
        <f>IF(B221&gt;$C$75,0,$C$214+SUM($J$217:J221))</f>
        <v>8535142.4927999992</v>
      </c>
      <c r="X221" s="378">
        <f t="shared" si="21"/>
        <v>9170595.9849242792</v>
      </c>
    </row>
    <row r="222" spans="1:24" x14ac:dyDescent="0.45">
      <c r="A222" s="232"/>
      <c r="B222" s="344">
        <v>5</v>
      </c>
      <c r="C222" s="1038">
        <f t="shared" si="10"/>
        <v>0.17155302321873375</v>
      </c>
      <c r="D222" s="376">
        <f t="shared" si="11"/>
        <v>84610953.501387939</v>
      </c>
      <c r="E222" s="1038">
        <f t="shared" si="12"/>
        <v>0.1323783088282893</v>
      </c>
      <c r="F222" s="376">
        <f t="shared" si="13"/>
        <v>-65289755.451185979</v>
      </c>
      <c r="G222" s="345">
        <v>8.9300000000000004E-2</v>
      </c>
      <c r="H222" s="376">
        <f t="shared" si="4"/>
        <v>-4217868.5010000002</v>
      </c>
      <c r="I222" s="345">
        <v>2.564E-2</v>
      </c>
      <c r="J222" s="376">
        <f t="shared" si="14"/>
        <v>-240704.2176</v>
      </c>
      <c r="K222" s="377">
        <f t="shared" si="5"/>
        <v>14862625.331601961</v>
      </c>
      <c r="L222" s="376">
        <f t="shared" si="6"/>
        <v>-8884150.1176457331</v>
      </c>
      <c r="M222" s="376">
        <f t="shared" si="7"/>
        <v>5978475.2139562275</v>
      </c>
      <c r="N222" s="376">
        <f t="shared" si="8"/>
        <v>0</v>
      </c>
      <c r="O222" s="347">
        <f t="shared" si="15"/>
        <v>0</v>
      </c>
      <c r="P222" s="347">
        <f t="shared" si="16"/>
        <v>0</v>
      </c>
      <c r="Q222" s="347">
        <f t="shared" si="17"/>
        <v>0</v>
      </c>
      <c r="R222" s="376">
        <f t="shared" si="18"/>
        <v>-1667994.5846937874</v>
      </c>
      <c r="S222" s="376">
        <f t="shared" si="9"/>
        <v>2666665.746768116</v>
      </c>
      <c r="T222" s="376">
        <f t="shared" si="19"/>
        <v>57403.763629059307</v>
      </c>
      <c r="U222" s="376"/>
      <c r="V222" s="376">
        <f t="shared" si="20"/>
        <v>0</v>
      </c>
      <c r="W222" s="347">
        <f>IF(B222&gt;$C$75,0,$C$214+SUM($J$217:J222))</f>
        <v>8294438.2752</v>
      </c>
      <c r="X222" s="378">
        <f t="shared" si="21"/>
        <v>8711649.5842333809</v>
      </c>
    </row>
    <row r="223" spans="1:24" x14ac:dyDescent="0.45">
      <c r="A223" s="232"/>
      <c r="B223" s="344">
        <v>6</v>
      </c>
      <c r="C223" s="1038">
        <f t="shared" si="10"/>
        <v>0.17532718972954589</v>
      </c>
      <c r="D223" s="376">
        <f t="shared" si="11"/>
        <v>86472394.478418469</v>
      </c>
      <c r="E223" s="1038">
        <f t="shared" si="12"/>
        <v>0.13529063162251165</v>
      </c>
      <c r="F223" s="376">
        <f t="shared" si="13"/>
        <v>-66726130.071112067</v>
      </c>
      <c r="G223" s="345">
        <v>8.9200000000000002E-2</v>
      </c>
      <c r="H223" s="376">
        <f t="shared" si="4"/>
        <v>-4213145.2439999999</v>
      </c>
      <c r="I223" s="345">
        <v>2.564E-2</v>
      </c>
      <c r="J223" s="376">
        <f t="shared" si="14"/>
        <v>-240704.2176</v>
      </c>
      <c r="K223" s="377">
        <f t="shared" si="5"/>
        <v>15292414.945706405</v>
      </c>
      <c r="L223" s="376">
        <f t="shared" si="6"/>
        <v>-9079601.4202339388</v>
      </c>
      <c r="M223" s="376">
        <f t="shared" si="7"/>
        <v>6212813.5254724659</v>
      </c>
      <c r="N223" s="376">
        <f t="shared" si="8"/>
        <v>0</v>
      </c>
      <c r="O223" s="347">
        <f t="shared" si="15"/>
        <v>0</v>
      </c>
      <c r="P223" s="347">
        <f t="shared" si="16"/>
        <v>0</v>
      </c>
      <c r="Q223" s="347">
        <f t="shared" si="17"/>
        <v>0</v>
      </c>
      <c r="R223" s="376">
        <f t="shared" si="18"/>
        <v>-1733374.9736068179</v>
      </c>
      <c r="S223" s="376">
        <f t="shared" si="9"/>
        <v>2725332.3931970135</v>
      </c>
      <c r="T223" s="376">
        <f t="shared" si="19"/>
        <v>58666.646428897511</v>
      </c>
      <c r="U223" s="376"/>
      <c r="V223" s="376">
        <f t="shared" si="20"/>
        <v>0</v>
      </c>
      <c r="W223" s="347">
        <f>IF(B223&gt;$C$75,0,$C$214+SUM($J$217:J223))</f>
        <v>8053734.0575999999</v>
      </c>
      <c r="X223" s="378">
        <f t="shared" si="21"/>
        <v>8874621.3670367505</v>
      </c>
    </row>
    <row r="224" spans="1:24" x14ac:dyDescent="0.45">
      <c r="A224" s="232"/>
      <c r="B224" s="344">
        <v>7</v>
      </c>
      <c r="C224" s="1038">
        <f t="shared" si="10"/>
        <v>0.17918438790359592</v>
      </c>
      <c r="D224" s="376">
        <f t="shared" si="11"/>
        <v>88374787.156943679</v>
      </c>
      <c r="E224" s="1038">
        <f t="shared" si="12"/>
        <v>0.13826702551820691</v>
      </c>
      <c r="F224" s="376">
        <f t="shared" si="13"/>
        <v>-68194104.932676539</v>
      </c>
      <c r="G224" s="345">
        <v>8.9300000000000004E-2</v>
      </c>
      <c r="H224" s="376">
        <f t="shared" si="4"/>
        <v>-4217868.5010000002</v>
      </c>
      <c r="I224" s="345">
        <v>2.564E-2</v>
      </c>
      <c r="J224" s="376">
        <f t="shared" si="14"/>
        <v>-240704.2176</v>
      </c>
      <c r="K224" s="377">
        <f t="shared" si="5"/>
        <v>15722109.505667141</v>
      </c>
      <c r="L224" s="376">
        <f t="shared" si="6"/>
        <v>-9279352.6514790859</v>
      </c>
      <c r="M224" s="376">
        <f t="shared" si="7"/>
        <v>6442756.8541880548</v>
      </c>
      <c r="N224" s="376">
        <f t="shared" si="8"/>
        <v>0</v>
      </c>
      <c r="O224" s="347">
        <f t="shared" si="15"/>
        <v>0</v>
      </c>
      <c r="P224" s="347">
        <f t="shared" si="16"/>
        <v>0</v>
      </c>
      <c r="Q224" s="347">
        <f t="shared" si="17"/>
        <v>0</v>
      </c>
      <c r="R224" s="376">
        <f t="shared" si="18"/>
        <v>-1797529.1623184672</v>
      </c>
      <c r="S224" s="376">
        <f t="shared" si="9"/>
        <v>2785289.7058473495</v>
      </c>
      <c r="T224" s="376">
        <f t="shared" si="19"/>
        <v>59957.312650335953</v>
      </c>
      <c r="U224" s="376"/>
      <c r="V224" s="376">
        <f t="shared" si="20"/>
        <v>0</v>
      </c>
      <c r="W224" s="347">
        <f>IF(B224&gt;$C$75,0,$C$214+SUM($J$217:J224))</f>
        <v>7813029.8399999999</v>
      </c>
      <c r="X224" s="378">
        <f t="shared" si="21"/>
        <v>9043843.0978192519</v>
      </c>
    </row>
    <row r="225" spans="1:24" x14ac:dyDescent="0.45">
      <c r="A225" s="232"/>
      <c r="B225" s="344">
        <v>8</v>
      </c>
      <c r="C225" s="1038">
        <f t="shared" si="10"/>
        <v>0.18312644443747506</v>
      </c>
      <c r="D225" s="376">
        <f t="shared" si="11"/>
        <v>90319032.474396467</v>
      </c>
      <c r="E225" s="1038">
        <f t="shared" si="12"/>
        <v>0.1413089000796075</v>
      </c>
      <c r="F225" s="376">
        <f t="shared" si="13"/>
        <v>-69694375.24119544</v>
      </c>
      <c r="G225" s="345">
        <v>4.4600000000000001E-2</v>
      </c>
      <c r="H225" s="376">
        <f t="shared" si="4"/>
        <v>-2106572.622</v>
      </c>
      <c r="I225" s="345">
        <v>2.564E-2</v>
      </c>
      <c r="J225" s="376">
        <f t="shared" si="14"/>
        <v>-240704.2176</v>
      </c>
      <c r="K225" s="377">
        <f t="shared" si="5"/>
        <v>18277380.393601026</v>
      </c>
      <c r="L225" s="376">
        <f t="shared" si="6"/>
        <v>-9483498.409811629</v>
      </c>
      <c r="M225" s="376">
        <f t="shared" si="7"/>
        <v>8793881.9837893974</v>
      </c>
      <c r="N225" s="376">
        <f t="shared" si="8"/>
        <v>0</v>
      </c>
      <c r="O225" s="347">
        <f t="shared" si="15"/>
        <v>0</v>
      </c>
      <c r="P225" s="347">
        <f t="shared" si="16"/>
        <v>0</v>
      </c>
      <c r="Q225" s="347">
        <f t="shared" si="17"/>
        <v>0</v>
      </c>
      <c r="R225" s="376">
        <f t="shared" si="18"/>
        <v>-2453493.0734772417</v>
      </c>
      <c r="S225" s="376">
        <f t="shared" si="9"/>
        <v>2846566.0793759879</v>
      </c>
      <c r="T225" s="376">
        <f t="shared" si="19"/>
        <v>61276.373528638389</v>
      </c>
      <c r="U225" s="376"/>
      <c r="V225" s="376">
        <f t="shared" si="20"/>
        <v>0</v>
      </c>
      <c r="W225" s="347">
        <f>IF(B225&gt;$C$75,0,$C$214+SUM($J$217:J225))</f>
        <v>7572325.6223999998</v>
      </c>
      <c r="X225" s="378">
        <f t="shared" si="21"/>
        <v>8626389.3763835169</v>
      </c>
    </row>
    <row r="226" spans="1:24" x14ac:dyDescent="0.45">
      <c r="A226" s="232"/>
      <c r="B226" s="344">
        <v>9</v>
      </c>
      <c r="C226" s="1038">
        <f t="shared" si="10"/>
        <v>0.18715522621509947</v>
      </c>
      <c r="D226" s="376">
        <f t="shared" si="11"/>
        <v>92306051.188833162</v>
      </c>
      <c r="E226" s="1038">
        <f t="shared" si="12"/>
        <v>0.14441769588135886</v>
      </c>
      <c r="F226" s="376">
        <f t="shared" si="13"/>
        <v>-71227651.496501729</v>
      </c>
      <c r="G226" s="345">
        <v>0</v>
      </c>
      <c r="H226" s="376">
        <f t="shared" si="4"/>
        <v>0</v>
      </c>
      <c r="I226" s="345">
        <v>2.564E-2</v>
      </c>
      <c r="J226" s="376">
        <f t="shared" si="14"/>
        <v>-240704.2176</v>
      </c>
      <c r="K226" s="377">
        <f t="shared" si="5"/>
        <v>20837695.474731434</v>
      </c>
      <c r="L226" s="376">
        <f t="shared" si="6"/>
        <v>-9692135.3748274818</v>
      </c>
      <c r="M226" s="376">
        <f t="shared" si="7"/>
        <v>11145560.099903952</v>
      </c>
      <c r="N226" s="376">
        <f t="shared" si="8"/>
        <v>0</v>
      </c>
      <c r="O226" s="347">
        <f t="shared" si="15"/>
        <v>0</v>
      </c>
      <c r="P226" s="347">
        <f t="shared" si="16"/>
        <v>0</v>
      </c>
      <c r="Q226" s="347">
        <f t="shared" si="17"/>
        <v>0</v>
      </c>
      <c r="R226" s="376">
        <f t="shared" si="18"/>
        <v>-3109611.2678732025</v>
      </c>
      <c r="S226" s="376">
        <f t="shared" si="9"/>
        <v>2909190.5331222634</v>
      </c>
      <c r="T226" s="376">
        <f t="shared" si="19"/>
        <v>62624.453746275511</v>
      </c>
      <c r="U226" s="376"/>
      <c r="V226" s="376">
        <f t="shared" si="20"/>
        <v>0</v>
      </c>
      <c r="W226" s="347">
        <f>IF(B226&gt;$C$75,0,$C$214+SUM($J$217:J226))</f>
        <v>7331621.4047999997</v>
      </c>
      <c r="X226" s="378">
        <f t="shared" si="21"/>
        <v>8214028.595884474</v>
      </c>
    </row>
    <row r="227" spans="1:24" x14ac:dyDescent="0.45">
      <c r="A227" s="232"/>
      <c r="B227" s="344">
        <v>10</v>
      </c>
      <c r="C227" s="1038">
        <f t="shared" si="10"/>
        <v>0.19127264119183168</v>
      </c>
      <c r="D227" s="376">
        <f t="shared" si="11"/>
        <v>94336784.31498751</v>
      </c>
      <c r="E227" s="1038">
        <f t="shared" si="12"/>
        <v>0.14759488519074873</v>
      </c>
      <c r="F227" s="376">
        <f t="shared" si="13"/>
        <v>-72794659.829424769</v>
      </c>
      <c r="G227" s="345">
        <v>0</v>
      </c>
      <c r="H227" s="376">
        <f t="shared" si="4"/>
        <v>0</v>
      </c>
      <c r="I227" s="345">
        <v>2.564E-2</v>
      </c>
      <c r="J227" s="376">
        <f t="shared" si="14"/>
        <v>-240704.2176</v>
      </c>
      <c r="K227" s="377">
        <f t="shared" si="5"/>
        <v>21301420.267962743</v>
      </c>
      <c r="L227" s="376">
        <f t="shared" si="6"/>
        <v>-9905362.3530736882</v>
      </c>
      <c r="M227" s="376">
        <f t="shared" si="7"/>
        <v>11396057.914889054</v>
      </c>
      <c r="N227" s="376">
        <f t="shared" si="8"/>
        <v>-1458213.1871999996</v>
      </c>
      <c r="O227" s="347">
        <f t="shared" si="15"/>
        <v>0</v>
      </c>
      <c r="P227" s="347">
        <f t="shared" si="16"/>
        <v>0</v>
      </c>
      <c r="Q227" s="347">
        <f t="shared" si="17"/>
        <v>0</v>
      </c>
      <c r="R227" s="376">
        <f t="shared" si="18"/>
        <v>-2772658.6790252458</v>
      </c>
      <c r="S227" s="376">
        <f t="shared" si="9"/>
        <v>0</v>
      </c>
      <c r="T227" s="376">
        <f t="shared" si="19"/>
        <v>-2909190.5331222634</v>
      </c>
      <c r="U227" s="376"/>
      <c r="V227" s="376">
        <f t="shared" si="20"/>
        <v>5632704</v>
      </c>
      <c r="W227" s="347">
        <f>IF(B227&gt;$C$75,0,$C$214+SUM($J$217:J227))</f>
        <v>7090917.1871999996</v>
      </c>
      <c r="X227" s="378">
        <f t="shared" si="21"/>
        <v>17405997.986586072</v>
      </c>
    </row>
    <row r="228" spans="1:24" x14ac:dyDescent="0.45">
      <c r="A228" s="232"/>
      <c r="B228" s="344">
        <v>11</v>
      </c>
      <c r="C228" s="1038">
        <f t="shared" si="10"/>
        <v>0</v>
      </c>
      <c r="D228" s="376">
        <f t="shared" si="11"/>
        <v>0</v>
      </c>
      <c r="E228" s="1038">
        <f t="shared" si="12"/>
        <v>0</v>
      </c>
      <c r="F228" s="376">
        <f t="shared" si="13"/>
        <v>0</v>
      </c>
      <c r="G228" s="345">
        <v>0</v>
      </c>
      <c r="H228" s="376">
        <f t="shared" si="4"/>
        <v>0</v>
      </c>
      <c r="I228" s="345">
        <v>2.564E-2</v>
      </c>
      <c r="J228" s="376">
        <f t="shared" si="14"/>
        <v>0</v>
      </c>
      <c r="K228" s="377">
        <f t="shared" si="5"/>
        <v>0</v>
      </c>
      <c r="L228" s="376">
        <f t="shared" si="6"/>
        <v>0</v>
      </c>
      <c r="M228" s="376">
        <f t="shared" si="7"/>
        <v>0</v>
      </c>
      <c r="N228" s="376">
        <f t="shared" si="8"/>
        <v>0</v>
      </c>
      <c r="O228" s="347">
        <f t="shared" si="15"/>
        <v>0</v>
      </c>
      <c r="P228" s="347">
        <f t="shared" si="16"/>
        <v>0</v>
      </c>
      <c r="Q228" s="347">
        <f t="shared" si="17"/>
        <v>0</v>
      </c>
      <c r="R228" s="376">
        <f t="shared" si="18"/>
        <v>0</v>
      </c>
      <c r="S228" s="376">
        <f t="shared" si="9"/>
        <v>0</v>
      </c>
      <c r="T228" s="376">
        <f t="shared" si="19"/>
        <v>0</v>
      </c>
      <c r="U228" s="376"/>
      <c r="V228" s="376">
        <f t="shared" si="20"/>
        <v>0</v>
      </c>
      <c r="W228" s="347">
        <f>IF(B228&gt;$C$75,0,$C$214+SUM($J$217:J228))</f>
        <v>0</v>
      </c>
      <c r="X228" s="378">
        <f t="shared" si="21"/>
        <v>0</v>
      </c>
    </row>
    <row r="229" spans="1:24" x14ac:dyDescent="0.45">
      <c r="A229" s="232"/>
      <c r="B229" s="344">
        <v>12</v>
      </c>
      <c r="C229" s="1038">
        <f t="shared" si="10"/>
        <v>0</v>
      </c>
      <c r="D229" s="376">
        <f t="shared" si="11"/>
        <v>0</v>
      </c>
      <c r="E229" s="1038">
        <f t="shared" si="12"/>
        <v>0</v>
      </c>
      <c r="F229" s="376">
        <f t="shared" si="13"/>
        <v>0</v>
      </c>
      <c r="G229" s="345">
        <v>0</v>
      </c>
      <c r="H229" s="376">
        <f t="shared" si="4"/>
        <v>0</v>
      </c>
      <c r="I229" s="345">
        <v>2.564E-2</v>
      </c>
      <c r="J229" s="376">
        <f t="shared" si="14"/>
        <v>0</v>
      </c>
      <c r="K229" s="377">
        <f t="shared" si="5"/>
        <v>0</v>
      </c>
      <c r="L229" s="376">
        <f t="shared" si="6"/>
        <v>0</v>
      </c>
      <c r="M229" s="376">
        <f t="shared" si="7"/>
        <v>0</v>
      </c>
      <c r="N229" s="376">
        <f t="shared" si="8"/>
        <v>0</v>
      </c>
      <c r="O229" s="347">
        <f t="shared" si="15"/>
        <v>0</v>
      </c>
      <c r="P229" s="347">
        <f t="shared" si="16"/>
        <v>0</v>
      </c>
      <c r="Q229" s="347">
        <f t="shared" si="17"/>
        <v>0</v>
      </c>
      <c r="R229" s="376">
        <f t="shared" si="18"/>
        <v>0</v>
      </c>
      <c r="S229" s="376">
        <f t="shared" si="9"/>
        <v>0</v>
      </c>
      <c r="T229" s="376">
        <f t="shared" si="19"/>
        <v>0</v>
      </c>
      <c r="U229" s="376"/>
      <c r="V229" s="376">
        <f t="shared" si="20"/>
        <v>0</v>
      </c>
      <c r="W229" s="347">
        <f>IF(B229&gt;$C$75,0,$C$214+SUM($J$217:J229))</f>
        <v>0</v>
      </c>
      <c r="X229" s="378">
        <f t="shared" si="21"/>
        <v>0</v>
      </c>
    </row>
    <row r="230" spans="1:24" x14ac:dyDescent="0.45">
      <c r="A230" s="232"/>
      <c r="B230" s="344">
        <v>13</v>
      </c>
      <c r="C230" s="1038">
        <f t="shared" si="10"/>
        <v>0</v>
      </c>
      <c r="D230" s="376">
        <f t="shared" si="11"/>
        <v>0</v>
      </c>
      <c r="E230" s="1038">
        <f t="shared" si="12"/>
        <v>0</v>
      </c>
      <c r="F230" s="376">
        <f t="shared" si="13"/>
        <v>0</v>
      </c>
      <c r="G230" s="345">
        <v>0</v>
      </c>
      <c r="H230" s="376">
        <f t="shared" si="4"/>
        <v>0</v>
      </c>
      <c r="I230" s="345">
        <v>2.564E-2</v>
      </c>
      <c r="J230" s="376">
        <f t="shared" si="14"/>
        <v>0</v>
      </c>
      <c r="K230" s="377">
        <f t="shared" si="5"/>
        <v>0</v>
      </c>
      <c r="L230" s="376">
        <f t="shared" si="6"/>
        <v>0</v>
      </c>
      <c r="M230" s="376">
        <f t="shared" si="7"/>
        <v>0</v>
      </c>
      <c r="N230" s="376">
        <f t="shared" si="8"/>
        <v>0</v>
      </c>
      <c r="O230" s="347">
        <f t="shared" si="15"/>
        <v>0</v>
      </c>
      <c r="P230" s="347">
        <f t="shared" si="16"/>
        <v>0</v>
      </c>
      <c r="Q230" s="347">
        <f t="shared" si="17"/>
        <v>0</v>
      </c>
      <c r="R230" s="376">
        <f t="shared" si="18"/>
        <v>0</v>
      </c>
      <c r="S230" s="376">
        <f t="shared" si="9"/>
        <v>0</v>
      </c>
      <c r="T230" s="376">
        <f t="shared" si="19"/>
        <v>0</v>
      </c>
      <c r="U230" s="376"/>
      <c r="V230" s="376">
        <f t="shared" si="20"/>
        <v>0</v>
      </c>
      <c r="W230" s="347">
        <f>IF(B230&gt;$C$75,0,$C$214+SUM($J$217:J230))</f>
        <v>0</v>
      </c>
      <c r="X230" s="378">
        <f t="shared" si="21"/>
        <v>0</v>
      </c>
    </row>
    <row r="231" spans="1:24" x14ac:dyDescent="0.45">
      <c r="A231" s="232"/>
      <c r="B231" s="344">
        <v>14</v>
      </c>
      <c r="C231" s="1038">
        <f t="shared" si="10"/>
        <v>0</v>
      </c>
      <c r="D231" s="376">
        <f t="shared" si="11"/>
        <v>0</v>
      </c>
      <c r="E231" s="1038">
        <f t="shared" si="12"/>
        <v>0</v>
      </c>
      <c r="F231" s="376">
        <f t="shared" si="13"/>
        <v>0</v>
      </c>
      <c r="G231" s="345">
        <v>0</v>
      </c>
      <c r="H231" s="376">
        <f t="shared" si="4"/>
        <v>0</v>
      </c>
      <c r="I231" s="345">
        <v>2.564E-2</v>
      </c>
      <c r="J231" s="376">
        <f t="shared" si="14"/>
        <v>0</v>
      </c>
      <c r="K231" s="377">
        <f t="shared" si="5"/>
        <v>0</v>
      </c>
      <c r="L231" s="376">
        <f t="shared" si="6"/>
        <v>0</v>
      </c>
      <c r="M231" s="376">
        <f t="shared" si="7"/>
        <v>0</v>
      </c>
      <c r="N231" s="376">
        <f t="shared" si="8"/>
        <v>0</v>
      </c>
      <c r="O231" s="347">
        <f t="shared" si="15"/>
        <v>0</v>
      </c>
      <c r="P231" s="347">
        <f t="shared" si="16"/>
        <v>0</v>
      </c>
      <c r="Q231" s="347">
        <f t="shared" si="17"/>
        <v>0</v>
      </c>
      <c r="R231" s="376">
        <f t="shared" si="18"/>
        <v>0</v>
      </c>
      <c r="S231" s="376">
        <f t="shared" si="9"/>
        <v>0</v>
      </c>
      <c r="T231" s="376">
        <f t="shared" si="19"/>
        <v>0</v>
      </c>
      <c r="U231" s="376"/>
      <c r="V231" s="376">
        <f t="shared" si="20"/>
        <v>0</v>
      </c>
      <c r="W231" s="347">
        <f>IF(B231&gt;$C$75,0,$C$214+SUM($J$217:J231))</f>
        <v>0</v>
      </c>
      <c r="X231" s="378">
        <f t="shared" si="21"/>
        <v>0</v>
      </c>
    </row>
    <row r="232" spans="1:24" x14ac:dyDescent="0.45">
      <c r="A232" s="232"/>
      <c r="B232" s="344">
        <v>15</v>
      </c>
      <c r="C232" s="1038">
        <f t="shared" si="10"/>
        <v>0</v>
      </c>
      <c r="D232" s="376">
        <f t="shared" si="11"/>
        <v>0</v>
      </c>
      <c r="E232" s="1038">
        <f t="shared" si="12"/>
        <v>0</v>
      </c>
      <c r="F232" s="376">
        <f t="shared" si="13"/>
        <v>0</v>
      </c>
      <c r="G232" s="345">
        <v>0</v>
      </c>
      <c r="H232" s="376">
        <f t="shared" si="4"/>
        <v>0</v>
      </c>
      <c r="I232" s="345">
        <v>2.564E-2</v>
      </c>
      <c r="J232" s="376">
        <f t="shared" si="14"/>
        <v>0</v>
      </c>
      <c r="K232" s="377">
        <f t="shared" si="5"/>
        <v>0</v>
      </c>
      <c r="L232" s="376">
        <f t="shared" si="6"/>
        <v>0</v>
      </c>
      <c r="M232" s="376">
        <f t="shared" si="7"/>
        <v>0</v>
      </c>
      <c r="N232" s="376">
        <f t="shared" si="8"/>
        <v>0</v>
      </c>
      <c r="O232" s="347">
        <f t="shared" si="15"/>
        <v>0</v>
      </c>
      <c r="P232" s="347">
        <f t="shared" si="16"/>
        <v>0</v>
      </c>
      <c r="Q232" s="347">
        <f t="shared" si="17"/>
        <v>0</v>
      </c>
      <c r="R232" s="376">
        <f t="shared" si="18"/>
        <v>0</v>
      </c>
      <c r="S232" s="376">
        <f t="shared" si="9"/>
        <v>0</v>
      </c>
      <c r="T232" s="376">
        <f t="shared" si="19"/>
        <v>0</v>
      </c>
      <c r="U232" s="376"/>
      <c r="V232" s="376">
        <f t="shared" si="20"/>
        <v>0</v>
      </c>
      <c r="W232" s="347">
        <f>IF(B232&gt;$C$75,0,$C$214+SUM($J$217:J232))</f>
        <v>0</v>
      </c>
      <c r="X232" s="378">
        <f t="shared" si="21"/>
        <v>0</v>
      </c>
    </row>
    <row r="233" spans="1:24" x14ac:dyDescent="0.45">
      <c r="A233" s="232"/>
      <c r="B233" s="344">
        <v>16</v>
      </c>
      <c r="C233" s="1038">
        <f t="shared" si="10"/>
        <v>0</v>
      </c>
      <c r="D233" s="376">
        <f t="shared" si="11"/>
        <v>0</v>
      </c>
      <c r="E233" s="1038">
        <f t="shared" si="12"/>
        <v>0</v>
      </c>
      <c r="F233" s="376">
        <f t="shared" si="13"/>
        <v>0</v>
      </c>
      <c r="G233" s="345">
        <v>0</v>
      </c>
      <c r="H233" s="376">
        <f t="shared" si="4"/>
        <v>0</v>
      </c>
      <c r="I233" s="345">
        <v>2.564E-2</v>
      </c>
      <c r="J233" s="376">
        <f t="shared" si="14"/>
        <v>0</v>
      </c>
      <c r="K233" s="377">
        <f t="shared" si="5"/>
        <v>0</v>
      </c>
      <c r="L233" s="376">
        <f t="shared" si="6"/>
        <v>0</v>
      </c>
      <c r="M233" s="376">
        <f t="shared" si="7"/>
        <v>0</v>
      </c>
      <c r="N233" s="376">
        <f t="shared" si="8"/>
        <v>0</v>
      </c>
      <c r="O233" s="347">
        <f t="shared" si="15"/>
        <v>0</v>
      </c>
      <c r="P233" s="347">
        <f t="shared" si="16"/>
        <v>0</v>
      </c>
      <c r="Q233" s="347">
        <f t="shared" si="17"/>
        <v>0</v>
      </c>
      <c r="R233" s="376">
        <f t="shared" si="18"/>
        <v>0</v>
      </c>
      <c r="S233" s="376">
        <f t="shared" si="9"/>
        <v>0</v>
      </c>
      <c r="T233" s="376">
        <f t="shared" si="19"/>
        <v>0</v>
      </c>
      <c r="U233" s="376"/>
      <c r="V233" s="376">
        <f t="shared" si="20"/>
        <v>0</v>
      </c>
      <c r="W233" s="347">
        <f>IF(B233&gt;$C$75,0,$C$214+SUM($J$217:J233))</f>
        <v>0</v>
      </c>
      <c r="X233" s="378">
        <f t="shared" si="21"/>
        <v>0</v>
      </c>
    </row>
    <row r="234" spans="1:24" x14ac:dyDescent="0.45">
      <c r="A234" s="232"/>
      <c r="B234" s="344">
        <v>17</v>
      </c>
      <c r="C234" s="1038">
        <f t="shared" si="10"/>
        <v>0</v>
      </c>
      <c r="D234" s="376">
        <f t="shared" si="11"/>
        <v>0</v>
      </c>
      <c r="E234" s="1038">
        <f t="shared" si="12"/>
        <v>0</v>
      </c>
      <c r="F234" s="376">
        <f t="shared" si="13"/>
        <v>0</v>
      </c>
      <c r="G234" s="345">
        <v>0</v>
      </c>
      <c r="H234" s="376">
        <f t="shared" si="4"/>
        <v>0</v>
      </c>
      <c r="I234" s="345">
        <v>2.564E-2</v>
      </c>
      <c r="J234" s="376">
        <f t="shared" si="14"/>
        <v>0</v>
      </c>
      <c r="K234" s="377">
        <f t="shared" si="5"/>
        <v>0</v>
      </c>
      <c r="L234" s="376">
        <f t="shared" si="6"/>
        <v>0</v>
      </c>
      <c r="M234" s="376">
        <f t="shared" si="7"/>
        <v>0</v>
      </c>
      <c r="N234" s="376">
        <f t="shared" si="8"/>
        <v>0</v>
      </c>
      <c r="O234" s="347">
        <f t="shared" si="15"/>
        <v>0</v>
      </c>
      <c r="P234" s="347">
        <f t="shared" si="16"/>
        <v>0</v>
      </c>
      <c r="Q234" s="347">
        <f t="shared" si="17"/>
        <v>0</v>
      </c>
      <c r="R234" s="376">
        <f t="shared" si="18"/>
        <v>0</v>
      </c>
      <c r="S234" s="376">
        <f t="shared" si="9"/>
        <v>0</v>
      </c>
      <c r="T234" s="376">
        <f t="shared" si="19"/>
        <v>0</v>
      </c>
      <c r="U234" s="376"/>
      <c r="V234" s="376">
        <f t="shared" si="20"/>
        <v>0</v>
      </c>
      <c r="W234" s="347">
        <f>IF(B234&gt;$C$75,0,$C$214+SUM($J$217:J234))</f>
        <v>0</v>
      </c>
      <c r="X234" s="378">
        <f t="shared" si="21"/>
        <v>0</v>
      </c>
    </row>
    <row r="235" spans="1:24" x14ac:dyDescent="0.45">
      <c r="A235" s="232"/>
      <c r="B235" s="344">
        <v>18</v>
      </c>
      <c r="C235" s="1038">
        <f t="shared" si="10"/>
        <v>0</v>
      </c>
      <c r="D235" s="376">
        <f t="shared" si="11"/>
        <v>0</v>
      </c>
      <c r="E235" s="1038">
        <f t="shared" si="12"/>
        <v>0</v>
      </c>
      <c r="F235" s="376">
        <f t="shared" si="13"/>
        <v>0</v>
      </c>
      <c r="G235" s="345">
        <v>0</v>
      </c>
      <c r="H235" s="376">
        <f t="shared" si="4"/>
        <v>0</v>
      </c>
      <c r="I235" s="345">
        <v>2.564E-2</v>
      </c>
      <c r="J235" s="376">
        <f t="shared" si="14"/>
        <v>0</v>
      </c>
      <c r="K235" s="377">
        <f t="shared" si="5"/>
        <v>0</v>
      </c>
      <c r="L235" s="376">
        <f t="shared" si="6"/>
        <v>0</v>
      </c>
      <c r="M235" s="376">
        <f t="shared" si="7"/>
        <v>0</v>
      </c>
      <c r="N235" s="376">
        <f t="shared" si="8"/>
        <v>0</v>
      </c>
      <c r="O235" s="347">
        <f t="shared" si="15"/>
        <v>0</v>
      </c>
      <c r="P235" s="347">
        <f t="shared" si="16"/>
        <v>0</v>
      </c>
      <c r="Q235" s="347">
        <f t="shared" si="17"/>
        <v>0</v>
      </c>
      <c r="R235" s="376">
        <f t="shared" si="18"/>
        <v>0</v>
      </c>
      <c r="S235" s="376">
        <f t="shared" si="9"/>
        <v>0</v>
      </c>
      <c r="T235" s="376">
        <f t="shared" si="19"/>
        <v>0</v>
      </c>
      <c r="U235" s="376"/>
      <c r="V235" s="376">
        <f t="shared" si="20"/>
        <v>0</v>
      </c>
      <c r="W235" s="347">
        <f>IF(B235&gt;$C$75,0,$C$214+SUM($J$217:J235))</f>
        <v>0</v>
      </c>
      <c r="X235" s="378">
        <f t="shared" si="21"/>
        <v>0</v>
      </c>
    </row>
    <row r="236" spans="1:24" x14ac:dyDescent="0.45">
      <c r="A236" s="232"/>
      <c r="B236" s="344">
        <v>19</v>
      </c>
      <c r="C236" s="1038">
        <f t="shared" si="10"/>
        <v>0</v>
      </c>
      <c r="D236" s="376">
        <f t="shared" si="11"/>
        <v>0</v>
      </c>
      <c r="E236" s="1038">
        <f t="shared" si="12"/>
        <v>0</v>
      </c>
      <c r="F236" s="376">
        <f t="shared" si="13"/>
        <v>0</v>
      </c>
      <c r="G236" s="345">
        <v>0</v>
      </c>
      <c r="H236" s="376">
        <f t="shared" si="4"/>
        <v>0</v>
      </c>
      <c r="I236" s="345">
        <v>2.564E-2</v>
      </c>
      <c r="J236" s="376">
        <f t="shared" si="14"/>
        <v>0</v>
      </c>
      <c r="K236" s="377">
        <f t="shared" si="5"/>
        <v>0</v>
      </c>
      <c r="L236" s="376">
        <f t="shared" si="6"/>
        <v>0</v>
      </c>
      <c r="M236" s="376">
        <f t="shared" si="7"/>
        <v>0</v>
      </c>
      <c r="N236" s="376">
        <f t="shared" si="8"/>
        <v>0</v>
      </c>
      <c r="O236" s="347">
        <f t="shared" si="15"/>
        <v>0</v>
      </c>
      <c r="P236" s="347">
        <f t="shared" si="16"/>
        <v>0</v>
      </c>
      <c r="Q236" s="347">
        <f t="shared" si="17"/>
        <v>0</v>
      </c>
      <c r="R236" s="376">
        <f t="shared" si="18"/>
        <v>0</v>
      </c>
      <c r="S236" s="376">
        <f t="shared" si="9"/>
        <v>0</v>
      </c>
      <c r="T236" s="376">
        <f t="shared" si="19"/>
        <v>0</v>
      </c>
      <c r="U236" s="376"/>
      <c r="V236" s="376">
        <f t="shared" si="20"/>
        <v>0</v>
      </c>
      <c r="W236" s="347">
        <f>IF(B236&gt;$C$75,0,$C$214+SUM($J$217:J236))</f>
        <v>0</v>
      </c>
      <c r="X236" s="378">
        <f t="shared" si="21"/>
        <v>0</v>
      </c>
    </row>
    <row r="237" spans="1:24" s="540" customFormat="1" x14ac:dyDescent="0.45">
      <c r="A237" s="550"/>
      <c r="B237" s="344">
        <v>20</v>
      </c>
      <c r="C237" s="1038">
        <f t="shared" si="10"/>
        <v>0</v>
      </c>
      <c r="D237" s="376">
        <f t="shared" si="11"/>
        <v>0</v>
      </c>
      <c r="E237" s="1038">
        <f t="shared" si="12"/>
        <v>0</v>
      </c>
      <c r="F237" s="376">
        <f t="shared" si="13"/>
        <v>0</v>
      </c>
      <c r="G237" s="345">
        <v>0</v>
      </c>
      <c r="H237" s="376">
        <f t="shared" si="4"/>
        <v>0</v>
      </c>
      <c r="I237" s="345">
        <v>2.564E-2</v>
      </c>
      <c r="J237" s="376">
        <f t="shared" si="14"/>
        <v>0</v>
      </c>
      <c r="K237" s="377">
        <f t="shared" si="5"/>
        <v>0</v>
      </c>
      <c r="L237" s="376">
        <f t="shared" si="6"/>
        <v>0</v>
      </c>
      <c r="M237" s="376">
        <f t="shared" si="7"/>
        <v>0</v>
      </c>
      <c r="N237" s="376">
        <f t="shared" si="8"/>
        <v>0</v>
      </c>
      <c r="O237" s="347">
        <f t="shared" si="15"/>
        <v>0</v>
      </c>
      <c r="P237" s="347">
        <f t="shared" si="16"/>
        <v>0</v>
      </c>
      <c r="Q237" s="347">
        <f t="shared" si="17"/>
        <v>0</v>
      </c>
      <c r="R237" s="376">
        <f t="shared" si="18"/>
        <v>0</v>
      </c>
      <c r="S237" s="376">
        <f t="shared" si="9"/>
        <v>0</v>
      </c>
      <c r="T237" s="376">
        <f t="shared" si="19"/>
        <v>0</v>
      </c>
      <c r="U237" s="376"/>
      <c r="V237" s="376">
        <f t="shared" si="20"/>
        <v>0</v>
      </c>
      <c r="W237" s="347">
        <f>IF(B237&gt;$C$75,0,$C$214+SUM($J$217:J237))</f>
        <v>0</v>
      </c>
      <c r="X237" s="378">
        <f t="shared" si="21"/>
        <v>0</v>
      </c>
    </row>
    <row r="238" spans="1:24" s="540" customFormat="1" x14ac:dyDescent="0.45">
      <c r="A238" s="550"/>
      <c r="B238" s="344"/>
      <c r="C238" s="1038"/>
      <c r="D238" s="349"/>
      <c r="E238" s="345"/>
      <c r="F238" s="349"/>
      <c r="G238" s="345"/>
      <c r="H238" s="349"/>
      <c r="I238" s="345"/>
      <c r="J238" s="349"/>
      <c r="K238" s="349"/>
      <c r="L238" s="349"/>
      <c r="M238" s="349"/>
      <c r="N238" s="345"/>
      <c r="O238" s="345"/>
      <c r="P238" s="345"/>
      <c r="Q238" s="345"/>
      <c r="R238" s="349"/>
      <c r="S238" s="349"/>
      <c r="T238" s="345"/>
      <c r="U238" s="345"/>
      <c r="V238" s="345"/>
      <c r="W238" s="348" t="s">
        <v>158</v>
      </c>
      <c r="X238" s="353">
        <f>NPV($C$201,X218:X237)+X217</f>
        <v>0</v>
      </c>
    </row>
    <row r="239" spans="1:24" s="540" customFormat="1" x14ac:dyDescent="0.45">
      <c r="A239" s="550"/>
      <c r="B239" s="344"/>
      <c r="C239" s="1038"/>
      <c r="D239" s="360"/>
      <c r="E239" s="345"/>
      <c r="F239" s="360"/>
      <c r="G239" s="345"/>
      <c r="H239" s="360"/>
      <c r="I239" s="345"/>
      <c r="J239" s="360"/>
      <c r="K239" s="360"/>
      <c r="L239" s="360"/>
      <c r="M239" s="360"/>
      <c r="N239" s="345"/>
      <c r="O239" s="345"/>
      <c r="P239" s="345"/>
      <c r="Q239" s="345"/>
      <c r="R239" s="360"/>
      <c r="S239" s="360"/>
      <c r="T239" s="345"/>
      <c r="U239" s="345"/>
      <c r="V239" s="345"/>
      <c r="W239" s="348" t="s">
        <v>134</v>
      </c>
      <c r="X239" s="837">
        <f>IRR(X217:X237,0.1)</f>
        <v>0.10000000000000009</v>
      </c>
    </row>
    <row r="240" spans="1:24" s="540" customFormat="1" x14ac:dyDescent="0.45">
      <c r="A240" s="550"/>
      <c r="B240" s="344"/>
      <c r="C240" s="1038"/>
      <c r="D240" s="828"/>
      <c r="E240" s="345"/>
      <c r="F240" s="345"/>
      <c r="G240" s="345"/>
      <c r="H240" s="345"/>
      <c r="I240" s="345"/>
      <c r="J240" s="345"/>
      <c r="K240" s="348"/>
      <c r="L240" s="345"/>
      <c r="M240" s="345"/>
      <c r="N240" s="345"/>
      <c r="O240" s="345"/>
      <c r="P240" s="345"/>
      <c r="Q240" s="345"/>
      <c r="R240" s="345"/>
      <c r="S240" s="345"/>
      <c r="T240" s="345"/>
      <c r="U240" s="345"/>
      <c r="V240" s="345"/>
      <c r="W240" s="345"/>
      <c r="X240" s="346"/>
    </row>
    <row r="241" spans="1:24" s="540" customFormat="1" x14ac:dyDescent="0.45">
      <c r="A241" s="550"/>
      <c r="B241" s="357" t="s">
        <v>30</v>
      </c>
      <c r="C241" s="1038"/>
      <c r="D241" s="358"/>
      <c r="E241" s="345"/>
      <c r="F241" s="348"/>
      <c r="G241" s="345"/>
      <c r="H241" s="345"/>
      <c r="I241" s="345"/>
      <c r="J241" s="345"/>
      <c r="K241" s="345"/>
      <c r="L241" s="345"/>
      <c r="M241" s="345"/>
      <c r="N241" s="345"/>
      <c r="O241" s="345"/>
      <c r="P241" s="345"/>
      <c r="Q241" s="345"/>
      <c r="R241" s="345"/>
      <c r="S241" s="345"/>
      <c r="T241" s="345"/>
      <c r="U241" s="345"/>
      <c r="V241" s="345"/>
      <c r="W241" s="345"/>
      <c r="X241" s="346"/>
    </row>
    <row r="242" spans="1:24" s="540" customFormat="1" x14ac:dyDescent="0.45">
      <c r="A242" s="550"/>
      <c r="B242" s="344" t="s">
        <v>270</v>
      </c>
      <c r="C242" s="832">
        <f>$D$83*$C$76</f>
        <v>57936384</v>
      </c>
      <c r="D242" s="345" t="s">
        <v>1</v>
      </c>
      <c r="E242" s="345"/>
      <c r="F242" s="345"/>
      <c r="G242" s="345"/>
      <c r="H242" s="345"/>
      <c r="I242" s="345"/>
      <c r="J242" s="345"/>
      <c r="K242" s="345"/>
      <c r="L242" s="345"/>
      <c r="M242" s="345"/>
      <c r="N242" s="345"/>
      <c r="O242" s="345"/>
      <c r="P242" s="345"/>
      <c r="Q242" s="345"/>
      <c r="R242" s="345"/>
      <c r="S242" s="345"/>
      <c r="T242" s="345"/>
      <c r="U242" s="345"/>
      <c r="V242" s="345"/>
      <c r="W242" s="345"/>
      <c r="X242" s="346"/>
    </row>
    <row r="243" spans="1:24" s="540" customFormat="1" x14ac:dyDescent="0.45">
      <c r="A243" s="550"/>
      <c r="B243" s="344" t="s">
        <v>271</v>
      </c>
      <c r="C243" s="832">
        <f>$E$83*$C$79</f>
        <v>9806940.0000000019</v>
      </c>
      <c r="D243" s="345" t="s">
        <v>1</v>
      </c>
      <c r="E243" s="345"/>
      <c r="F243" s="345"/>
      <c r="G243" s="347"/>
      <c r="H243" s="345"/>
      <c r="I243" s="345"/>
      <c r="J243" s="345"/>
      <c r="K243" s="345"/>
      <c r="L243" s="345"/>
      <c r="M243" s="345"/>
      <c r="N243" s="345"/>
      <c r="O243" s="345"/>
      <c r="P243" s="345"/>
      <c r="Q243" s="345"/>
      <c r="R243" s="345"/>
      <c r="S243" s="345"/>
      <c r="T243" s="345"/>
      <c r="U243" s="345"/>
      <c r="V243" s="345"/>
      <c r="W243" s="345"/>
      <c r="X243" s="346"/>
    </row>
    <row r="244" spans="1:24" s="540" customFormat="1" x14ac:dyDescent="0.45">
      <c r="A244" s="550"/>
      <c r="B244" s="829"/>
      <c r="C244" s="1038"/>
      <c r="D244" s="358"/>
      <c r="E244" s="345"/>
      <c r="F244" s="348"/>
      <c r="G244" s="345"/>
      <c r="H244" s="345"/>
      <c r="I244" s="345"/>
      <c r="J244" s="345"/>
      <c r="K244" s="345"/>
      <c r="L244" s="345"/>
      <c r="M244" s="345"/>
      <c r="N244" s="345"/>
      <c r="O244" s="345"/>
      <c r="P244" s="345"/>
      <c r="Q244" s="345"/>
      <c r="R244" s="345"/>
      <c r="S244" s="345"/>
      <c r="T244" s="345"/>
      <c r="U244" s="345"/>
      <c r="V244" s="345"/>
      <c r="W244" s="345"/>
      <c r="X244" s="346"/>
    </row>
    <row r="245" spans="1:24" s="540" customFormat="1" x14ac:dyDescent="0.45">
      <c r="A245" s="550"/>
      <c r="B245" s="354" t="s">
        <v>27</v>
      </c>
      <c r="C245" s="1040" t="s">
        <v>379</v>
      </c>
      <c r="D245" s="355" t="s">
        <v>128</v>
      </c>
      <c r="E245" s="355" t="s">
        <v>380</v>
      </c>
      <c r="F245" s="355" t="s">
        <v>245</v>
      </c>
      <c r="G245" s="355" t="s">
        <v>367</v>
      </c>
      <c r="H245" s="355" t="s">
        <v>368</v>
      </c>
      <c r="I245" s="355" t="s">
        <v>369</v>
      </c>
      <c r="J245" s="355" t="s">
        <v>370</v>
      </c>
      <c r="K245" s="355" t="s">
        <v>131</v>
      </c>
      <c r="L245" s="355" t="s">
        <v>130</v>
      </c>
      <c r="M245" s="355" t="s">
        <v>129</v>
      </c>
      <c r="N245" s="355" t="s">
        <v>374</v>
      </c>
      <c r="O245" s="355" t="s">
        <v>124</v>
      </c>
      <c r="P245" s="355" t="s">
        <v>125</v>
      </c>
      <c r="Q245" s="355" t="s">
        <v>126</v>
      </c>
      <c r="R245" s="355" t="s">
        <v>155</v>
      </c>
      <c r="S245" s="355" t="s">
        <v>157</v>
      </c>
      <c r="T245" s="355" t="s">
        <v>156</v>
      </c>
      <c r="U245" s="345" t="s">
        <v>280</v>
      </c>
      <c r="V245" s="355" t="s">
        <v>375</v>
      </c>
      <c r="W245" s="355" t="s">
        <v>373</v>
      </c>
      <c r="X245" s="835" t="s">
        <v>164</v>
      </c>
    </row>
    <row r="246" spans="1:24" s="540" customFormat="1" x14ac:dyDescent="0.45">
      <c r="A246" s="550"/>
      <c r="B246" s="359">
        <v>0</v>
      </c>
      <c r="C246" s="1039">
        <v>0.1032694337911199</v>
      </c>
      <c r="D246" s="375">
        <v>0</v>
      </c>
      <c r="E246" s="833">
        <f>SUM(I37,I38,IF(C80=0,0,((D93+L32*D93/(D92+D93))*E32)),(G101+L33*G101/(G100+G101))*E33,(E142+L34*E142/(E141+E142))*E34)</f>
        <v>6.3516062596878697E-2</v>
      </c>
      <c r="F246" s="375">
        <v>0</v>
      </c>
      <c r="G246" s="345">
        <v>0</v>
      </c>
      <c r="H246" s="376">
        <f t="shared" ref="H246:H266" si="22">IF(D246&gt;0,-1*G246*$C$242,0)</f>
        <v>0</v>
      </c>
      <c r="I246" s="376">
        <v>0</v>
      </c>
      <c r="J246" s="376">
        <v>0</v>
      </c>
      <c r="K246" s="379">
        <f t="shared" ref="K246:K266" si="23">D246+F246+H246+J246</f>
        <v>0</v>
      </c>
      <c r="L246" s="375">
        <f t="shared" ref="L246:L266" si="24">IF(F246&lt;&gt;0,-1*($C$203+$C$204)*D246,0)</f>
        <v>0</v>
      </c>
      <c r="M246" s="375">
        <f t="shared" ref="M246:M266" si="25">K246+L246</f>
        <v>0</v>
      </c>
      <c r="N246" s="376">
        <f t="shared" ref="N246:N266" si="26">IF(V246&gt;0,V246-W246,0)</f>
        <v>0</v>
      </c>
      <c r="O246" s="347">
        <v>0</v>
      </c>
      <c r="P246" s="347">
        <v>0</v>
      </c>
      <c r="Q246" s="347">
        <v>0</v>
      </c>
      <c r="R246" s="376">
        <f>IF(M246&gt;0,-1*(M246+N246)*$C$202,0)</f>
        <v>0</v>
      </c>
      <c r="S246" s="375">
        <f t="shared" ref="S246:S266" si="27">IF(B246=$C$76,0,$C$205/12*(D247+F247+L247))</f>
        <v>3643077.590727387</v>
      </c>
      <c r="T246" s="375">
        <f>S246</f>
        <v>3643077.590727387</v>
      </c>
      <c r="U246" s="375">
        <f>-1*(C242+C243)</f>
        <v>-67743324</v>
      </c>
      <c r="V246" s="376">
        <v>0</v>
      </c>
      <c r="W246" s="347">
        <f>IF(B246&gt;$C$76,0,$C$243+SUM($J$246:J246))</f>
        <v>9806940.0000000019</v>
      </c>
      <c r="X246" s="836">
        <f>-T246+U246</f>
        <v>-71386401.590727389</v>
      </c>
    </row>
    <row r="247" spans="1:24" s="540" customFormat="1" x14ac:dyDescent="0.45">
      <c r="A247" s="550"/>
      <c r="B247" s="344">
        <v>1</v>
      </c>
      <c r="C247" s="1038">
        <f t="shared" ref="C247:C266" si="28">IF(B247&gt;$C$76,0,$C$246*(1+$C$199)^B247)</f>
        <v>0.10554136133452453</v>
      </c>
      <c r="D247" s="376">
        <f t="shared" ref="D247:D266" si="29">C247*$C$198*1000000</f>
        <v>52053616.128715813</v>
      </c>
      <c r="E247" s="1038">
        <f t="shared" ref="E247:E266" si="30">IF(B247&gt;$C$76,0,$E$246*(1+$C$200)^B247)</f>
        <v>6.4913415974010027E-2</v>
      </c>
      <c r="F247" s="376">
        <f t="shared" ref="F247:F266" si="31">-1*E247*$C$198*1000000</f>
        <v>-32015676.072291106</v>
      </c>
      <c r="G247" s="345">
        <v>0.1429</v>
      </c>
      <c r="H247" s="376">
        <f t="shared" si="22"/>
        <v>-8279109.2736</v>
      </c>
      <c r="I247" s="345">
        <v>1.391E-2</v>
      </c>
      <c r="J247" s="376">
        <f t="shared" ref="J247:J266" si="32">IF(D247&gt;0,-1*$C$243*I247,0)</f>
        <v>-136414.53540000002</v>
      </c>
      <c r="K247" s="377">
        <f t="shared" si="23"/>
        <v>11622416.247424707</v>
      </c>
      <c r="L247" s="376">
        <f t="shared" si="24"/>
        <v>-5465629.6935151601</v>
      </c>
      <c r="M247" s="376">
        <f t="shared" si="25"/>
        <v>6156786.5539095467</v>
      </c>
      <c r="N247" s="376">
        <f t="shared" si="26"/>
        <v>0</v>
      </c>
      <c r="O247" s="347">
        <f t="shared" ref="O247:O266" si="33">IF(M247&lt;0,M247*-1,0)</f>
        <v>0</v>
      </c>
      <c r="P247" s="347">
        <f t="shared" ref="P247:P266" si="34">P246+O247-Q247</f>
        <v>0</v>
      </c>
      <c r="Q247" s="347">
        <f t="shared" ref="Q247:Q266" si="35">IF(B247=$C$76+1,O247,IF(AND(M247&gt;0, P246&gt;0), MIN(M247,P246),0))</f>
        <v>0</v>
      </c>
      <c r="R247" s="376">
        <f t="shared" ref="R247:R266" si="36">IF(M247&gt;0,-1*(M247+N247-Q247)*$C$202,0)</f>
        <v>-1717743.4485407632</v>
      </c>
      <c r="S247" s="376">
        <f t="shared" si="27"/>
        <v>3723225.2977233883</v>
      </c>
      <c r="T247" s="376">
        <f t="shared" ref="T247:T266" si="37">(S247-S246)</f>
        <v>80147.706996001303</v>
      </c>
      <c r="U247" s="376"/>
      <c r="V247" s="376">
        <f t="shared" ref="V247:V266" si="38">IF(B247=$C$76,$C$243*(1-1/$C$79*B247),0)</f>
        <v>0</v>
      </c>
      <c r="W247" s="347">
        <f>IF(B247&gt;$C$76,0,$C$243+SUM($J$246:J247))</f>
        <v>9670525.4646000024</v>
      </c>
      <c r="X247" s="378">
        <f t="shared" ref="X247:X266" si="39">M247+R247-1*(H247+J247)-T247+U247+V247</f>
        <v>12774419.207372783</v>
      </c>
    </row>
    <row r="248" spans="1:24" s="540" customFormat="1" x14ac:dyDescent="0.45">
      <c r="A248" s="550"/>
      <c r="B248" s="344">
        <v>2</v>
      </c>
      <c r="C248" s="1038">
        <f t="shared" si="28"/>
        <v>0.10786327128388408</v>
      </c>
      <c r="D248" s="376">
        <f t="shared" si="29"/>
        <v>53198795.683547564</v>
      </c>
      <c r="E248" s="1038">
        <f t="shared" si="30"/>
        <v>6.6341511125438249E-2</v>
      </c>
      <c r="F248" s="376">
        <f t="shared" si="31"/>
        <v>-32720020.945881516</v>
      </c>
      <c r="G248" s="345">
        <v>0.24490000000000001</v>
      </c>
      <c r="H248" s="376">
        <f t="shared" si="22"/>
        <v>-14188620.4416</v>
      </c>
      <c r="I248" s="345">
        <v>2.564E-2</v>
      </c>
      <c r="J248" s="376">
        <f t="shared" si="32"/>
        <v>-251449.94160000005</v>
      </c>
      <c r="K248" s="377">
        <f t="shared" si="23"/>
        <v>6038704.3544660471</v>
      </c>
      <c r="L248" s="376">
        <f t="shared" si="24"/>
        <v>-5585873.546772494</v>
      </c>
      <c r="M248" s="376">
        <f t="shared" si="25"/>
        <v>452830.80769355316</v>
      </c>
      <c r="N248" s="376">
        <f t="shared" si="26"/>
        <v>0</v>
      </c>
      <c r="O248" s="347">
        <f t="shared" si="33"/>
        <v>0</v>
      </c>
      <c r="P248" s="347">
        <f t="shared" si="34"/>
        <v>0</v>
      </c>
      <c r="Q248" s="347">
        <f t="shared" si="35"/>
        <v>0</v>
      </c>
      <c r="R248" s="376">
        <f t="shared" si="36"/>
        <v>-126339.79534650131</v>
      </c>
      <c r="S248" s="376">
        <f t="shared" si="27"/>
        <v>3805136.2542733043</v>
      </c>
      <c r="T248" s="376">
        <f t="shared" si="37"/>
        <v>81910.956549915951</v>
      </c>
      <c r="U248" s="376"/>
      <c r="V248" s="376">
        <f t="shared" si="38"/>
        <v>0</v>
      </c>
      <c r="W248" s="347">
        <f>IF(B248&gt;$C$76,0,$C$243+SUM($J$246:J248))</f>
        <v>9419075.5230000019</v>
      </c>
      <c r="X248" s="378">
        <f t="shared" si="39"/>
        <v>14684650.438997136</v>
      </c>
    </row>
    <row r="249" spans="1:24" s="540" customFormat="1" x14ac:dyDescent="0.45">
      <c r="A249" s="550"/>
      <c r="B249" s="344">
        <v>3</v>
      </c>
      <c r="C249" s="1038">
        <f t="shared" si="28"/>
        <v>0.11023626325212953</v>
      </c>
      <c r="D249" s="376">
        <f t="shared" si="29"/>
        <v>54369169.188585617</v>
      </c>
      <c r="E249" s="1038">
        <f t="shared" si="30"/>
        <v>6.7801024370197888E-2</v>
      </c>
      <c r="F249" s="376">
        <f t="shared" si="31"/>
        <v>-33439861.40669091</v>
      </c>
      <c r="G249" s="345">
        <v>0.1749</v>
      </c>
      <c r="H249" s="376">
        <f t="shared" si="22"/>
        <v>-10133073.5616</v>
      </c>
      <c r="I249" s="345">
        <v>2.564E-2</v>
      </c>
      <c r="J249" s="376">
        <f t="shared" si="32"/>
        <v>-251449.94160000005</v>
      </c>
      <c r="K249" s="377">
        <f t="shared" si="23"/>
        <v>10544784.278694706</v>
      </c>
      <c r="L249" s="376">
        <f t="shared" si="24"/>
        <v>-5708762.7648014892</v>
      </c>
      <c r="M249" s="376">
        <f t="shared" si="25"/>
        <v>4836021.5138932168</v>
      </c>
      <c r="N249" s="376">
        <f t="shared" si="26"/>
        <v>0</v>
      </c>
      <c r="O249" s="347">
        <f t="shared" si="33"/>
        <v>0</v>
      </c>
      <c r="P249" s="347">
        <f t="shared" si="34"/>
        <v>0</v>
      </c>
      <c r="Q249" s="347">
        <f t="shared" si="35"/>
        <v>0</v>
      </c>
      <c r="R249" s="376">
        <f t="shared" si="36"/>
        <v>-1349250.0023762074</v>
      </c>
      <c r="S249" s="376">
        <f t="shared" si="27"/>
        <v>3888849.2518673171</v>
      </c>
      <c r="T249" s="376">
        <f t="shared" si="37"/>
        <v>83712.997594012879</v>
      </c>
      <c r="U249" s="376"/>
      <c r="V249" s="376">
        <f t="shared" si="38"/>
        <v>0</v>
      </c>
      <c r="W249" s="347">
        <f>IF(B249&gt;$C$76,0,$C$243+SUM($J$246:J249))</f>
        <v>9167625.5814000014</v>
      </c>
      <c r="X249" s="378">
        <f t="shared" si="39"/>
        <v>13787582.017122995</v>
      </c>
    </row>
    <row r="250" spans="1:24" s="540" customFormat="1" x14ac:dyDescent="0.45">
      <c r="A250" s="550"/>
      <c r="B250" s="344">
        <v>4</v>
      </c>
      <c r="C250" s="1038">
        <f t="shared" si="28"/>
        <v>0.11266146104367639</v>
      </c>
      <c r="D250" s="376">
        <f t="shared" si="29"/>
        <v>55565290.910734504</v>
      </c>
      <c r="E250" s="1038">
        <f t="shared" si="30"/>
        <v>6.9292646906342251E-2</v>
      </c>
      <c r="F250" s="376">
        <f t="shared" si="31"/>
        <v>-34175538.357638113</v>
      </c>
      <c r="G250" s="345">
        <v>0.1249</v>
      </c>
      <c r="H250" s="376">
        <f t="shared" si="22"/>
        <v>-7236254.3615999995</v>
      </c>
      <c r="I250" s="345">
        <v>2.564E-2</v>
      </c>
      <c r="J250" s="376">
        <f t="shared" si="32"/>
        <v>-251449.94160000005</v>
      </c>
      <c r="K250" s="377">
        <f t="shared" si="23"/>
        <v>13902048.24989639</v>
      </c>
      <c r="L250" s="376">
        <f t="shared" si="24"/>
        <v>-5834355.5456271227</v>
      </c>
      <c r="M250" s="376">
        <f t="shared" si="25"/>
        <v>8067692.7042692676</v>
      </c>
      <c r="N250" s="376">
        <f t="shared" si="26"/>
        <v>0</v>
      </c>
      <c r="O250" s="347">
        <f t="shared" si="33"/>
        <v>0</v>
      </c>
      <c r="P250" s="347">
        <f t="shared" si="34"/>
        <v>0</v>
      </c>
      <c r="Q250" s="347">
        <f t="shared" si="35"/>
        <v>0</v>
      </c>
      <c r="R250" s="376">
        <f t="shared" si="36"/>
        <v>-2250886.2644911255</v>
      </c>
      <c r="S250" s="376">
        <f t="shared" si="27"/>
        <v>3974403.9354083976</v>
      </c>
      <c r="T250" s="376">
        <f t="shared" si="37"/>
        <v>85554.683541080449</v>
      </c>
      <c r="U250" s="376"/>
      <c r="V250" s="376">
        <f t="shared" si="38"/>
        <v>0</v>
      </c>
      <c r="W250" s="347">
        <f>IF(B250&gt;$C$76,0,$C$243+SUM($J$246:J250))</f>
        <v>8916175.6398000009</v>
      </c>
      <c r="X250" s="378">
        <f t="shared" si="39"/>
        <v>13218956.059437061</v>
      </c>
    </row>
    <row r="251" spans="1:24" s="540" customFormat="1" x14ac:dyDescent="0.45">
      <c r="A251" s="550"/>
      <c r="B251" s="344">
        <v>5</v>
      </c>
      <c r="C251" s="1038">
        <f t="shared" si="28"/>
        <v>0.11514001318663726</v>
      </c>
      <c r="D251" s="376">
        <f t="shared" si="29"/>
        <v>56787727.310770653</v>
      </c>
      <c r="E251" s="1038">
        <f t="shared" si="30"/>
        <v>7.0817085138281777E-2</v>
      </c>
      <c r="F251" s="376">
        <f t="shared" si="31"/>
        <v>-34927400.201506145</v>
      </c>
      <c r="G251" s="345">
        <v>8.9300000000000004E-2</v>
      </c>
      <c r="H251" s="376">
        <f t="shared" si="22"/>
        <v>-5173719.0912000006</v>
      </c>
      <c r="I251" s="345">
        <v>2.564E-2</v>
      </c>
      <c r="J251" s="376">
        <f t="shared" si="32"/>
        <v>-251449.94160000005</v>
      </c>
      <c r="K251" s="377">
        <f t="shared" si="23"/>
        <v>16435158.076464506</v>
      </c>
      <c r="L251" s="376">
        <f t="shared" si="24"/>
        <v>-5962711.3676309185</v>
      </c>
      <c r="M251" s="376">
        <f t="shared" si="25"/>
        <v>10472446.708833586</v>
      </c>
      <c r="N251" s="376">
        <f t="shared" si="26"/>
        <v>0</v>
      </c>
      <c r="O251" s="347">
        <f t="shared" si="33"/>
        <v>0</v>
      </c>
      <c r="P251" s="347">
        <f t="shared" si="34"/>
        <v>0</v>
      </c>
      <c r="Q251" s="347">
        <f t="shared" si="35"/>
        <v>0</v>
      </c>
      <c r="R251" s="376">
        <f t="shared" si="36"/>
        <v>-2921812.6317645703</v>
      </c>
      <c r="S251" s="376">
        <f t="shared" si="27"/>
        <v>4061840.8219873812</v>
      </c>
      <c r="T251" s="376">
        <f t="shared" si="37"/>
        <v>87436.886578983627</v>
      </c>
      <c r="U251" s="376"/>
      <c r="V251" s="376">
        <f t="shared" si="38"/>
        <v>0</v>
      </c>
      <c r="W251" s="347">
        <f>IF(B251&gt;$C$76,0,$C$243+SUM($J$246:J251))</f>
        <v>8664725.6982000023</v>
      </c>
      <c r="X251" s="378">
        <f t="shared" si="39"/>
        <v>12888366.223290034</v>
      </c>
    </row>
    <row r="252" spans="1:24" s="540" customFormat="1" x14ac:dyDescent="0.45">
      <c r="A252" s="550"/>
      <c r="B252" s="344">
        <v>6</v>
      </c>
      <c r="C252" s="1038">
        <f t="shared" si="28"/>
        <v>0.11767309347674326</v>
      </c>
      <c r="D252" s="376">
        <f t="shared" si="29"/>
        <v>58037057.311607607</v>
      </c>
      <c r="E252" s="1038">
        <f t="shared" si="30"/>
        <v>7.2375061011323974E-2</v>
      </c>
      <c r="F252" s="376">
        <f t="shared" si="31"/>
        <v>-35695803.005939282</v>
      </c>
      <c r="G252" s="345">
        <v>8.9200000000000002E-2</v>
      </c>
      <c r="H252" s="376">
        <f t="shared" si="22"/>
        <v>-5167925.4528000001</v>
      </c>
      <c r="I252" s="345">
        <v>2.564E-2</v>
      </c>
      <c r="J252" s="376">
        <f t="shared" si="32"/>
        <v>-251449.94160000005</v>
      </c>
      <c r="K252" s="377">
        <f t="shared" si="23"/>
        <v>16921878.911268327</v>
      </c>
      <c r="L252" s="376">
        <f t="shared" si="24"/>
        <v>-6093891.0177187985</v>
      </c>
      <c r="M252" s="376">
        <f t="shared" si="25"/>
        <v>10827987.893549528</v>
      </c>
      <c r="N252" s="376">
        <f t="shared" si="26"/>
        <v>0</v>
      </c>
      <c r="O252" s="347">
        <f t="shared" si="33"/>
        <v>0</v>
      </c>
      <c r="P252" s="347">
        <f t="shared" si="34"/>
        <v>0</v>
      </c>
      <c r="Q252" s="347">
        <f t="shared" si="35"/>
        <v>0</v>
      </c>
      <c r="R252" s="376">
        <f t="shared" si="36"/>
        <v>-3021008.622300318</v>
      </c>
      <c r="S252" s="376">
        <f t="shared" si="27"/>
        <v>4151201.3200711049</v>
      </c>
      <c r="T252" s="376">
        <f t="shared" si="37"/>
        <v>89360.498083723709</v>
      </c>
      <c r="U252" s="376"/>
      <c r="V252" s="376">
        <f t="shared" si="38"/>
        <v>0</v>
      </c>
      <c r="W252" s="347">
        <f>IF(B252&gt;$C$76,0,$C$243+SUM($J$246:J252))</f>
        <v>8413275.7566000018</v>
      </c>
      <c r="X252" s="378">
        <f t="shared" si="39"/>
        <v>13136994.167565487</v>
      </c>
    </row>
    <row r="253" spans="1:24" s="540" customFormat="1" x14ac:dyDescent="0.45">
      <c r="A253" s="550"/>
      <c r="B253" s="344">
        <v>7</v>
      </c>
      <c r="C253" s="1038">
        <f t="shared" si="28"/>
        <v>0.12026190153323163</v>
      </c>
      <c r="D253" s="376">
        <f t="shared" si="29"/>
        <v>59313872.572462976</v>
      </c>
      <c r="E253" s="1038">
        <f t="shared" si="30"/>
        <v>7.3967312353573095E-2</v>
      </c>
      <c r="F253" s="376">
        <f t="shared" si="31"/>
        <v>-36481110.672069944</v>
      </c>
      <c r="G253" s="345">
        <v>8.9300000000000004E-2</v>
      </c>
      <c r="H253" s="376">
        <f t="shared" si="22"/>
        <v>-5173719.0912000006</v>
      </c>
      <c r="I253" s="345">
        <v>2.564E-2</v>
      </c>
      <c r="J253" s="376">
        <f t="shared" si="32"/>
        <v>-251449.94160000005</v>
      </c>
      <c r="K253" s="377">
        <f t="shared" si="23"/>
        <v>17407592.867593031</v>
      </c>
      <c r="L253" s="376">
        <f t="shared" si="24"/>
        <v>-6227956.6201086119</v>
      </c>
      <c r="M253" s="376">
        <f t="shared" si="25"/>
        <v>11179636.247484419</v>
      </c>
      <c r="N253" s="376">
        <f t="shared" si="26"/>
        <v>-1100829.0150000006</v>
      </c>
      <c r="O253" s="347">
        <f t="shared" si="33"/>
        <v>0</v>
      </c>
      <c r="P253" s="347">
        <f t="shared" si="34"/>
        <v>0</v>
      </c>
      <c r="Q253" s="347">
        <f t="shared" si="35"/>
        <v>0</v>
      </c>
      <c r="R253" s="376">
        <f t="shared" si="36"/>
        <v>-2811987.2178631527</v>
      </c>
      <c r="S253" s="376">
        <f t="shared" si="27"/>
        <v>0</v>
      </c>
      <c r="T253" s="376">
        <f t="shared" si="37"/>
        <v>-4151201.3200711049</v>
      </c>
      <c r="U253" s="376"/>
      <c r="V253" s="376">
        <f t="shared" si="38"/>
        <v>7060996.8000000007</v>
      </c>
      <c r="W253" s="347">
        <f>IF(B253&gt;$C$76,0,$C$243+SUM($J$246:J253))</f>
        <v>8161825.8150000013</v>
      </c>
      <c r="X253" s="378">
        <f t="shared" si="39"/>
        <v>25005016.182492372</v>
      </c>
    </row>
    <row r="254" spans="1:24" s="540" customFormat="1" x14ac:dyDescent="0.45">
      <c r="A254" s="550"/>
      <c r="B254" s="344">
        <v>8</v>
      </c>
      <c r="C254" s="1038">
        <f t="shared" si="28"/>
        <v>0</v>
      </c>
      <c r="D254" s="376">
        <f t="shared" si="29"/>
        <v>0</v>
      </c>
      <c r="E254" s="1038">
        <f t="shared" si="30"/>
        <v>0</v>
      </c>
      <c r="F254" s="376">
        <f t="shared" si="31"/>
        <v>0</v>
      </c>
      <c r="G254" s="345">
        <v>4.4600000000000001E-2</v>
      </c>
      <c r="H254" s="376">
        <f t="shared" si="22"/>
        <v>0</v>
      </c>
      <c r="I254" s="345">
        <v>2.564E-2</v>
      </c>
      <c r="J254" s="376">
        <f t="shared" si="32"/>
        <v>0</v>
      </c>
      <c r="K254" s="377">
        <f t="shared" si="23"/>
        <v>0</v>
      </c>
      <c r="L254" s="376">
        <f t="shared" si="24"/>
        <v>0</v>
      </c>
      <c r="M254" s="376">
        <f t="shared" si="25"/>
        <v>0</v>
      </c>
      <c r="N254" s="376">
        <f t="shared" si="26"/>
        <v>0</v>
      </c>
      <c r="O254" s="347">
        <f t="shared" si="33"/>
        <v>0</v>
      </c>
      <c r="P254" s="347">
        <f t="shared" si="34"/>
        <v>0</v>
      </c>
      <c r="Q254" s="347">
        <f t="shared" si="35"/>
        <v>0</v>
      </c>
      <c r="R254" s="376">
        <f t="shared" si="36"/>
        <v>0</v>
      </c>
      <c r="S254" s="376">
        <f t="shared" si="27"/>
        <v>0</v>
      </c>
      <c r="T254" s="376">
        <f t="shared" si="37"/>
        <v>0</v>
      </c>
      <c r="U254" s="376"/>
      <c r="V254" s="376">
        <f t="shared" si="38"/>
        <v>0</v>
      </c>
      <c r="W254" s="347">
        <f>IF(B254&gt;$C$76,0,$C$243+SUM($J$246:J254))</f>
        <v>0</v>
      </c>
      <c r="X254" s="378">
        <f t="shared" si="39"/>
        <v>0</v>
      </c>
    </row>
    <row r="255" spans="1:24" s="540" customFormat="1" x14ac:dyDescent="0.45">
      <c r="A255" s="550"/>
      <c r="B255" s="344">
        <v>9</v>
      </c>
      <c r="C255" s="1038">
        <f t="shared" si="28"/>
        <v>0</v>
      </c>
      <c r="D255" s="376">
        <f t="shared" si="29"/>
        <v>0</v>
      </c>
      <c r="E255" s="1038">
        <f t="shared" si="30"/>
        <v>0</v>
      </c>
      <c r="F255" s="376">
        <f t="shared" si="31"/>
        <v>0</v>
      </c>
      <c r="G255" s="345">
        <v>0</v>
      </c>
      <c r="H255" s="376">
        <f t="shared" si="22"/>
        <v>0</v>
      </c>
      <c r="I255" s="345">
        <v>2.564E-2</v>
      </c>
      <c r="J255" s="376">
        <f t="shared" si="32"/>
        <v>0</v>
      </c>
      <c r="K255" s="377">
        <f t="shared" si="23"/>
        <v>0</v>
      </c>
      <c r="L255" s="376">
        <f t="shared" si="24"/>
        <v>0</v>
      </c>
      <c r="M255" s="376">
        <f t="shared" si="25"/>
        <v>0</v>
      </c>
      <c r="N255" s="376">
        <f t="shared" si="26"/>
        <v>0</v>
      </c>
      <c r="O255" s="347">
        <f t="shared" si="33"/>
        <v>0</v>
      </c>
      <c r="P255" s="347">
        <f t="shared" si="34"/>
        <v>0</v>
      </c>
      <c r="Q255" s="347">
        <f t="shared" si="35"/>
        <v>0</v>
      </c>
      <c r="R255" s="376">
        <f t="shared" si="36"/>
        <v>0</v>
      </c>
      <c r="S255" s="376">
        <f t="shared" si="27"/>
        <v>0</v>
      </c>
      <c r="T255" s="376">
        <f t="shared" si="37"/>
        <v>0</v>
      </c>
      <c r="U255" s="376"/>
      <c r="V255" s="376">
        <f t="shared" si="38"/>
        <v>0</v>
      </c>
      <c r="W255" s="347">
        <f>IF(B255&gt;$C$76,0,$C$243+SUM($J$246:J255))</f>
        <v>0</v>
      </c>
      <c r="X255" s="378">
        <f t="shared" si="39"/>
        <v>0</v>
      </c>
    </row>
    <row r="256" spans="1:24" s="540" customFormat="1" x14ac:dyDescent="0.45">
      <c r="A256" s="550"/>
      <c r="B256" s="344">
        <v>10</v>
      </c>
      <c r="C256" s="1038">
        <f t="shared" si="28"/>
        <v>0</v>
      </c>
      <c r="D256" s="376">
        <f t="shared" si="29"/>
        <v>0</v>
      </c>
      <c r="E256" s="1038">
        <f t="shared" si="30"/>
        <v>0</v>
      </c>
      <c r="F256" s="376">
        <f t="shared" si="31"/>
        <v>0</v>
      </c>
      <c r="G256" s="345">
        <v>0</v>
      </c>
      <c r="H256" s="376">
        <f t="shared" si="22"/>
        <v>0</v>
      </c>
      <c r="I256" s="345">
        <v>2.564E-2</v>
      </c>
      <c r="J256" s="376">
        <f t="shared" si="32"/>
        <v>0</v>
      </c>
      <c r="K256" s="377">
        <f t="shared" si="23"/>
        <v>0</v>
      </c>
      <c r="L256" s="376">
        <f t="shared" si="24"/>
        <v>0</v>
      </c>
      <c r="M256" s="376">
        <f t="shared" si="25"/>
        <v>0</v>
      </c>
      <c r="N256" s="376">
        <f t="shared" si="26"/>
        <v>0</v>
      </c>
      <c r="O256" s="347">
        <f t="shared" si="33"/>
        <v>0</v>
      </c>
      <c r="P256" s="347">
        <f t="shared" si="34"/>
        <v>0</v>
      </c>
      <c r="Q256" s="347">
        <f t="shared" si="35"/>
        <v>0</v>
      </c>
      <c r="R256" s="376">
        <f t="shared" si="36"/>
        <v>0</v>
      </c>
      <c r="S256" s="376">
        <f t="shared" si="27"/>
        <v>0</v>
      </c>
      <c r="T256" s="376">
        <f t="shared" si="37"/>
        <v>0</v>
      </c>
      <c r="U256" s="376"/>
      <c r="V256" s="376">
        <f t="shared" si="38"/>
        <v>0</v>
      </c>
      <c r="W256" s="347">
        <f>IF(B256&gt;$C$76,0,$C$243+SUM($J$246:J256))</f>
        <v>0</v>
      </c>
      <c r="X256" s="378">
        <f t="shared" si="39"/>
        <v>0</v>
      </c>
    </row>
    <row r="257" spans="1:24" s="540" customFormat="1" x14ac:dyDescent="0.45">
      <c r="A257" s="550"/>
      <c r="B257" s="344">
        <v>11</v>
      </c>
      <c r="C257" s="1038">
        <f t="shared" si="28"/>
        <v>0</v>
      </c>
      <c r="D257" s="376">
        <f t="shared" si="29"/>
        <v>0</v>
      </c>
      <c r="E257" s="1038">
        <f t="shared" si="30"/>
        <v>0</v>
      </c>
      <c r="F257" s="376">
        <f t="shared" si="31"/>
        <v>0</v>
      </c>
      <c r="G257" s="345">
        <v>0</v>
      </c>
      <c r="H257" s="376">
        <f t="shared" si="22"/>
        <v>0</v>
      </c>
      <c r="I257" s="345">
        <v>2.564E-2</v>
      </c>
      <c r="J257" s="376">
        <f t="shared" si="32"/>
        <v>0</v>
      </c>
      <c r="K257" s="377">
        <f t="shared" si="23"/>
        <v>0</v>
      </c>
      <c r="L257" s="376">
        <f t="shared" si="24"/>
        <v>0</v>
      </c>
      <c r="M257" s="376">
        <f t="shared" si="25"/>
        <v>0</v>
      </c>
      <c r="N257" s="376">
        <f t="shared" si="26"/>
        <v>0</v>
      </c>
      <c r="O257" s="347">
        <f t="shared" si="33"/>
        <v>0</v>
      </c>
      <c r="P257" s="347">
        <f t="shared" si="34"/>
        <v>0</v>
      </c>
      <c r="Q257" s="347">
        <f t="shared" si="35"/>
        <v>0</v>
      </c>
      <c r="R257" s="376">
        <f t="shared" si="36"/>
        <v>0</v>
      </c>
      <c r="S257" s="376">
        <f t="shared" si="27"/>
        <v>0</v>
      </c>
      <c r="T257" s="376">
        <f t="shared" si="37"/>
        <v>0</v>
      </c>
      <c r="U257" s="376"/>
      <c r="V257" s="376">
        <f t="shared" si="38"/>
        <v>0</v>
      </c>
      <c r="W257" s="347">
        <f>IF(B257&gt;$C$76,0,$C$243+SUM($J$246:J257))</f>
        <v>0</v>
      </c>
      <c r="X257" s="378">
        <f t="shared" si="39"/>
        <v>0</v>
      </c>
    </row>
    <row r="258" spans="1:24" s="540" customFormat="1" x14ac:dyDescent="0.45">
      <c r="A258" s="550"/>
      <c r="B258" s="344">
        <v>12</v>
      </c>
      <c r="C258" s="1038">
        <f t="shared" si="28"/>
        <v>0</v>
      </c>
      <c r="D258" s="376">
        <f t="shared" si="29"/>
        <v>0</v>
      </c>
      <c r="E258" s="1038">
        <f t="shared" si="30"/>
        <v>0</v>
      </c>
      <c r="F258" s="376">
        <f t="shared" si="31"/>
        <v>0</v>
      </c>
      <c r="G258" s="345">
        <v>0</v>
      </c>
      <c r="H258" s="376">
        <f t="shared" si="22"/>
        <v>0</v>
      </c>
      <c r="I258" s="345">
        <v>2.564E-2</v>
      </c>
      <c r="J258" s="376">
        <f t="shared" si="32"/>
        <v>0</v>
      </c>
      <c r="K258" s="377">
        <f t="shared" si="23"/>
        <v>0</v>
      </c>
      <c r="L258" s="376">
        <f t="shared" si="24"/>
        <v>0</v>
      </c>
      <c r="M258" s="376">
        <f t="shared" si="25"/>
        <v>0</v>
      </c>
      <c r="N258" s="376">
        <f t="shared" si="26"/>
        <v>0</v>
      </c>
      <c r="O258" s="347">
        <f t="shared" si="33"/>
        <v>0</v>
      </c>
      <c r="P258" s="347">
        <f t="shared" si="34"/>
        <v>0</v>
      </c>
      <c r="Q258" s="347">
        <f t="shared" si="35"/>
        <v>0</v>
      </c>
      <c r="R258" s="376">
        <f t="shared" si="36"/>
        <v>0</v>
      </c>
      <c r="S258" s="376">
        <f t="shared" si="27"/>
        <v>0</v>
      </c>
      <c r="T258" s="376">
        <f t="shared" si="37"/>
        <v>0</v>
      </c>
      <c r="U258" s="376"/>
      <c r="V258" s="376">
        <f t="shared" si="38"/>
        <v>0</v>
      </c>
      <c r="W258" s="347">
        <f>IF(B258&gt;$C$76,0,$C$243+SUM($J$246:J258))</f>
        <v>0</v>
      </c>
      <c r="X258" s="378">
        <f t="shared" si="39"/>
        <v>0</v>
      </c>
    </row>
    <row r="259" spans="1:24" s="540" customFormat="1" x14ac:dyDescent="0.45">
      <c r="A259" s="550"/>
      <c r="B259" s="344">
        <v>13</v>
      </c>
      <c r="C259" s="1038">
        <f t="shared" si="28"/>
        <v>0</v>
      </c>
      <c r="D259" s="376">
        <f t="shared" si="29"/>
        <v>0</v>
      </c>
      <c r="E259" s="1038">
        <f t="shared" si="30"/>
        <v>0</v>
      </c>
      <c r="F259" s="376">
        <f t="shared" si="31"/>
        <v>0</v>
      </c>
      <c r="G259" s="345">
        <v>0</v>
      </c>
      <c r="H259" s="376">
        <f t="shared" si="22"/>
        <v>0</v>
      </c>
      <c r="I259" s="345">
        <v>2.564E-2</v>
      </c>
      <c r="J259" s="376">
        <f t="shared" si="32"/>
        <v>0</v>
      </c>
      <c r="K259" s="377">
        <f t="shared" si="23"/>
        <v>0</v>
      </c>
      <c r="L259" s="376">
        <f t="shared" si="24"/>
        <v>0</v>
      </c>
      <c r="M259" s="376">
        <f t="shared" si="25"/>
        <v>0</v>
      </c>
      <c r="N259" s="376">
        <f t="shared" si="26"/>
        <v>0</v>
      </c>
      <c r="O259" s="347">
        <f t="shared" si="33"/>
        <v>0</v>
      </c>
      <c r="P259" s="347">
        <f t="shared" si="34"/>
        <v>0</v>
      </c>
      <c r="Q259" s="347">
        <f t="shared" si="35"/>
        <v>0</v>
      </c>
      <c r="R259" s="376">
        <f t="shared" si="36"/>
        <v>0</v>
      </c>
      <c r="S259" s="376">
        <f t="shared" si="27"/>
        <v>0</v>
      </c>
      <c r="T259" s="376">
        <f t="shared" si="37"/>
        <v>0</v>
      </c>
      <c r="U259" s="376"/>
      <c r="V259" s="376">
        <f t="shared" si="38"/>
        <v>0</v>
      </c>
      <c r="W259" s="347">
        <f>IF(B259&gt;$C$76,0,$C$243+SUM($J$246:J259))</f>
        <v>0</v>
      </c>
      <c r="X259" s="378">
        <f t="shared" si="39"/>
        <v>0</v>
      </c>
    </row>
    <row r="260" spans="1:24" s="540" customFormat="1" x14ac:dyDescent="0.45">
      <c r="A260" s="550"/>
      <c r="B260" s="344">
        <v>14</v>
      </c>
      <c r="C260" s="1038">
        <f t="shared" si="28"/>
        <v>0</v>
      </c>
      <c r="D260" s="376">
        <f t="shared" si="29"/>
        <v>0</v>
      </c>
      <c r="E260" s="1038">
        <f t="shared" si="30"/>
        <v>0</v>
      </c>
      <c r="F260" s="376">
        <f t="shared" si="31"/>
        <v>0</v>
      </c>
      <c r="G260" s="345">
        <v>0</v>
      </c>
      <c r="H260" s="376">
        <f t="shared" si="22"/>
        <v>0</v>
      </c>
      <c r="I260" s="345">
        <v>2.564E-2</v>
      </c>
      <c r="J260" s="376">
        <f t="shared" si="32"/>
        <v>0</v>
      </c>
      <c r="K260" s="377">
        <f t="shared" si="23"/>
        <v>0</v>
      </c>
      <c r="L260" s="376">
        <f t="shared" si="24"/>
        <v>0</v>
      </c>
      <c r="M260" s="376">
        <f t="shared" si="25"/>
        <v>0</v>
      </c>
      <c r="N260" s="376">
        <f t="shared" si="26"/>
        <v>0</v>
      </c>
      <c r="O260" s="347">
        <f t="shared" si="33"/>
        <v>0</v>
      </c>
      <c r="P260" s="347">
        <f t="shared" si="34"/>
        <v>0</v>
      </c>
      <c r="Q260" s="347">
        <f t="shared" si="35"/>
        <v>0</v>
      </c>
      <c r="R260" s="376">
        <f t="shared" si="36"/>
        <v>0</v>
      </c>
      <c r="S260" s="376">
        <f t="shared" si="27"/>
        <v>0</v>
      </c>
      <c r="T260" s="376">
        <f t="shared" si="37"/>
        <v>0</v>
      </c>
      <c r="U260" s="376"/>
      <c r="V260" s="376">
        <f t="shared" si="38"/>
        <v>0</v>
      </c>
      <c r="W260" s="347">
        <f>IF(B260&gt;$C$76,0,$C$243+SUM($J$246:J260))</f>
        <v>0</v>
      </c>
      <c r="X260" s="378">
        <f t="shared" si="39"/>
        <v>0</v>
      </c>
    </row>
    <row r="261" spans="1:24" s="540" customFormat="1" x14ac:dyDescent="0.45">
      <c r="A261" s="550"/>
      <c r="B261" s="344">
        <v>15</v>
      </c>
      <c r="C261" s="1038">
        <f t="shared" si="28"/>
        <v>0</v>
      </c>
      <c r="D261" s="376">
        <f t="shared" si="29"/>
        <v>0</v>
      </c>
      <c r="E261" s="1038">
        <f t="shared" si="30"/>
        <v>0</v>
      </c>
      <c r="F261" s="376">
        <f t="shared" si="31"/>
        <v>0</v>
      </c>
      <c r="G261" s="345">
        <v>0</v>
      </c>
      <c r="H261" s="376">
        <f t="shared" si="22"/>
        <v>0</v>
      </c>
      <c r="I261" s="345">
        <v>2.564E-2</v>
      </c>
      <c r="J261" s="376">
        <f t="shared" si="32"/>
        <v>0</v>
      </c>
      <c r="K261" s="377">
        <f t="shared" si="23"/>
        <v>0</v>
      </c>
      <c r="L261" s="376">
        <f t="shared" si="24"/>
        <v>0</v>
      </c>
      <c r="M261" s="376">
        <f t="shared" si="25"/>
        <v>0</v>
      </c>
      <c r="N261" s="376">
        <f t="shared" si="26"/>
        <v>0</v>
      </c>
      <c r="O261" s="347">
        <f t="shared" si="33"/>
        <v>0</v>
      </c>
      <c r="P261" s="347">
        <f t="shared" si="34"/>
        <v>0</v>
      </c>
      <c r="Q261" s="347">
        <f t="shared" si="35"/>
        <v>0</v>
      </c>
      <c r="R261" s="376">
        <f t="shared" si="36"/>
        <v>0</v>
      </c>
      <c r="S261" s="376">
        <f t="shared" si="27"/>
        <v>0</v>
      </c>
      <c r="T261" s="376">
        <f t="shared" si="37"/>
        <v>0</v>
      </c>
      <c r="U261" s="376"/>
      <c r="V261" s="376">
        <f t="shared" si="38"/>
        <v>0</v>
      </c>
      <c r="W261" s="347">
        <f>IF(B261&gt;$C$76,0,$C$243+SUM($J$246:J261))</f>
        <v>0</v>
      </c>
      <c r="X261" s="378">
        <f t="shared" si="39"/>
        <v>0</v>
      </c>
    </row>
    <row r="262" spans="1:24" s="540" customFormat="1" x14ac:dyDescent="0.45">
      <c r="A262" s="550"/>
      <c r="B262" s="344">
        <v>16</v>
      </c>
      <c r="C262" s="1038">
        <f t="shared" si="28"/>
        <v>0</v>
      </c>
      <c r="D262" s="376">
        <f t="shared" si="29"/>
        <v>0</v>
      </c>
      <c r="E262" s="1038">
        <f t="shared" si="30"/>
        <v>0</v>
      </c>
      <c r="F262" s="376">
        <f t="shared" si="31"/>
        <v>0</v>
      </c>
      <c r="G262" s="345">
        <v>0</v>
      </c>
      <c r="H262" s="376">
        <f t="shared" si="22"/>
        <v>0</v>
      </c>
      <c r="I262" s="345">
        <v>2.564E-2</v>
      </c>
      <c r="J262" s="376">
        <f t="shared" si="32"/>
        <v>0</v>
      </c>
      <c r="K262" s="377">
        <f t="shared" si="23"/>
        <v>0</v>
      </c>
      <c r="L262" s="376">
        <f t="shared" si="24"/>
        <v>0</v>
      </c>
      <c r="M262" s="376">
        <f t="shared" si="25"/>
        <v>0</v>
      </c>
      <c r="N262" s="376">
        <f t="shared" si="26"/>
        <v>0</v>
      </c>
      <c r="O262" s="347">
        <f t="shared" si="33"/>
        <v>0</v>
      </c>
      <c r="P262" s="347">
        <f t="shared" si="34"/>
        <v>0</v>
      </c>
      <c r="Q262" s="347">
        <f t="shared" si="35"/>
        <v>0</v>
      </c>
      <c r="R262" s="376">
        <f t="shared" si="36"/>
        <v>0</v>
      </c>
      <c r="S262" s="376">
        <f t="shared" si="27"/>
        <v>0</v>
      </c>
      <c r="T262" s="376">
        <f t="shared" si="37"/>
        <v>0</v>
      </c>
      <c r="U262" s="376"/>
      <c r="V262" s="376">
        <f t="shared" si="38"/>
        <v>0</v>
      </c>
      <c r="W262" s="347">
        <f>IF(B262&gt;$C$76,0,$C$243+SUM($J$246:J262))</f>
        <v>0</v>
      </c>
      <c r="X262" s="378">
        <f t="shared" si="39"/>
        <v>0</v>
      </c>
    </row>
    <row r="263" spans="1:24" s="540" customFormat="1" x14ac:dyDescent="0.45">
      <c r="A263" s="550"/>
      <c r="B263" s="344">
        <v>17</v>
      </c>
      <c r="C263" s="1038">
        <f t="shared" si="28"/>
        <v>0</v>
      </c>
      <c r="D263" s="376">
        <f t="shared" si="29"/>
        <v>0</v>
      </c>
      <c r="E263" s="1038">
        <f t="shared" si="30"/>
        <v>0</v>
      </c>
      <c r="F263" s="376">
        <f t="shared" si="31"/>
        <v>0</v>
      </c>
      <c r="G263" s="345">
        <v>0</v>
      </c>
      <c r="H263" s="376">
        <f t="shared" si="22"/>
        <v>0</v>
      </c>
      <c r="I263" s="345">
        <v>2.564E-2</v>
      </c>
      <c r="J263" s="376">
        <f t="shared" si="32"/>
        <v>0</v>
      </c>
      <c r="K263" s="377">
        <f t="shared" si="23"/>
        <v>0</v>
      </c>
      <c r="L263" s="376">
        <f t="shared" si="24"/>
        <v>0</v>
      </c>
      <c r="M263" s="376">
        <f t="shared" si="25"/>
        <v>0</v>
      </c>
      <c r="N263" s="376">
        <f t="shared" si="26"/>
        <v>0</v>
      </c>
      <c r="O263" s="347">
        <f t="shared" si="33"/>
        <v>0</v>
      </c>
      <c r="P263" s="347">
        <f t="shared" si="34"/>
        <v>0</v>
      </c>
      <c r="Q263" s="347">
        <f t="shared" si="35"/>
        <v>0</v>
      </c>
      <c r="R263" s="376">
        <f t="shared" si="36"/>
        <v>0</v>
      </c>
      <c r="S263" s="376">
        <f t="shared" si="27"/>
        <v>0</v>
      </c>
      <c r="T263" s="376">
        <f t="shared" si="37"/>
        <v>0</v>
      </c>
      <c r="U263" s="376"/>
      <c r="V263" s="376">
        <f t="shared" si="38"/>
        <v>0</v>
      </c>
      <c r="W263" s="347">
        <f>IF(B263&gt;$C$76,0,$C$243+SUM($J$246:J263))</f>
        <v>0</v>
      </c>
      <c r="X263" s="378">
        <f t="shared" si="39"/>
        <v>0</v>
      </c>
    </row>
    <row r="264" spans="1:24" s="540" customFormat="1" x14ac:dyDescent="0.45">
      <c r="A264" s="550"/>
      <c r="B264" s="344">
        <v>18</v>
      </c>
      <c r="C264" s="1038">
        <f t="shared" si="28"/>
        <v>0</v>
      </c>
      <c r="D264" s="376">
        <f t="shared" si="29"/>
        <v>0</v>
      </c>
      <c r="E264" s="1038">
        <f t="shared" si="30"/>
        <v>0</v>
      </c>
      <c r="F264" s="376">
        <f t="shared" si="31"/>
        <v>0</v>
      </c>
      <c r="G264" s="345">
        <v>0</v>
      </c>
      <c r="H264" s="376">
        <f t="shared" si="22"/>
        <v>0</v>
      </c>
      <c r="I264" s="345">
        <v>2.564E-2</v>
      </c>
      <c r="J264" s="376">
        <f t="shared" si="32"/>
        <v>0</v>
      </c>
      <c r="K264" s="377">
        <f t="shared" si="23"/>
        <v>0</v>
      </c>
      <c r="L264" s="376">
        <f t="shared" si="24"/>
        <v>0</v>
      </c>
      <c r="M264" s="376">
        <f t="shared" si="25"/>
        <v>0</v>
      </c>
      <c r="N264" s="376">
        <f t="shared" si="26"/>
        <v>0</v>
      </c>
      <c r="O264" s="347">
        <f t="shared" si="33"/>
        <v>0</v>
      </c>
      <c r="P264" s="347">
        <f t="shared" si="34"/>
        <v>0</v>
      </c>
      <c r="Q264" s="347">
        <f t="shared" si="35"/>
        <v>0</v>
      </c>
      <c r="R264" s="376">
        <f t="shared" si="36"/>
        <v>0</v>
      </c>
      <c r="S264" s="376">
        <f t="shared" si="27"/>
        <v>0</v>
      </c>
      <c r="T264" s="376">
        <f t="shared" si="37"/>
        <v>0</v>
      </c>
      <c r="U264" s="376"/>
      <c r="V264" s="376">
        <f t="shared" si="38"/>
        <v>0</v>
      </c>
      <c r="W264" s="347">
        <f>IF(B264&gt;$C$76,0,$C$243+SUM($J$246:J264))</f>
        <v>0</v>
      </c>
      <c r="X264" s="378">
        <f t="shared" si="39"/>
        <v>0</v>
      </c>
    </row>
    <row r="265" spans="1:24" s="540" customFormat="1" x14ac:dyDescent="0.45">
      <c r="A265" s="550"/>
      <c r="B265" s="344">
        <v>19</v>
      </c>
      <c r="C265" s="1038">
        <f t="shared" si="28"/>
        <v>0</v>
      </c>
      <c r="D265" s="376">
        <f t="shared" si="29"/>
        <v>0</v>
      </c>
      <c r="E265" s="1038">
        <f t="shared" si="30"/>
        <v>0</v>
      </c>
      <c r="F265" s="376">
        <f t="shared" si="31"/>
        <v>0</v>
      </c>
      <c r="G265" s="345">
        <v>0</v>
      </c>
      <c r="H265" s="376">
        <f t="shared" si="22"/>
        <v>0</v>
      </c>
      <c r="I265" s="345">
        <v>2.564E-2</v>
      </c>
      <c r="J265" s="376">
        <f t="shared" si="32"/>
        <v>0</v>
      </c>
      <c r="K265" s="377">
        <f t="shared" si="23"/>
        <v>0</v>
      </c>
      <c r="L265" s="376">
        <f t="shared" si="24"/>
        <v>0</v>
      </c>
      <c r="M265" s="376">
        <f t="shared" si="25"/>
        <v>0</v>
      </c>
      <c r="N265" s="376">
        <f t="shared" si="26"/>
        <v>0</v>
      </c>
      <c r="O265" s="347">
        <f t="shared" si="33"/>
        <v>0</v>
      </c>
      <c r="P265" s="347">
        <f t="shared" si="34"/>
        <v>0</v>
      </c>
      <c r="Q265" s="347">
        <f t="shared" si="35"/>
        <v>0</v>
      </c>
      <c r="R265" s="376">
        <f t="shared" si="36"/>
        <v>0</v>
      </c>
      <c r="S265" s="376">
        <f t="shared" si="27"/>
        <v>0</v>
      </c>
      <c r="T265" s="376">
        <f t="shared" si="37"/>
        <v>0</v>
      </c>
      <c r="U265" s="376"/>
      <c r="V265" s="376">
        <f t="shared" si="38"/>
        <v>0</v>
      </c>
      <c r="W265" s="347">
        <f>IF(B265&gt;$C$76,0,$C$243+SUM($J$246:J265))</f>
        <v>0</v>
      </c>
      <c r="X265" s="378">
        <f t="shared" si="39"/>
        <v>0</v>
      </c>
    </row>
    <row r="266" spans="1:24" s="540" customFormat="1" x14ac:dyDescent="0.45">
      <c r="A266" s="550"/>
      <c r="B266" s="344">
        <v>20</v>
      </c>
      <c r="C266" s="1038">
        <f t="shared" si="28"/>
        <v>0</v>
      </c>
      <c r="D266" s="376">
        <f t="shared" si="29"/>
        <v>0</v>
      </c>
      <c r="E266" s="1038">
        <f t="shared" si="30"/>
        <v>0</v>
      </c>
      <c r="F266" s="376">
        <f t="shared" si="31"/>
        <v>0</v>
      </c>
      <c r="G266" s="345">
        <v>0</v>
      </c>
      <c r="H266" s="376">
        <f t="shared" si="22"/>
        <v>0</v>
      </c>
      <c r="I266" s="345">
        <v>2.564E-2</v>
      </c>
      <c r="J266" s="376">
        <f t="shared" si="32"/>
        <v>0</v>
      </c>
      <c r="K266" s="377">
        <f t="shared" si="23"/>
        <v>0</v>
      </c>
      <c r="L266" s="376">
        <f t="shared" si="24"/>
        <v>0</v>
      </c>
      <c r="M266" s="376">
        <f t="shared" si="25"/>
        <v>0</v>
      </c>
      <c r="N266" s="376">
        <f t="shared" si="26"/>
        <v>0</v>
      </c>
      <c r="O266" s="347">
        <f t="shared" si="33"/>
        <v>0</v>
      </c>
      <c r="P266" s="347">
        <f t="shared" si="34"/>
        <v>0</v>
      </c>
      <c r="Q266" s="347">
        <f t="shared" si="35"/>
        <v>0</v>
      </c>
      <c r="R266" s="376">
        <f t="shared" si="36"/>
        <v>0</v>
      </c>
      <c r="S266" s="376">
        <f t="shared" si="27"/>
        <v>0</v>
      </c>
      <c r="T266" s="376">
        <f t="shared" si="37"/>
        <v>0</v>
      </c>
      <c r="U266" s="376"/>
      <c r="V266" s="376">
        <f t="shared" si="38"/>
        <v>0</v>
      </c>
      <c r="W266" s="347">
        <f>IF(B266&gt;$C$76,0,$C$243+SUM($J$246:J266))</f>
        <v>0</v>
      </c>
      <c r="X266" s="378">
        <f t="shared" si="39"/>
        <v>0</v>
      </c>
    </row>
    <row r="267" spans="1:24" s="540" customFormat="1" x14ac:dyDescent="0.45">
      <c r="A267" s="550"/>
      <c r="B267" s="344"/>
      <c r="C267" s="1038"/>
      <c r="D267" s="349"/>
      <c r="E267" s="345"/>
      <c r="F267" s="349"/>
      <c r="G267" s="345"/>
      <c r="H267" s="349"/>
      <c r="I267" s="345"/>
      <c r="J267" s="349"/>
      <c r="K267" s="349"/>
      <c r="L267" s="349"/>
      <c r="M267" s="349"/>
      <c r="N267" s="345"/>
      <c r="O267" s="345"/>
      <c r="P267" s="345"/>
      <c r="Q267" s="345"/>
      <c r="R267" s="349"/>
      <c r="S267" s="349"/>
      <c r="T267" s="345"/>
      <c r="U267" s="345"/>
      <c r="V267" s="345"/>
      <c r="W267" s="348" t="s">
        <v>158</v>
      </c>
      <c r="X267" s="353">
        <f>NPV($C$201,X247:X266)+X246</f>
        <v>0</v>
      </c>
    </row>
    <row r="268" spans="1:24" s="540" customFormat="1" x14ac:dyDescent="0.45">
      <c r="A268" s="550"/>
      <c r="B268" s="344"/>
      <c r="C268" s="1038"/>
      <c r="D268" s="360"/>
      <c r="E268" s="345"/>
      <c r="F268" s="360"/>
      <c r="G268" s="345"/>
      <c r="H268" s="360"/>
      <c r="I268" s="345"/>
      <c r="J268" s="360"/>
      <c r="K268" s="360"/>
      <c r="L268" s="360"/>
      <c r="M268" s="360"/>
      <c r="N268" s="345"/>
      <c r="O268" s="345"/>
      <c r="P268" s="345"/>
      <c r="Q268" s="345"/>
      <c r="R268" s="360"/>
      <c r="S268" s="360"/>
      <c r="T268" s="345"/>
      <c r="U268" s="345"/>
      <c r="V268" s="345"/>
      <c r="W268" s="348" t="s">
        <v>134</v>
      </c>
      <c r="X268" s="837">
        <f>IRR(X246:X266,0.1)</f>
        <v>0.10000000000000009</v>
      </c>
    </row>
    <row r="269" spans="1:24" s="540" customFormat="1" x14ac:dyDescent="0.45">
      <c r="A269" s="550"/>
      <c r="B269" s="344"/>
      <c r="C269" s="1038"/>
      <c r="D269" s="828"/>
      <c r="E269" s="345"/>
      <c r="F269" s="345"/>
      <c r="G269" s="345"/>
      <c r="H269" s="345"/>
      <c r="I269" s="345"/>
      <c r="J269" s="348"/>
      <c r="K269" s="345"/>
      <c r="L269" s="345"/>
      <c r="M269" s="345"/>
      <c r="N269" s="345"/>
      <c r="O269" s="345"/>
      <c r="P269" s="345"/>
      <c r="Q269" s="345"/>
      <c r="R269" s="345"/>
      <c r="S269" s="345"/>
      <c r="T269" s="345"/>
      <c r="U269" s="345"/>
      <c r="V269" s="345"/>
      <c r="W269" s="345"/>
      <c r="X269" s="346"/>
    </row>
    <row r="270" spans="1:24" s="540" customFormat="1" x14ac:dyDescent="0.45">
      <c r="A270" s="550"/>
      <c r="B270" s="357" t="s">
        <v>31</v>
      </c>
      <c r="C270" s="1038"/>
      <c r="D270" s="358"/>
      <c r="E270" s="345"/>
      <c r="F270" s="348"/>
      <c r="G270" s="345"/>
      <c r="H270" s="345"/>
      <c r="I270" s="345"/>
      <c r="J270" s="345"/>
      <c r="K270" s="345"/>
      <c r="L270" s="345"/>
      <c r="M270" s="345"/>
      <c r="N270" s="345"/>
      <c r="O270" s="345"/>
      <c r="P270" s="345"/>
      <c r="Q270" s="345"/>
      <c r="R270" s="345"/>
      <c r="S270" s="345"/>
      <c r="T270" s="345"/>
      <c r="U270" s="345"/>
      <c r="V270" s="345"/>
      <c r="W270" s="345"/>
      <c r="X270" s="346"/>
    </row>
    <row r="271" spans="1:24" s="540" customFormat="1" x14ac:dyDescent="0.45">
      <c r="A271" s="550"/>
      <c r="B271" s="344" t="s">
        <v>272</v>
      </c>
      <c r="C271" s="832">
        <f>$D$84*$C$77</f>
        <v>82981800</v>
      </c>
      <c r="D271" s="345" t="s">
        <v>1</v>
      </c>
      <c r="E271" s="345"/>
      <c r="F271" s="345"/>
      <c r="G271" s="345"/>
      <c r="H271" s="345"/>
      <c r="I271" s="345"/>
      <c r="J271" s="345"/>
      <c r="K271" s="345"/>
      <c r="L271" s="345"/>
      <c r="M271" s="345"/>
      <c r="N271" s="345"/>
      <c r="O271" s="345"/>
      <c r="P271" s="345"/>
      <c r="Q271" s="345"/>
      <c r="R271" s="345"/>
      <c r="S271" s="345"/>
      <c r="T271" s="345"/>
      <c r="U271" s="345"/>
      <c r="V271" s="345"/>
      <c r="W271" s="345"/>
      <c r="X271" s="346"/>
    </row>
    <row r="272" spans="1:24" s="540" customFormat="1" x14ac:dyDescent="0.45">
      <c r="A272" s="550"/>
      <c r="B272" s="344" t="s">
        <v>273</v>
      </c>
      <c r="C272" s="832">
        <f>$E$84*$C$79</f>
        <v>12296394</v>
      </c>
      <c r="D272" s="345" t="s">
        <v>1</v>
      </c>
      <c r="E272" s="345"/>
      <c r="F272" s="345"/>
      <c r="G272" s="347"/>
      <c r="H272" s="345"/>
      <c r="I272" s="345"/>
      <c r="J272" s="345"/>
      <c r="K272" s="345"/>
      <c r="L272" s="345"/>
      <c r="M272" s="345"/>
      <c r="N272" s="345"/>
      <c r="O272" s="345"/>
      <c r="P272" s="345"/>
      <c r="Q272" s="345"/>
      <c r="R272" s="345"/>
      <c r="S272" s="345"/>
      <c r="T272" s="345"/>
      <c r="U272" s="345"/>
      <c r="V272" s="345"/>
      <c r="W272" s="345"/>
      <c r="X272" s="346"/>
    </row>
    <row r="273" spans="1:24" s="540" customFormat="1" x14ac:dyDescent="0.45">
      <c r="A273" s="550"/>
      <c r="B273" s="829"/>
      <c r="C273" s="1038"/>
      <c r="D273" s="358"/>
      <c r="E273" s="345"/>
      <c r="F273" s="348"/>
      <c r="G273" s="345"/>
      <c r="H273" s="345"/>
      <c r="I273" s="345"/>
      <c r="J273" s="345"/>
      <c r="K273" s="345"/>
      <c r="L273" s="345"/>
      <c r="M273" s="345"/>
      <c r="N273" s="345"/>
      <c r="O273" s="345"/>
      <c r="P273" s="345"/>
      <c r="Q273" s="345"/>
      <c r="R273" s="345"/>
      <c r="S273" s="345"/>
      <c r="T273" s="345"/>
      <c r="U273" s="345"/>
      <c r="V273" s="345"/>
      <c r="W273" s="345"/>
      <c r="X273" s="346"/>
    </row>
    <row r="274" spans="1:24" s="540" customFormat="1" x14ac:dyDescent="0.45">
      <c r="A274" s="550"/>
      <c r="B274" s="354" t="s">
        <v>27</v>
      </c>
      <c r="C274" s="1040" t="s">
        <v>379</v>
      </c>
      <c r="D274" s="355" t="s">
        <v>128</v>
      </c>
      <c r="E274" s="355" t="s">
        <v>380</v>
      </c>
      <c r="F274" s="355" t="s">
        <v>245</v>
      </c>
      <c r="G274" s="355" t="s">
        <v>367</v>
      </c>
      <c r="H274" s="355" t="s">
        <v>368</v>
      </c>
      <c r="I274" s="355" t="s">
        <v>369</v>
      </c>
      <c r="J274" s="355" t="s">
        <v>370</v>
      </c>
      <c r="K274" s="355" t="s">
        <v>131</v>
      </c>
      <c r="L274" s="355" t="s">
        <v>130</v>
      </c>
      <c r="M274" s="355" t="s">
        <v>129</v>
      </c>
      <c r="N274" s="355" t="s">
        <v>374</v>
      </c>
      <c r="O274" s="355" t="s">
        <v>124</v>
      </c>
      <c r="P274" s="355" t="s">
        <v>125</v>
      </c>
      <c r="Q274" s="355" t="s">
        <v>126</v>
      </c>
      <c r="R274" s="355" t="s">
        <v>155</v>
      </c>
      <c r="S274" s="355" t="s">
        <v>157</v>
      </c>
      <c r="T274" s="355" t="s">
        <v>156</v>
      </c>
      <c r="U274" s="345" t="s">
        <v>280</v>
      </c>
      <c r="V274" s="355" t="s">
        <v>375</v>
      </c>
      <c r="W274" s="355" t="s">
        <v>373</v>
      </c>
      <c r="X274" s="835" t="s">
        <v>164</v>
      </c>
    </row>
    <row r="275" spans="1:24" s="540" customFormat="1" x14ac:dyDescent="0.45">
      <c r="A275" s="550"/>
      <c r="B275" s="359">
        <v>0</v>
      </c>
      <c r="C275" s="1039">
        <v>0.15208927372061665</v>
      </c>
      <c r="D275" s="375">
        <v>0</v>
      </c>
      <c r="E275" s="833">
        <f>SUM(J32:J48)</f>
        <v>9.5275553643689781E-2</v>
      </c>
      <c r="F275" s="375">
        <v>0</v>
      </c>
      <c r="G275" s="345">
        <v>0</v>
      </c>
      <c r="H275" s="376">
        <f t="shared" ref="H275:H295" si="40">IF(D275&gt;0,-1*G275*$C$271,0)</f>
        <v>0</v>
      </c>
      <c r="I275" s="376">
        <v>0</v>
      </c>
      <c r="J275" s="376">
        <v>0</v>
      </c>
      <c r="K275" s="379">
        <f t="shared" ref="K275:K295" si="41">D275+F275+H275+J275</f>
        <v>0</v>
      </c>
      <c r="L275" s="375">
        <f t="shared" ref="L275:L295" si="42">IF(F275&lt;&gt;0,-1*($C$203+$C$204)*D275,0)</f>
        <v>0</v>
      </c>
      <c r="M275" s="375">
        <f t="shared" ref="M275:M295" si="43">K275+L275</f>
        <v>0</v>
      </c>
      <c r="N275" s="376">
        <f t="shared" ref="N275:N295" si="44">IF(V275&gt;0,V275-W275,0)</f>
        <v>0</v>
      </c>
      <c r="O275" s="347">
        <v>0</v>
      </c>
      <c r="P275" s="347">
        <v>0</v>
      </c>
      <c r="Q275" s="347">
        <v>0</v>
      </c>
      <c r="R275" s="376">
        <f>IF(M275&gt;0,-1*(M275+N275)*$C$202,0)</f>
        <v>0</v>
      </c>
      <c r="S275" s="375">
        <f t="shared" ref="S275:S295" si="45">IF(B275=$C$77,0,$C$205/12*(D276+F276+L276))</f>
        <v>5146963.2570962422</v>
      </c>
      <c r="T275" s="375">
        <f>S275</f>
        <v>5146963.2570962422</v>
      </c>
      <c r="U275" s="375">
        <f>-1*(C271+C272)</f>
        <v>-95278194</v>
      </c>
      <c r="V275" s="376">
        <f>IF(B275=$C$77+1,$C$272+SUM($J274:J$276)+$C$271+SUM($H274:H$276),0)</f>
        <v>0</v>
      </c>
      <c r="W275" s="347">
        <f>IF(B275&gt;$C$77,0,$C$272+SUM($J$275:J275))</f>
        <v>12296394</v>
      </c>
      <c r="X275" s="836">
        <f>-T275+U275</f>
        <v>-100425157.25709625</v>
      </c>
    </row>
    <row r="276" spans="1:24" s="540" customFormat="1" x14ac:dyDescent="0.45">
      <c r="A276" s="550"/>
      <c r="B276" s="344">
        <v>1</v>
      </c>
      <c r="C276" s="1038">
        <f t="shared" ref="C276:C295" si="46">IF(B276&gt;$C$77,0,$C$275*(1+$C$199)^B276)</f>
        <v>0.15543523774247023</v>
      </c>
      <c r="D276" s="376">
        <f t="shared" ref="D276:D295" si="47">C276*$C$198*1000000</f>
        <v>76661567.52211155</v>
      </c>
      <c r="E276" s="1038">
        <f t="shared" ref="E276:E295" si="48">IF(B276&gt;$C$77,0,$E$275*(1+$C$200)^B276)</f>
        <v>9.7371615823850954E-2</v>
      </c>
      <c r="F276" s="376">
        <f t="shared" ref="F276:F295" si="49">-1*E276*$C$198*1000000</f>
        <v>-48024249.90390487</v>
      </c>
      <c r="G276" s="345">
        <v>0.1429</v>
      </c>
      <c r="H276" s="376">
        <f t="shared" si="40"/>
        <v>-11858099.220000001</v>
      </c>
      <c r="I276" s="345">
        <v>1.391E-2</v>
      </c>
      <c r="J276" s="376">
        <f t="shared" ref="J276:J295" si="50">IF(D276&gt;0,-1*$C$272*I276,0)</f>
        <v>-171042.84054</v>
      </c>
      <c r="K276" s="377">
        <f t="shared" si="41"/>
        <v>16608175.557666682</v>
      </c>
      <c r="L276" s="376">
        <f t="shared" si="42"/>
        <v>-8049464.5898217121</v>
      </c>
      <c r="M276" s="376">
        <f t="shared" si="43"/>
        <v>8558710.9678449705</v>
      </c>
      <c r="N276" s="376">
        <f t="shared" si="44"/>
        <v>0</v>
      </c>
      <c r="O276" s="347">
        <f t="shared" ref="O276:O295" si="51">IF(M276&lt;0,M276*-1,0)</f>
        <v>0</v>
      </c>
      <c r="P276" s="347">
        <f t="shared" ref="P276:P295" si="52">P275+O276-Q276</f>
        <v>0</v>
      </c>
      <c r="Q276" s="347">
        <f t="shared" ref="Q276:Q295" si="53">IF(B276=$C$77+1,O276,IF(AND(M276&gt;0, P275&gt;0), MIN(M276,P275),0))</f>
        <v>0</v>
      </c>
      <c r="R276" s="376">
        <f t="shared" ref="R276:R295" si="54">IF(M276&gt;0,-1*(M276+N276-Q276)*$C$202,0)</f>
        <v>-2387880.3600287465</v>
      </c>
      <c r="S276" s="376">
        <f t="shared" si="45"/>
        <v>5260196.4487523604</v>
      </c>
      <c r="T276" s="376">
        <f t="shared" ref="T276:T295" si="55">(S276-S275)</f>
        <v>113233.19165611826</v>
      </c>
      <c r="U276" s="376"/>
      <c r="V276" s="376">
        <f t="shared" ref="V276:V295" si="56">IF(B276=$C$77,$C$272*(1-1/$C$79*B276),0)</f>
        <v>0</v>
      </c>
      <c r="W276" s="347">
        <f>IF(B276&gt;$C$77,0,$C$272+SUM($J$275:J276))</f>
        <v>12125351.159460001</v>
      </c>
      <c r="X276" s="378">
        <f t="shared" ref="X276:X295" si="57">M276+R276-1*(H276+J276)-T276+U276+V276</f>
        <v>18086739.476700105</v>
      </c>
    </row>
    <row r="277" spans="1:24" s="540" customFormat="1" x14ac:dyDescent="0.45">
      <c r="A277" s="550"/>
      <c r="B277" s="344">
        <v>2</v>
      </c>
      <c r="C277" s="1038">
        <f t="shared" si="46"/>
        <v>0.15885481297280454</v>
      </c>
      <c r="D277" s="376">
        <f t="shared" si="47"/>
        <v>78348122.007597998</v>
      </c>
      <c r="E277" s="1038">
        <f t="shared" si="48"/>
        <v>9.9513791371975677E-2</v>
      </c>
      <c r="F277" s="376">
        <f t="shared" si="49"/>
        <v>-49080783.401790768</v>
      </c>
      <c r="G277" s="345">
        <v>0.24490000000000001</v>
      </c>
      <c r="H277" s="376">
        <f t="shared" si="40"/>
        <v>-20322242.82</v>
      </c>
      <c r="I277" s="345">
        <v>2.564E-2</v>
      </c>
      <c r="J277" s="376">
        <f t="shared" si="50"/>
        <v>-315279.54216000001</v>
      </c>
      <c r="K277" s="377">
        <f t="shared" si="41"/>
        <v>8629816.2436472289</v>
      </c>
      <c r="L277" s="376">
        <f t="shared" si="42"/>
        <v>-8226552.8107977891</v>
      </c>
      <c r="M277" s="376">
        <f t="shared" si="43"/>
        <v>403263.43284943979</v>
      </c>
      <c r="N277" s="376">
        <f t="shared" si="44"/>
        <v>0</v>
      </c>
      <c r="O277" s="347">
        <f t="shared" si="51"/>
        <v>0</v>
      </c>
      <c r="P277" s="347">
        <f t="shared" si="52"/>
        <v>0</v>
      </c>
      <c r="Q277" s="347">
        <f t="shared" si="53"/>
        <v>0</v>
      </c>
      <c r="R277" s="376">
        <f t="shared" si="54"/>
        <v>-112510.49776499369</v>
      </c>
      <c r="S277" s="376">
        <f t="shared" si="45"/>
        <v>5375920.7706249133</v>
      </c>
      <c r="T277" s="376">
        <f t="shared" si="55"/>
        <v>115724.32187255286</v>
      </c>
      <c r="U277" s="376"/>
      <c r="V277" s="376">
        <f t="shared" si="56"/>
        <v>0</v>
      </c>
      <c r="W277" s="347">
        <f>IF(B277&gt;$C$77,0,$C$272+SUM($J$275:J277))</f>
        <v>11810071.6173</v>
      </c>
      <c r="X277" s="378">
        <f t="shared" si="57"/>
        <v>20812550.975371897</v>
      </c>
    </row>
    <row r="278" spans="1:24" s="540" customFormat="1" x14ac:dyDescent="0.45">
      <c r="A278" s="550"/>
      <c r="B278" s="344">
        <v>3</v>
      </c>
      <c r="C278" s="1038">
        <f t="shared" si="46"/>
        <v>0.16234961885820626</v>
      </c>
      <c r="D278" s="376">
        <f t="shared" si="47"/>
        <v>80071780.691765159</v>
      </c>
      <c r="E278" s="1038">
        <f t="shared" si="48"/>
        <v>0.10170309478215914</v>
      </c>
      <c r="F278" s="376">
        <f t="shared" si="49"/>
        <v>-50160560.636630163</v>
      </c>
      <c r="G278" s="345">
        <v>0.1749</v>
      </c>
      <c r="H278" s="376">
        <f t="shared" si="40"/>
        <v>-14513516.82</v>
      </c>
      <c r="I278" s="345">
        <v>2.564E-2</v>
      </c>
      <c r="J278" s="376">
        <f t="shared" si="50"/>
        <v>-315279.54216000001</v>
      </c>
      <c r="K278" s="377">
        <f t="shared" si="41"/>
        <v>15082423.692974996</v>
      </c>
      <c r="L278" s="376">
        <f t="shared" si="42"/>
        <v>-8407536.9726353418</v>
      </c>
      <c r="M278" s="376">
        <f t="shared" si="43"/>
        <v>6674886.720339654</v>
      </c>
      <c r="N278" s="376">
        <f t="shared" si="44"/>
        <v>0</v>
      </c>
      <c r="O278" s="347">
        <f t="shared" si="51"/>
        <v>0</v>
      </c>
      <c r="P278" s="347">
        <f t="shared" si="52"/>
        <v>0</v>
      </c>
      <c r="Q278" s="347">
        <f t="shared" si="53"/>
        <v>0</v>
      </c>
      <c r="R278" s="376">
        <f t="shared" si="54"/>
        <v>-1862293.3949747633</v>
      </c>
      <c r="S278" s="376">
        <f t="shared" si="45"/>
        <v>5494191.0275786612</v>
      </c>
      <c r="T278" s="376">
        <f t="shared" si="55"/>
        <v>118270.25695374794</v>
      </c>
      <c r="U278" s="376"/>
      <c r="V278" s="376">
        <f t="shared" si="56"/>
        <v>0</v>
      </c>
      <c r="W278" s="347">
        <f>IF(B278&gt;$C$77,0,$C$272+SUM($J$275:J278))</f>
        <v>11494792.075139999</v>
      </c>
      <c r="X278" s="378">
        <f t="shared" si="57"/>
        <v>19523119.430571146</v>
      </c>
    </row>
    <row r="279" spans="1:24" s="540" customFormat="1" x14ac:dyDescent="0.45">
      <c r="A279" s="550"/>
      <c r="B279" s="344">
        <v>4</v>
      </c>
      <c r="C279" s="1038">
        <f t="shared" si="46"/>
        <v>0.16592131047308681</v>
      </c>
      <c r="D279" s="376">
        <f t="shared" si="47"/>
        <v>81833359.866983995</v>
      </c>
      <c r="E279" s="1038">
        <f t="shared" si="48"/>
        <v>0.10394056286736665</v>
      </c>
      <c r="F279" s="376">
        <f t="shared" si="49"/>
        <v>-51264092.970636033</v>
      </c>
      <c r="G279" s="345">
        <v>0.1249</v>
      </c>
      <c r="H279" s="376">
        <f t="shared" si="40"/>
        <v>-10364426.82</v>
      </c>
      <c r="I279" s="345">
        <v>2.564E-2</v>
      </c>
      <c r="J279" s="376">
        <f t="shared" si="50"/>
        <v>-315279.54216000001</v>
      </c>
      <c r="K279" s="377">
        <f t="shared" si="41"/>
        <v>19889560.534187961</v>
      </c>
      <c r="L279" s="376">
        <f t="shared" si="42"/>
        <v>-8592502.7860333193</v>
      </c>
      <c r="M279" s="376">
        <f t="shared" si="43"/>
        <v>11297057.748154642</v>
      </c>
      <c r="N279" s="376">
        <f t="shared" si="44"/>
        <v>0</v>
      </c>
      <c r="O279" s="347">
        <f t="shared" si="51"/>
        <v>0</v>
      </c>
      <c r="P279" s="347">
        <f t="shared" si="52"/>
        <v>0</v>
      </c>
      <c r="Q279" s="347">
        <f t="shared" si="53"/>
        <v>0</v>
      </c>
      <c r="R279" s="376">
        <f t="shared" si="54"/>
        <v>-3151879.1117351446</v>
      </c>
      <c r="S279" s="376">
        <f t="shared" si="45"/>
        <v>5615063.2301853886</v>
      </c>
      <c r="T279" s="376">
        <f t="shared" si="55"/>
        <v>120872.20260672737</v>
      </c>
      <c r="U279" s="376"/>
      <c r="V279" s="376">
        <f t="shared" si="56"/>
        <v>0</v>
      </c>
      <c r="W279" s="347">
        <f>IF(B279&gt;$C$77,0,$C$272+SUM($J$275:J279))</f>
        <v>11179512.532980001</v>
      </c>
      <c r="X279" s="378">
        <f t="shared" si="57"/>
        <v>18704012.795972772</v>
      </c>
    </row>
    <row r="280" spans="1:24" s="540" customFormat="1" x14ac:dyDescent="0.45">
      <c r="A280" s="550"/>
      <c r="B280" s="344">
        <v>5</v>
      </c>
      <c r="C280" s="1038">
        <f t="shared" si="46"/>
        <v>0.1695715793034947</v>
      </c>
      <c r="D280" s="376">
        <f t="shared" si="47"/>
        <v>83633693.784057632</v>
      </c>
      <c r="E280" s="1038">
        <f t="shared" si="48"/>
        <v>0.10622725525044871</v>
      </c>
      <c r="F280" s="376">
        <f t="shared" si="49"/>
        <v>-52391903.015990026</v>
      </c>
      <c r="G280" s="345">
        <v>8.9300000000000004E-2</v>
      </c>
      <c r="H280" s="376">
        <f t="shared" si="40"/>
        <v>-7410274.7400000002</v>
      </c>
      <c r="I280" s="345">
        <v>2.564E-2</v>
      </c>
      <c r="J280" s="376">
        <f t="shared" si="50"/>
        <v>-315279.54216000001</v>
      </c>
      <c r="K280" s="377">
        <f t="shared" si="41"/>
        <v>23516236.485907603</v>
      </c>
      <c r="L280" s="376">
        <f t="shared" si="42"/>
        <v>-8781537.8473260514</v>
      </c>
      <c r="M280" s="376">
        <f t="shared" si="43"/>
        <v>14734698.638581552</v>
      </c>
      <c r="N280" s="376">
        <f t="shared" si="44"/>
        <v>0</v>
      </c>
      <c r="O280" s="347">
        <f t="shared" si="51"/>
        <v>0</v>
      </c>
      <c r="P280" s="347">
        <f t="shared" si="52"/>
        <v>0</v>
      </c>
      <c r="Q280" s="347">
        <f t="shared" si="53"/>
        <v>0</v>
      </c>
      <c r="R280" s="376">
        <f t="shared" si="54"/>
        <v>-4110980.9201642526</v>
      </c>
      <c r="S280" s="376">
        <f t="shared" si="45"/>
        <v>5738594.6212494653</v>
      </c>
      <c r="T280" s="376">
        <f t="shared" si="55"/>
        <v>123531.39106407668</v>
      </c>
      <c r="U280" s="376"/>
      <c r="V280" s="376">
        <f t="shared" si="56"/>
        <v>0</v>
      </c>
      <c r="W280" s="347">
        <f>IF(B280&gt;$C$77,0,$C$272+SUM($J$275:J280))</f>
        <v>10864232.99082</v>
      </c>
      <c r="X280" s="378">
        <f t="shared" si="57"/>
        <v>18225740.609513219</v>
      </c>
    </row>
    <row r="281" spans="1:24" s="540" customFormat="1" x14ac:dyDescent="0.45">
      <c r="A281" s="550"/>
      <c r="B281" s="344">
        <v>6</v>
      </c>
      <c r="C281" s="1038">
        <f t="shared" si="46"/>
        <v>0.17330215404817156</v>
      </c>
      <c r="D281" s="376">
        <f t="shared" si="47"/>
        <v>85473635.04730688</v>
      </c>
      <c r="E281" s="1038">
        <f t="shared" si="48"/>
        <v>0.10856425486595857</v>
      </c>
      <c r="F281" s="376">
        <f t="shared" si="49"/>
        <v>-53544524.882341795</v>
      </c>
      <c r="G281" s="345">
        <v>8.9200000000000002E-2</v>
      </c>
      <c r="H281" s="376">
        <f t="shared" si="40"/>
        <v>-7401976.5600000005</v>
      </c>
      <c r="I281" s="345">
        <v>2.564E-2</v>
      </c>
      <c r="J281" s="376">
        <f t="shared" si="50"/>
        <v>-315279.54216000001</v>
      </c>
      <c r="K281" s="377">
        <f t="shared" si="41"/>
        <v>24211854.062805083</v>
      </c>
      <c r="L281" s="376">
        <f t="shared" si="42"/>
        <v>-8974731.6799672227</v>
      </c>
      <c r="M281" s="376">
        <f t="shared" si="43"/>
        <v>15237122.38283786</v>
      </c>
      <c r="N281" s="376">
        <f t="shared" si="44"/>
        <v>0</v>
      </c>
      <c r="O281" s="347">
        <f t="shared" si="51"/>
        <v>0</v>
      </c>
      <c r="P281" s="347">
        <f t="shared" si="52"/>
        <v>0</v>
      </c>
      <c r="Q281" s="347">
        <f t="shared" si="53"/>
        <v>0</v>
      </c>
      <c r="R281" s="376">
        <f t="shared" si="54"/>
        <v>-4251157.1448117625</v>
      </c>
      <c r="S281" s="376">
        <f t="shared" si="45"/>
        <v>5864843.7029169574</v>
      </c>
      <c r="T281" s="376">
        <f t="shared" si="55"/>
        <v>126249.08166749217</v>
      </c>
      <c r="U281" s="376"/>
      <c r="V281" s="376">
        <f t="shared" si="56"/>
        <v>0</v>
      </c>
      <c r="W281" s="347">
        <f>IF(B281&gt;$C$77,0,$C$272+SUM($J$275:J281))</f>
        <v>10548953.448659999</v>
      </c>
      <c r="X281" s="378">
        <f t="shared" si="57"/>
        <v>18576972.258518606</v>
      </c>
    </row>
    <row r="282" spans="1:24" s="540" customFormat="1" x14ac:dyDescent="0.45">
      <c r="A282" s="550"/>
      <c r="B282" s="344">
        <v>7</v>
      </c>
      <c r="C282" s="1038">
        <f t="shared" si="46"/>
        <v>0.17711480143723135</v>
      </c>
      <c r="D282" s="376">
        <f t="shared" si="47"/>
        <v>87354055.018347651</v>
      </c>
      <c r="E282" s="1038">
        <f t="shared" si="48"/>
        <v>0.11095266847300966</v>
      </c>
      <c r="F282" s="376">
        <f t="shared" si="49"/>
        <v>-54722504.429753318</v>
      </c>
      <c r="G282" s="345">
        <v>8.9300000000000004E-2</v>
      </c>
      <c r="H282" s="376">
        <f t="shared" si="40"/>
        <v>-7410274.7400000002</v>
      </c>
      <c r="I282" s="345">
        <v>2.564E-2</v>
      </c>
      <c r="J282" s="376">
        <f t="shared" si="50"/>
        <v>-315279.54216000001</v>
      </c>
      <c r="K282" s="377">
        <f t="shared" si="41"/>
        <v>24905996.30643433</v>
      </c>
      <c r="L282" s="376">
        <f t="shared" si="42"/>
        <v>-9172175.7769265026</v>
      </c>
      <c r="M282" s="376">
        <f t="shared" si="43"/>
        <v>15733820.529507827</v>
      </c>
      <c r="N282" s="376">
        <f t="shared" si="44"/>
        <v>-1380270.2265000008</v>
      </c>
      <c r="O282" s="347">
        <f t="shared" si="51"/>
        <v>0</v>
      </c>
      <c r="P282" s="347">
        <f t="shared" si="52"/>
        <v>0</v>
      </c>
      <c r="Q282" s="347">
        <f t="shared" si="53"/>
        <v>0</v>
      </c>
      <c r="R282" s="376">
        <f t="shared" si="54"/>
        <v>-4004640.5345391831</v>
      </c>
      <c r="S282" s="376">
        <f t="shared" si="45"/>
        <v>0</v>
      </c>
      <c r="T282" s="376">
        <f t="shared" si="55"/>
        <v>-5864843.7029169574</v>
      </c>
      <c r="U282" s="376"/>
      <c r="V282" s="376">
        <f t="shared" si="56"/>
        <v>8853403.6799999997</v>
      </c>
      <c r="W282" s="347">
        <f>IF(B282&gt;$C$77,0,$C$272+SUM($J$275:J282))</f>
        <v>10233673.906500001</v>
      </c>
      <c r="X282" s="378">
        <f t="shared" si="57"/>
        <v>34172981.660045601</v>
      </c>
    </row>
    <row r="283" spans="1:24" s="540" customFormat="1" x14ac:dyDescent="0.45">
      <c r="A283" s="550"/>
      <c r="B283" s="344">
        <v>8</v>
      </c>
      <c r="C283" s="1038">
        <f t="shared" si="46"/>
        <v>0</v>
      </c>
      <c r="D283" s="376">
        <f t="shared" si="47"/>
        <v>0</v>
      </c>
      <c r="E283" s="1038">
        <f t="shared" si="48"/>
        <v>0</v>
      </c>
      <c r="F283" s="376">
        <f t="shared" si="49"/>
        <v>0</v>
      </c>
      <c r="G283" s="345">
        <v>4.4600000000000001E-2</v>
      </c>
      <c r="H283" s="376">
        <f t="shared" si="40"/>
        <v>0</v>
      </c>
      <c r="I283" s="345">
        <v>2.564E-2</v>
      </c>
      <c r="J283" s="376">
        <f t="shared" si="50"/>
        <v>0</v>
      </c>
      <c r="K283" s="377">
        <f t="shared" si="41"/>
        <v>0</v>
      </c>
      <c r="L283" s="376">
        <f t="shared" si="42"/>
        <v>0</v>
      </c>
      <c r="M283" s="376">
        <f t="shared" si="43"/>
        <v>0</v>
      </c>
      <c r="N283" s="376">
        <f t="shared" si="44"/>
        <v>0</v>
      </c>
      <c r="O283" s="347">
        <f t="shared" si="51"/>
        <v>0</v>
      </c>
      <c r="P283" s="347">
        <f t="shared" si="52"/>
        <v>0</v>
      </c>
      <c r="Q283" s="347">
        <f t="shared" si="53"/>
        <v>0</v>
      </c>
      <c r="R283" s="376">
        <f t="shared" si="54"/>
        <v>0</v>
      </c>
      <c r="S283" s="376">
        <f t="shared" si="45"/>
        <v>0</v>
      </c>
      <c r="T283" s="376">
        <f t="shared" si="55"/>
        <v>0</v>
      </c>
      <c r="U283" s="376"/>
      <c r="V283" s="376">
        <f t="shared" si="56"/>
        <v>0</v>
      </c>
      <c r="W283" s="347">
        <f>IF(B283&gt;$C$77,0,$C$272+SUM($J$275:J283))</f>
        <v>0</v>
      </c>
      <c r="X283" s="378">
        <f t="shared" si="57"/>
        <v>0</v>
      </c>
    </row>
    <row r="284" spans="1:24" s="540" customFormat="1" x14ac:dyDescent="0.45">
      <c r="A284" s="550"/>
      <c r="B284" s="344">
        <v>9</v>
      </c>
      <c r="C284" s="1038">
        <f t="shared" si="46"/>
        <v>0</v>
      </c>
      <c r="D284" s="376">
        <f t="shared" si="47"/>
        <v>0</v>
      </c>
      <c r="E284" s="1038">
        <f t="shared" si="48"/>
        <v>0</v>
      </c>
      <c r="F284" s="376">
        <f t="shared" si="49"/>
        <v>0</v>
      </c>
      <c r="G284" s="345">
        <v>0</v>
      </c>
      <c r="H284" s="376">
        <f t="shared" si="40"/>
        <v>0</v>
      </c>
      <c r="I284" s="345">
        <v>2.564E-2</v>
      </c>
      <c r="J284" s="376">
        <f t="shared" si="50"/>
        <v>0</v>
      </c>
      <c r="K284" s="377">
        <f t="shared" si="41"/>
        <v>0</v>
      </c>
      <c r="L284" s="376">
        <f t="shared" si="42"/>
        <v>0</v>
      </c>
      <c r="M284" s="376">
        <f t="shared" si="43"/>
        <v>0</v>
      </c>
      <c r="N284" s="376">
        <f t="shared" si="44"/>
        <v>0</v>
      </c>
      <c r="O284" s="347">
        <f t="shared" si="51"/>
        <v>0</v>
      </c>
      <c r="P284" s="347">
        <f t="shared" si="52"/>
        <v>0</v>
      </c>
      <c r="Q284" s="347">
        <f t="shared" si="53"/>
        <v>0</v>
      </c>
      <c r="R284" s="376">
        <f t="shared" si="54"/>
        <v>0</v>
      </c>
      <c r="S284" s="376">
        <f t="shared" si="45"/>
        <v>0</v>
      </c>
      <c r="T284" s="376">
        <f t="shared" si="55"/>
        <v>0</v>
      </c>
      <c r="U284" s="376"/>
      <c r="V284" s="376">
        <f t="shared" si="56"/>
        <v>0</v>
      </c>
      <c r="W284" s="347">
        <f>IF(B284&gt;$C$77,0,$C$272+SUM($J$275:J284))</f>
        <v>0</v>
      </c>
      <c r="X284" s="378">
        <f t="shared" si="57"/>
        <v>0</v>
      </c>
    </row>
    <row r="285" spans="1:24" s="540" customFormat="1" x14ac:dyDescent="0.45">
      <c r="A285" s="550"/>
      <c r="B285" s="344">
        <v>10</v>
      </c>
      <c r="C285" s="1038">
        <f t="shared" si="46"/>
        <v>0</v>
      </c>
      <c r="D285" s="376">
        <f t="shared" si="47"/>
        <v>0</v>
      </c>
      <c r="E285" s="1038">
        <f t="shared" si="48"/>
        <v>0</v>
      </c>
      <c r="F285" s="376">
        <f t="shared" si="49"/>
        <v>0</v>
      </c>
      <c r="G285" s="345">
        <v>0</v>
      </c>
      <c r="H285" s="376">
        <f t="shared" si="40"/>
        <v>0</v>
      </c>
      <c r="I285" s="345">
        <v>2.564E-2</v>
      </c>
      <c r="J285" s="376">
        <f t="shared" si="50"/>
        <v>0</v>
      </c>
      <c r="K285" s="377">
        <f t="shared" si="41"/>
        <v>0</v>
      </c>
      <c r="L285" s="376">
        <f t="shared" si="42"/>
        <v>0</v>
      </c>
      <c r="M285" s="376">
        <f t="shared" si="43"/>
        <v>0</v>
      </c>
      <c r="N285" s="376">
        <f t="shared" si="44"/>
        <v>0</v>
      </c>
      <c r="O285" s="347">
        <f t="shared" si="51"/>
        <v>0</v>
      </c>
      <c r="P285" s="347">
        <f t="shared" si="52"/>
        <v>0</v>
      </c>
      <c r="Q285" s="347">
        <f t="shared" si="53"/>
        <v>0</v>
      </c>
      <c r="R285" s="376">
        <f t="shared" si="54"/>
        <v>0</v>
      </c>
      <c r="S285" s="376">
        <f t="shared" si="45"/>
        <v>0</v>
      </c>
      <c r="T285" s="376">
        <f t="shared" si="55"/>
        <v>0</v>
      </c>
      <c r="U285" s="376"/>
      <c r="V285" s="376">
        <f t="shared" si="56"/>
        <v>0</v>
      </c>
      <c r="W285" s="347">
        <f>IF(B285&gt;$C$77,0,$C$272+SUM($J$275:J285))</f>
        <v>0</v>
      </c>
      <c r="X285" s="378">
        <f t="shared" si="57"/>
        <v>0</v>
      </c>
    </row>
    <row r="286" spans="1:24" s="540" customFormat="1" x14ac:dyDescent="0.45">
      <c r="A286" s="550"/>
      <c r="B286" s="344">
        <v>11</v>
      </c>
      <c r="C286" s="1038">
        <f t="shared" si="46"/>
        <v>0</v>
      </c>
      <c r="D286" s="376">
        <f t="shared" si="47"/>
        <v>0</v>
      </c>
      <c r="E286" s="1038">
        <f t="shared" si="48"/>
        <v>0</v>
      </c>
      <c r="F286" s="376">
        <f t="shared" si="49"/>
        <v>0</v>
      </c>
      <c r="G286" s="345">
        <v>0</v>
      </c>
      <c r="H286" s="376">
        <f t="shared" si="40"/>
        <v>0</v>
      </c>
      <c r="I286" s="345">
        <v>2.564E-2</v>
      </c>
      <c r="J286" s="376">
        <f t="shared" si="50"/>
        <v>0</v>
      </c>
      <c r="K286" s="377">
        <f t="shared" si="41"/>
        <v>0</v>
      </c>
      <c r="L286" s="376">
        <f t="shared" si="42"/>
        <v>0</v>
      </c>
      <c r="M286" s="376">
        <f t="shared" si="43"/>
        <v>0</v>
      </c>
      <c r="N286" s="376">
        <f t="shared" si="44"/>
        <v>0</v>
      </c>
      <c r="O286" s="347">
        <f t="shared" si="51"/>
        <v>0</v>
      </c>
      <c r="P286" s="347">
        <f t="shared" si="52"/>
        <v>0</v>
      </c>
      <c r="Q286" s="347">
        <f t="shared" si="53"/>
        <v>0</v>
      </c>
      <c r="R286" s="376">
        <f t="shared" si="54"/>
        <v>0</v>
      </c>
      <c r="S286" s="376">
        <f t="shared" si="45"/>
        <v>0</v>
      </c>
      <c r="T286" s="376">
        <f t="shared" si="55"/>
        <v>0</v>
      </c>
      <c r="U286" s="376"/>
      <c r="V286" s="376">
        <f t="shared" si="56"/>
        <v>0</v>
      </c>
      <c r="W286" s="347">
        <f>IF(B286&gt;$C$77,0,$C$272+SUM($J$275:J286))</f>
        <v>0</v>
      </c>
      <c r="X286" s="378">
        <f t="shared" si="57"/>
        <v>0</v>
      </c>
    </row>
    <row r="287" spans="1:24" s="540" customFormat="1" x14ac:dyDescent="0.45">
      <c r="A287" s="550"/>
      <c r="B287" s="344">
        <v>12</v>
      </c>
      <c r="C287" s="1038">
        <f t="shared" si="46"/>
        <v>0</v>
      </c>
      <c r="D287" s="376">
        <f t="shared" si="47"/>
        <v>0</v>
      </c>
      <c r="E287" s="1038">
        <f t="shared" si="48"/>
        <v>0</v>
      </c>
      <c r="F287" s="376">
        <f t="shared" si="49"/>
        <v>0</v>
      </c>
      <c r="G287" s="345">
        <v>0</v>
      </c>
      <c r="H287" s="376">
        <f t="shared" si="40"/>
        <v>0</v>
      </c>
      <c r="I287" s="345">
        <v>2.564E-2</v>
      </c>
      <c r="J287" s="376">
        <f t="shared" si="50"/>
        <v>0</v>
      </c>
      <c r="K287" s="377">
        <f t="shared" si="41"/>
        <v>0</v>
      </c>
      <c r="L287" s="376">
        <f t="shared" si="42"/>
        <v>0</v>
      </c>
      <c r="M287" s="376">
        <f t="shared" si="43"/>
        <v>0</v>
      </c>
      <c r="N287" s="376">
        <f t="shared" si="44"/>
        <v>0</v>
      </c>
      <c r="O287" s="347">
        <f t="shared" si="51"/>
        <v>0</v>
      </c>
      <c r="P287" s="347">
        <f t="shared" si="52"/>
        <v>0</v>
      </c>
      <c r="Q287" s="347">
        <f t="shared" si="53"/>
        <v>0</v>
      </c>
      <c r="R287" s="376">
        <f t="shared" si="54"/>
        <v>0</v>
      </c>
      <c r="S287" s="376">
        <f t="shared" si="45"/>
        <v>0</v>
      </c>
      <c r="T287" s="376">
        <f t="shared" si="55"/>
        <v>0</v>
      </c>
      <c r="U287" s="376"/>
      <c r="V287" s="376">
        <f t="shared" si="56"/>
        <v>0</v>
      </c>
      <c r="W287" s="347">
        <f>IF(B287&gt;$C$77,0,$C$272+SUM($J$275:J287))</f>
        <v>0</v>
      </c>
      <c r="X287" s="378">
        <f t="shared" si="57"/>
        <v>0</v>
      </c>
    </row>
    <row r="288" spans="1:24" s="540" customFormat="1" x14ac:dyDescent="0.45">
      <c r="A288" s="550"/>
      <c r="B288" s="344">
        <v>13</v>
      </c>
      <c r="C288" s="1038">
        <f t="shared" si="46"/>
        <v>0</v>
      </c>
      <c r="D288" s="376">
        <f t="shared" si="47"/>
        <v>0</v>
      </c>
      <c r="E288" s="1038">
        <f t="shared" si="48"/>
        <v>0</v>
      </c>
      <c r="F288" s="376">
        <f t="shared" si="49"/>
        <v>0</v>
      </c>
      <c r="G288" s="345">
        <v>0</v>
      </c>
      <c r="H288" s="376">
        <f t="shared" si="40"/>
        <v>0</v>
      </c>
      <c r="I288" s="345">
        <v>2.564E-2</v>
      </c>
      <c r="J288" s="376">
        <f t="shared" si="50"/>
        <v>0</v>
      </c>
      <c r="K288" s="377">
        <f t="shared" si="41"/>
        <v>0</v>
      </c>
      <c r="L288" s="376">
        <f t="shared" si="42"/>
        <v>0</v>
      </c>
      <c r="M288" s="376">
        <f t="shared" si="43"/>
        <v>0</v>
      </c>
      <c r="N288" s="376">
        <f t="shared" si="44"/>
        <v>0</v>
      </c>
      <c r="O288" s="347">
        <f t="shared" si="51"/>
        <v>0</v>
      </c>
      <c r="P288" s="347">
        <f t="shared" si="52"/>
        <v>0</v>
      </c>
      <c r="Q288" s="347">
        <f t="shared" si="53"/>
        <v>0</v>
      </c>
      <c r="R288" s="376">
        <f t="shared" si="54"/>
        <v>0</v>
      </c>
      <c r="S288" s="376">
        <f t="shared" si="45"/>
        <v>0</v>
      </c>
      <c r="T288" s="376">
        <f t="shared" si="55"/>
        <v>0</v>
      </c>
      <c r="U288" s="376"/>
      <c r="V288" s="376">
        <f t="shared" si="56"/>
        <v>0</v>
      </c>
      <c r="W288" s="347">
        <f>IF(B288&gt;$C$77,0,$C$272+SUM($J$275:J288))</f>
        <v>0</v>
      </c>
      <c r="X288" s="378">
        <f t="shared" si="57"/>
        <v>0</v>
      </c>
    </row>
    <row r="289" spans="1:24" s="540" customFormat="1" x14ac:dyDescent="0.45">
      <c r="A289" s="550"/>
      <c r="B289" s="344">
        <v>14</v>
      </c>
      <c r="C289" s="1038">
        <f t="shared" si="46"/>
        <v>0</v>
      </c>
      <c r="D289" s="376">
        <f t="shared" si="47"/>
        <v>0</v>
      </c>
      <c r="E289" s="1038">
        <f t="shared" si="48"/>
        <v>0</v>
      </c>
      <c r="F289" s="376">
        <f t="shared" si="49"/>
        <v>0</v>
      </c>
      <c r="G289" s="345">
        <v>0</v>
      </c>
      <c r="H289" s="376">
        <f t="shared" si="40"/>
        <v>0</v>
      </c>
      <c r="I289" s="345">
        <v>2.564E-2</v>
      </c>
      <c r="J289" s="376">
        <f t="shared" si="50"/>
        <v>0</v>
      </c>
      <c r="K289" s="377">
        <f t="shared" si="41"/>
        <v>0</v>
      </c>
      <c r="L289" s="376">
        <f t="shared" si="42"/>
        <v>0</v>
      </c>
      <c r="M289" s="376">
        <f t="shared" si="43"/>
        <v>0</v>
      </c>
      <c r="N289" s="376">
        <f t="shared" si="44"/>
        <v>0</v>
      </c>
      <c r="O289" s="347">
        <f t="shared" si="51"/>
        <v>0</v>
      </c>
      <c r="P289" s="347">
        <f t="shared" si="52"/>
        <v>0</v>
      </c>
      <c r="Q289" s="347">
        <f t="shared" si="53"/>
        <v>0</v>
      </c>
      <c r="R289" s="376">
        <f t="shared" si="54"/>
        <v>0</v>
      </c>
      <c r="S289" s="376">
        <f t="shared" si="45"/>
        <v>0</v>
      </c>
      <c r="T289" s="376">
        <f t="shared" si="55"/>
        <v>0</v>
      </c>
      <c r="U289" s="376"/>
      <c r="V289" s="376">
        <f t="shared" si="56"/>
        <v>0</v>
      </c>
      <c r="W289" s="347">
        <f>IF(B289&gt;$C$77,0,$C$272+SUM($J$275:J289))</f>
        <v>0</v>
      </c>
      <c r="X289" s="378">
        <f t="shared" si="57"/>
        <v>0</v>
      </c>
    </row>
    <row r="290" spans="1:24" s="540" customFormat="1" x14ac:dyDescent="0.45">
      <c r="A290" s="550"/>
      <c r="B290" s="344">
        <v>15</v>
      </c>
      <c r="C290" s="1038">
        <f t="shared" si="46"/>
        <v>0</v>
      </c>
      <c r="D290" s="376">
        <f t="shared" si="47"/>
        <v>0</v>
      </c>
      <c r="E290" s="1038">
        <f t="shared" si="48"/>
        <v>0</v>
      </c>
      <c r="F290" s="376">
        <f t="shared" si="49"/>
        <v>0</v>
      </c>
      <c r="G290" s="345">
        <v>0</v>
      </c>
      <c r="H290" s="376">
        <f t="shared" si="40"/>
        <v>0</v>
      </c>
      <c r="I290" s="345">
        <v>2.564E-2</v>
      </c>
      <c r="J290" s="376">
        <f t="shared" si="50"/>
        <v>0</v>
      </c>
      <c r="K290" s="377">
        <f t="shared" si="41"/>
        <v>0</v>
      </c>
      <c r="L290" s="376">
        <f t="shared" si="42"/>
        <v>0</v>
      </c>
      <c r="M290" s="376">
        <f t="shared" si="43"/>
        <v>0</v>
      </c>
      <c r="N290" s="376">
        <f t="shared" si="44"/>
        <v>0</v>
      </c>
      <c r="O290" s="347">
        <f t="shared" si="51"/>
        <v>0</v>
      </c>
      <c r="P290" s="347">
        <f t="shared" si="52"/>
        <v>0</v>
      </c>
      <c r="Q290" s="347">
        <f t="shared" si="53"/>
        <v>0</v>
      </c>
      <c r="R290" s="376">
        <f t="shared" si="54"/>
        <v>0</v>
      </c>
      <c r="S290" s="376">
        <f t="shared" si="45"/>
        <v>0</v>
      </c>
      <c r="T290" s="376">
        <f t="shared" si="55"/>
        <v>0</v>
      </c>
      <c r="U290" s="376"/>
      <c r="V290" s="376">
        <f t="shared" si="56"/>
        <v>0</v>
      </c>
      <c r="W290" s="347">
        <f>IF(B290&gt;$C$77,0,$C$272+SUM($J$275:J290))</f>
        <v>0</v>
      </c>
      <c r="X290" s="378">
        <f t="shared" si="57"/>
        <v>0</v>
      </c>
    </row>
    <row r="291" spans="1:24" s="540" customFormat="1" x14ac:dyDescent="0.45">
      <c r="A291" s="550"/>
      <c r="B291" s="344">
        <v>16</v>
      </c>
      <c r="C291" s="1038">
        <f t="shared" si="46"/>
        <v>0</v>
      </c>
      <c r="D291" s="376">
        <f t="shared" si="47"/>
        <v>0</v>
      </c>
      <c r="E291" s="1038">
        <f t="shared" si="48"/>
        <v>0</v>
      </c>
      <c r="F291" s="376">
        <f t="shared" si="49"/>
        <v>0</v>
      </c>
      <c r="G291" s="345">
        <v>0</v>
      </c>
      <c r="H291" s="376">
        <f t="shared" si="40"/>
        <v>0</v>
      </c>
      <c r="I291" s="345">
        <v>2.564E-2</v>
      </c>
      <c r="J291" s="376">
        <f t="shared" si="50"/>
        <v>0</v>
      </c>
      <c r="K291" s="377">
        <f t="shared" si="41"/>
        <v>0</v>
      </c>
      <c r="L291" s="376">
        <f t="shared" si="42"/>
        <v>0</v>
      </c>
      <c r="M291" s="376">
        <f t="shared" si="43"/>
        <v>0</v>
      </c>
      <c r="N291" s="376">
        <f t="shared" si="44"/>
        <v>0</v>
      </c>
      <c r="O291" s="347">
        <f t="shared" si="51"/>
        <v>0</v>
      </c>
      <c r="P291" s="347">
        <f t="shared" si="52"/>
        <v>0</v>
      </c>
      <c r="Q291" s="347">
        <f t="shared" si="53"/>
        <v>0</v>
      </c>
      <c r="R291" s="376">
        <f t="shared" si="54"/>
        <v>0</v>
      </c>
      <c r="S291" s="376">
        <f t="shared" si="45"/>
        <v>0</v>
      </c>
      <c r="T291" s="376">
        <f t="shared" si="55"/>
        <v>0</v>
      </c>
      <c r="U291" s="376"/>
      <c r="V291" s="376">
        <f t="shared" si="56"/>
        <v>0</v>
      </c>
      <c r="W291" s="347">
        <f>IF(B291&gt;$C$77,0,$C$272+SUM($J$275:J291))</f>
        <v>0</v>
      </c>
      <c r="X291" s="378">
        <f t="shared" si="57"/>
        <v>0</v>
      </c>
    </row>
    <row r="292" spans="1:24" s="540" customFormat="1" x14ac:dyDescent="0.45">
      <c r="A292" s="550"/>
      <c r="B292" s="344">
        <v>17</v>
      </c>
      <c r="C292" s="1038">
        <f t="shared" si="46"/>
        <v>0</v>
      </c>
      <c r="D292" s="376">
        <f t="shared" si="47"/>
        <v>0</v>
      </c>
      <c r="E292" s="1038">
        <f t="shared" si="48"/>
        <v>0</v>
      </c>
      <c r="F292" s="376">
        <f t="shared" si="49"/>
        <v>0</v>
      </c>
      <c r="G292" s="345">
        <v>0</v>
      </c>
      <c r="H292" s="376">
        <f t="shared" si="40"/>
        <v>0</v>
      </c>
      <c r="I292" s="345">
        <v>2.564E-2</v>
      </c>
      <c r="J292" s="376">
        <f t="shared" si="50"/>
        <v>0</v>
      </c>
      <c r="K292" s="377">
        <f t="shared" si="41"/>
        <v>0</v>
      </c>
      <c r="L292" s="376">
        <f t="shared" si="42"/>
        <v>0</v>
      </c>
      <c r="M292" s="376">
        <f t="shared" si="43"/>
        <v>0</v>
      </c>
      <c r="N292" s="376">
        <f t="shared" si="44"/>
        <v>0</v>
      </c>
      <c r="O292" s="347">
        <f t="shared" si="51"/>
        <v>0</v>
      </c>
      <c r="P292" s="347">
        <f t="shared" si="52"/>
        <v>0</v>
      </c>
      <c r="Q292" s="347">
        <f t="shared" si="53"/>
        <v>0</v>
      </c>
      <c r="R292" s="376">
        <f t="shared" si="54"/>
        <v>0</v>
      </c>
      <c r="S292" s="376">
        <f t="shared" si="45"/>
        <v>0</v>
      </c>
      <c r="T292" s="376">
        <f t="shared" si="55"/>
        <v>0</v>
      </c>
      <c r="U292" s="376"/>
      <c r="V292" s="376">
        <f t="shared" si="56"/>
        <v>0</v>
      </c>
      <c r="W292" s="347">
        <f>IF(B292&gt;$C$77,0,$C$272+SUM($J$275:J292))</f>
        <v>0</v>
      </c>
      <c r="X292" s="378">
        <f t="shared" si="57"/>
        <v>0</v>
      </c>
    </row>
    <row r="293" spans="1:24" s="540" customFormat="1" x14ac:dyDescent="0.45">
      <c r="A293" s="550"/>
      <c r="B293" s="344">
        <v>18</v>
      </c>
      <c r="C293" s="1038">
        <f t="shared" si="46"/>
        <v>0</v>
      </c>
      <c r="D293" s="376">
        <f t="shared" si="47"/>
        <v>0</v>
      </c>
      <c r="E293" s="1038">
        <f t="shared" si="48"/>
        <v>0</v>
      </c>
      <c r="F293" s="376">
        <f t="shared" si="49"/>
        <v>0</v>
      </c>
      <c r="G293" s="345">
        <v>0</v>
      </c>
      <c r="H293" s="376">
        <f t="shared" si="40"/>
        <v>0</v>
      </c>
      <c r="I293" s="345">
        <v>2.564E-2</v>
      </c>
      <c r="J293" s="376">
        <f t="shared" si="50"/>
        <v>0</v>
      </c>
      <c r="K293" s="377">
        <f t="shared" si="41"/>
        <v>0</v>
      </c>
      <c r="L293" s="376">
        <f t="shared" si="42"/>
        <v>0</v>
      </c>
      <c r="M293" s="376">
        <f t="shared" si="43"/>
        <v>0</v>
      </c>
      <c r="N293" s="376">
        <f t="shared" si="44"/>
        <v>0</v>
      </c>
      <c r="O293" s="347">
        <f t="shared" si="51"/>
        <v>0</v>
      </c>
      <c r="P293" s="347">
        <f t="shared" si="52"/>
        <v>0</v>
      </c>
      <c r="Q293" s="347">
        <f t="shared" si="53"/>
        <v>0</v>
      </c>
      <c r="R293" s="376">
        <f t="shared" si="54"/>
        <v>0</v>
      </c>
      <c r="S293" s="376">
        <f t="shared" si="45"/>
        <v>0</v>
      </c>
      <c r="T293" s="376">
        <f t="shared" si="55"/>
        <v>0</v>
      </c>
      <c r="U293" s="376"/>
      <c r="V293" s="376">
        <f t="shared" si="56"/>
        <v>0</v>
      </c>
      <c r="W293" s="347">
        <f>IF(B293&gt;$C$77,0,$C$272+SUM($J$275:J293))</f>
        <v>0</v>
      </c>
      <c r="X293" s="378">
        <f t="shared" si="57"/>
        <v>0</v>
      </c>
    </row>
    <row r="294" spans="1:24" s="540" customFormat="1" x14ac:dyDescent="0.45">
      <c r="A294" s="550"/>
      <c r="B294" s="344">
        <v>19</v>
      </c>
      <c r="C294" s="1038">
        <f t="shared" si="46"/>
        <v>0</v>
      </c>
      <c r="D294" s="376">
        <f t="shared" si="47"/>
        <v>0</v>
      </c>
      <c r="E294" s="1038">
        <f t="shared" si="48"/>
        <v>0</v>
      </c>
      <c r="F294" s="376">
        <f t="shared" si="49"/>
        <v>0</v>
      </c>
      <c r="G294" s="345">
        <v>0</v>
      </c>
      <c r="H294" s="376">
        <f t="shared" si="40"/>
        <v>0</v>
      </c>
      <c r="I294" s="345">
        <v>2.564E-2</v>
      </c>
      <c r="J294" s="376">
        <f t="shared" si="50"/>
        <v>0</v>
      </c>
      <c r="K294" s="377">
        <f t="shared" si="41"/>
        <v>0</v>
      </c>
      <c r="L294" s="376">
        <f t="shared" si="42"/>
        <v>0</v>
      </c>
      <c r="M294" s="376">
        <f t="shared" si="43"/>
        <v>0</v>
      </c>
      <c r="N294" s="376">
        <f t="shared" si="44"/>
        <v>0</v>
      </c>
      <c r="O294" s="347">
        <f t="shared" si="51"/>
        <v>0</v>
      </c>
      <c r="P294" s="347">
        <f t="shared" si="52"/>
        <v>0</v>
      </c>
      <c r="Q294" s="347">
        <f t="shared" si="53"/>
        <v>0</v>
      </c>
      <c r="R294" s="376">
        <f t="shared" si="54"/>
        <v>0</v>
      </c>
      <c r="S294" s="376">
        <f t="shared" si="45"/>
        <v>0</v>
      </c>
      <c r="T294" s="376">
        <f t="shared" si="55"/>
        <v>0</v>
      </c>
      <c r="U294" s="376"/>
      <c r="V294" s="376">
        <f t="shared" si="56"/>
        <v>0</v>
      </c>
      <c r="W294" s="347">
        <f>IF(B294&gt;$C$77,0,$C$272+SUM($J$275:J294))</f>
        <v>0</v>
      </c>
      <c r="X294" s="378">
        <f t="shared" si="57"/>
        <v>0</v>
      </c>
    </row>
    <row r="295" spans="1:24" s="540" customFormat="1" x14ac:dyDescent="0.45">
      <c r="A295" s="550"/>
      <c r="B295" s="344">
        <v>20</v>
      </c>
      <c r="C295" s="1038">
        <f t="shared" si="46"/>
        <v>0</v>
      </c>
      <c r="D295" s="376">
        <f t="shared" si="47"/>
        <v>0</v>
      </c>
      <c r="E295" s="1038">
        <f t="shared" si="48"/>
        <v>0</v>
      </c>
      <c r="F295" s="376">
        <f t="shared" si="49"/>
        <v>0</v>
      </c>
      <c r="G295" s="345">
        <v>0</v>
      </c>
      <c r="H295" s="376">
        <f t="shared" si="40"/>
        <v>0</v>
      </c>
      <c r="I295" s="345">
        <v>2.564E-2</v>
      </c>
      <c r="J295" s="376">
        <f t="shared" si="50"/>
        <v>0</v>
      </c>
      <c r="K295" s="377">
        <f t="shared" si="41"/>
        <v>0</v>
      </c>
      <c r="L295" s="376">
        <f t="shared" si="42"/>
        <v>0</v>
      </c>
      <c r="M295" s="376">
        <f t="shared" si="43"/>
        <v>0</v>
      </c>
      <c r="N295" s="376">
        <f t="shared" si="44"/>
        <v>0</v>
      </c>
      <c r="O295" s="347">
        <f t="shared" si="51"/>
        <v>0</v>
      </c>
      <c r="P295" s="347">
        <f t="shared" si="52"/>
        <v>0</v>
      </c>
      <c r="Q295" s="347">
        <f t="shared" si="53"/>
        <v>0</v>
      </c>
      <c r="R295" s="376">
        <f t="shared" si="54"/>
        <v>0</v>
      </c>
      <c r="S295" s="376">
        <f t="shared" si="45"/>
        <v>0</v>
      </c>
      <c r="T295" s="376">
        <f t="shared" si="55"/>
        <v>0</v>
      </c>
      <c r="U295" s="376"/>
      <c r="V295" s="376">
        <f t="shared" si="56"/>
        <v>0</v>
      </c>
      <c r="W295" s="347">
        <f>IF(B295&gt;$C$77,0,$C$272+SUM($J$275:J295))</f>
        <v>0</v>
      </c>
      <c r="X295" s="378">
        <f t="shared" si="57"/>
        <v>0</v>
      </c>
    </row>
    <row r="296" spans="1:24" s="540" customFormat="1" x14ac:dyDescent="0.45">
      <c r="A296" s="550"/>
      <c r="B296" s="344"/>
      <c r="C296" s="1038"/>
      <c r="D296" s="349"/>
      <c r="E296" s="345"/>
      <c r="F296" s="349"/>
      <c r="G296" s="345"/>
      <c r="H296" s="349"/>
      <c r="I296" s="345"/>
      <c r="J296" s="349"/>
      <c r="K296" s="349"/>
      <c r="L296" s="349"/>
      <c r="M296" s="349"/>
      <c r="N296" s="345"/>
      <c r="O296" s="345"/>
      <c r="P296" s="345"/>
      <c r="Q296" s="345"/>
      <c r="R296" s="349"/>
      <c r="S296" s="349"/>
      <c r="T296" s="345"/>
      <c r="U296" s="345"/>
      <c r="V296" s="345"/>
      <c r="W296" s="348" t="s">
        <v>158</v>
      </c>
      <c r="X296" s="353">
        <f>NPV($C$201,X276:X295)+X275</f>
        <v>9.6857547760009766E-7</v>
      </c>
    </row>
    <row r="297" spans="1:24" s="540" customFormat="1" x14ac:dyDescent="0.45">
      <c r="A297" s="550"/>
      <c r="B297" s="344"/>
      <c r="C297" s="1038"/>
      <c r="D297" s="360"/>
      <c r="E297" s="345"/>
      <c r="F297" s="360"/>
      <c r="G297" s="345"/>
      <c r="H297" s="360"/>
      <c r="I297" s="345"/>
      <c r="J297" s="360"/>
      <c r="K297" s="360"/>
      <c r="L297" s="360"/>
      <c r="M297" s="360"/>
      <c r="N297" s="345"/>
      <c r="O297" s="345"/>
      <c r="P297" s="345"/>
      <c r="Q297" s="345"/>
      <c r="R297" s="360"/>
      <c r="S297" s="360"/>
      <c r="T297" s="345"/>
      <c r="U297" s="345"/>
      <c r="V297" s="345"/>
      <c r="W297" s="348" t="s">
        <v>134</v>
      </c>
      <c r="X297" s="837">
        <f>IRR(X275:X295,0.1)</f>
        <v>0.10000000000000298</v>
      </c>
    </row>
    <row r="298" spans="1:24" s="540" customFormat="1" x14ac:dyDescent="0.45">
      <c r="A298" s="550"/>
      <c r="B298" s="344"/>
      <c r="C298" s="1038"/>
      <c r="D298" s="828"/>
      <c r="E298" s="345"/>
      <c r="F298" s="345"/>
      <c r="G298" s="345"/>
      <c r="H298" s="345"/>
      <c r="I298" s="345"/>
      <c r="J298" s="348"/>
      <c r="K298" s="345"/>
      <c r="L298" s="345"/>
      <c r="M298" s="345"/>
      <c r="N298" s="345"/>
      <c r="O298" s="345"/>
      <c r="P298" s="345"/>
      <c r="Q298" s="345"/>
      <c r="R298" s="345"/>
      <c r="S298" s="345"/>
      <c r="T298" s="345"/>
      <c r="U298" s="345"/>
      <c r="V298" s="345"/>
      <c r="W298" s="345"/>
      <c r="X298" s="346"/>
    </row>
    <row r="299" spans="1:24" s="540" customFormat="1" x14ac:dyDescent="0.45">
      <c r="A299" s="550"/>
      <c r="B299" s="357" t="s">
        <v>32</v>
      </c>
      <c r="C299" s="1038"/>
      <c r="D299" s="358"/>
      <c r="E299" s="345"/>
      <c r="F299" s="348"/>
      <c r="G299" s="345"/>
      <c r="H299" s="345"/>
      <c r="I299" s="345"/>
      <c r="J299" s="345"/>
      <c r="K299" s="345"/>
      <c r="L299" s="345"/>
      <c r="M299" s="345"/>
      <c r="N299" s="345"/>
      <c r="O299" s="345"/>
      <c r="P299" s="345"/>
      <c r="Q299" s="345"/>
      <c r="R299" s="345"/>
      <c r="S299" s="345"/>
      <c r="T299" s="345"/>
      <c r="U299" s="345"/>
      <c r="V299" s="345"/>
      <c r="W299" s="345"/>
      <c r="X299" s="346"/>
    </row>
    <row r="300" spans="1:24" s="540" customFormat="1" x14ac:dyDescent="0.45">
      <c r="A300" s="550"/>
      <c r="B300" s="344" t="s">
        <v>274</v>
      </c>
      <c r="C300" s="832">
        <f>$D$85*$C$78</f>
        <v>33268158</v>
      </c>
      <c r="D300" s="345" t="s">
        <v>1</v>
      </c>
      <c r="E300" s="345"/>
      <c r="F300" s="345"/>
      <c r="G300" s="345"/>
      <c r="H300" s="345"/>
      <c r="I300" s="345"/>
      <c r="J300" s="345"/>
      <c r="K300" s="345"/>
      <c r="L300" s="345"/>
      <c r="M300" s="345"/>
      <c r="N300" s="345"/>
      <c r="O300" s="345"/>
      <c r="P300" s="345"/>
      <c r="Q300" s="345"/>
      <c r="R300" s="345"/>
      <c r="S300" s="345"/>
      <c r="T300" s="345"/>
      <c r="U300" s="345"/>
      <c r="V300" s="345"/>
      <c r="W300" s="345"/>
      <c r="X300" s="346"/>
    </row>
    <row r="301" spans="1:24" s="540" customFormat="1" x14ac:dyDescent="0.45">
      <c r="A301" s="550"/>
      <c r="B301" s="344" t="s">
        <v>275</v>
      </c>
      <c r="C301" s="832">
        <f>$E$85*$C$79</f>
        <v>9052560</v>
      </c>
      <c r="D301" s="345" t="s">
        <v>1</v>
      </c>
      <c r="E301" s="345"/>
      <c r="F301" s="345"/>
      <c r="G301" s="347"/>
      <c r="H301" s="345"/>
      <c r="I301" s="345"/>
      <c r="J301" s="345"/>
      <c r="K301" s="345"/>
      <c r="L301" s="345"/>
      <c r="M301" s="345"/>
      <c r="N301" s="345"/>
      <c r="O301" s="345"/>
      <c r="P301" s="345"/>
      <c r="Q301" s="345"/>
      <c r="R301" s="345"/>
      <c r="S301" s="345"/>
      <c r="T301" s="345"/>
      <c r="U301" s="345"/>
      <c r="V301" s="345"/>
      <c r="W301" s="345"/>
      <c r="X301" s="346"/>
    </row>
    <row r="302" spans="1:24" s="540" customFormat="1" x14ac:dyDescent="0.45">
      <c r="A302" s="550"/>
      <c r="B302" s="829"/>
      <c r="C302" s="1038"/>
      <c r="D302" s="358"/>
      <c r="E302" s="345"/>
      <c r="F302" s="348"/>
      <c r="G302" s="345"/>
      <c r="H302" s="345"/>
      <c r="I302" s="345"/>
      <c r="J302" s="345"/>
      <c r="K302" s="345"/>
      <c r="L302" s="345"/>
      <c r="M302" s="345"/>
      <c r="N302" s="345"/>
      <c r="O302" s="345"/>
      <c r="P302" s="345"/>
      <c r="Q302" s="345"/>
      <c r="R302" s="345"/>
      <c r="S302" s="345"/>
      <c r="T302" s="345"/>
      <c r="U302" s="345"/>
      <c r="V302" s="345"/>
      <c r="W302" s="345"/>
      <c r="X302" s="346"/>
    </row>
    <row r="303" spans="1:24" s="540" customFormat="1" x14ac:dyDescent="0.45">
      <c r="A303" s="550"/>
      <c r="B303" s="354" t="s">
        <v>27</v>
      </c>
      <c r="C303" s="1040" t="s">
        <v>379</v>
      </c>
      <c r="D303" s="355" t="s">
        <v>128</v>
      </c>
      <c r="E303" s="355" t="s">
        <v>380</v>
      </c>
      <c r="F303" s="355" t="s">
        <v>245</v>
      </c>
      <c r="G303" s="355" t="s">
        <v>367</v>
      </c>
      <c r="H303" s="355" t="s">
        <v>368</v>
      </c>
      <c r="I303" s="355" t="s">
        <v>369</v>
      </c>
      <c r="J303" s="355" t="s">
        <v>370</v>
      </c>
      <c r="K303" s="355" t="s">
        <v>131</v>
      </c>
      <c r="L303" s="355" t="s">
        <v>130</v>
      </c>
      <c r="M303" s="355" t="s">
        <v>129</v>
      </c>
      <c r="N303" s="355" t="s">
        <v>374</v>
      </c>
      <c r="O303" s="355" t="s">
        <v>124</v>
      </c>
      <c r="P303" s="355" t="s">
        <v>125</v>
      </c>
      <c r="Q303" s="355" t="s">
        <v>126</v>
      </c>
      <c r="R303" s="355" t="s">
        <v>155</v>
      </c>
      <c r="S303" s="355" t="s">
        <v>157</v>
      </c>
      <c r="T303" s="355" t="s">
        <v>156</v>
      </c>
      <c r="U303" s="345" t="s">
        <v>280</v>
      </c>
      <c r="V303" s="355" t="s">
        <v>375</v>
      </c>
      <c r="W303" s="355" t="s">
        <v>373</v>
      </c>
      <c r="X303" s="835" t="s">
        <v>164</v>
      </c>
    </row>
    <row r="304" spans="1:24" s="540" customFormat="1" x14ac:dyDescent="0.45">
      <c r="A304" s="550"/>
      <c r="B304" s="359">
        <v>0</v>
      </c>
      <c r="C304" s="1039">
        <v>0.26804689059811482</v>
      </c>
      <c r="D304" s="375">
        <v>0</v>
      </c>
      <c r="E304" s="833">
        <f>SUM(K32:K48)</f>
        <v>0.22219997251223075</v>
      </c>
      <c r="F304" s="375">
        <v>0</v>
      </c>
      <c r="G304" s="345">
        <v>0</v>
      </c>
      <c r="H304" s="376">
        <f t="shared" ref="H304:H324" si="58">IF(D304&gt;0,-1*G304*$C$300,0)</f>
        <v>0</v>
      </c>
      <c r="I304" s="376">
        <v>0</v>
      </c>
      <c r="J304" s="376">
        <v>0</v>
      </c>
      <c r="K304" s="379">
        <f t="shared" ref="K304:K324" si="59">D304+F304+H304+J304</f>
        <v>0</v>
      </c>
      <c r="L304" s="375">
        <f t="shared" ref="L304:L324" si="60">IF(F304&lt;&gt;0,-1*($C$203+$C$204)*D304,0)</f>
        <v>0</v>
      </c>
      <c r="M304" s="375">
        <f t="shared" ref="M304:M324" si="61">K304+L304</f>
        <v>0</v>
      </c>
      <c r="N304" s="376">
        <f t="shared" ref="N304:N324" si="62">IF(V304&gt;0,V304-W304,0)</f>
        <v>0</v>
      </c>
      <c r="O304" s="347">
        <v>0</v>
      </c>
      <c r="P304" s="347">
        <v>0</v>
      </c>
      <c r="Q304" s="347">
        <v>0</v>
      </c>
      <c r="R304" s="376">
        <f>IF(M304&gt;0,-1*(M304+N304)*$C$202,0)</f>
        <v>0</v>
      </c>
      <c r="S304" s="375">
        <f t="shared" ref="S304:S324" si="63">IF(B304=$C$78,0,$C$205/12*(D305+F305+L305))</f>
        <v>2230700.7901380025</v>
      </c>
      <c r="T304" s="375">
        <f>S304</f>
        <v>2230700.7901380025</v>
      </c>
      <c r="U304" s="375">
        <f>-1*(C300+C301)</f>
        <v>-42320718</v>
      </c>
      <c r="V304" s="376">
        <v>0</v>
      </c>
      <c r="W304" s="347">
        <f>IF(B304&gt;$C$78,0,$C$301+SUM($J$304:J304))</f>
        <v>9052560</v>
      </c>
      <c r="X304" s="836">
        <f>-T304+U304</f>
        <v>-44551418.790138006</v>
      </c>
    </row>
    <row r="305" spans="1:24" s="540" customFormat="1" x14ac:dyDescent="0.45">
      <c r="A305" s="550"/>
      <c r="B305" s="344">
        <v>1</v>
      </c>
      <c r="C305" s="1038">
        <f t="shared" ref="C305:C324" si="64">IF(B305&gt;$C$78,0,$C$304*(1+$C$199)^B305)</f>
        <v>0.27394392219127334</v>
      </c>
      <c r="D305" s="376">
        <f t="shared" ref="D305:D324" si="65">C305*$C$198*1000000</f>
        <v>135110743.18381661</v>
      </c>
      <c r="E305" s="1038">
        <f t="shared" ref="E305:E324" si="66">IF(B305&gt;$C$78,0,$E$304*(1+$C$200)^B305)</f>
        <v>0.22708837190749984</v>
      </c>
      <c r="F305" s="376">
        <f t="shared" ref="F305:F324" si="67">-1*E305*$C$198*1000000</f>
        <v>-112001311.98896386</v>
      </c>
      <c r="G305" s="345">
        <v>0.1429</v>
      </c>
      <c r="H305" s="376">
        <f t="shared" si="58"/>
        <v>-4754019.7781999996</v>
      </c>
      <c r="I305" s="345">
        <v>1.391E-2</v>
      </c>
      <c r="J305" s="376">
        <f t="shared" ref="J305:J324" si="68">IF(D305&gt;0,-1*$C$301*I305,0)</f>
        <v>-125921.10960000001</v>
      </c>
      <c r="K305" s="377">
        <f t="shared" si="59"/>
        <v>18229490.307052754</v>
      </c>
      <c r="L305" s="376">
        <f t="shared" si="60"/>
        <v>-14186628.034300745</v>
      </c>
      <c r="M305" s="376">
        <f t="shared" si="61"/>
        <v>4042862.2727520093</v>
      </c>
      <c r="N305" s="376">
        <f t="shared" si="62"/>
        <v>0</v>
      </c>
      <c r="O305" s="347">
        <f t="shared" ref="O305:O324" si="69">IF(M305&lt;0,M305*-1,0)</f>
        <v>0</v>
      </c>
      <c r="P305" s="347">
        <f t="shared" ref="P305:P324" si="70">P304+O305-Q305</f>
        <v>0</v>
      </c>
      <c r="Q305" s="347">
        <f t="shared" ref="Q305:Q324" si="71">IF(B305=$C$78+1,O305,IF(AND(M305&gt;0, P304&gt;0), MIN(M305,P304),0))</f>
        <v>0</v>
      </c>
      <c r="R305" s="376">
        <f t="shared" ref="R305:R324" si="72">IF(M305&gt;0,-1*(M305+N305-Q305)*$C$202,0)</f>
        <v>-1127958.5740978105</v>
      </c>
      <c r="S305" s="376">
        <f t="shared" si="63"/>
        <v>2279776.2075210386</v>
      </c>
      <c r="T305" s="376">
        <f t="shared" ref="T305:T324" si="73">(S305-S304)</f>
        <v>49075.417383036111</v>
      </c>
      <c r="U305" s="376"/>
      <c r="V305" s="376">
        <f t="shared" ref="V305:V324" si="74">IF(B305=$C$78,$C$301*(1-1/$C$79*B305),0)</f>
        <v>0</v>
      </c>
      <c r="W305" s="347">
        <f>IF(B305&gt;$C$78,0,$C$301+SUM($J$304:J305))</f>
        <v>8926638.8903999999</v>
      </c>
      <c r="X305" s="378">
        <f t="shared" ref="X305:X324" si="75">M305+R305-1*(H305+J305)-T305+U305+V305</f>
        <v>7745769.1690711621</v>
      </c>
    </row>
    <row r="306" spans="1:24" s="540" customFormat="1" x14ac:dyDescent="0.45">
      <c r="A306" s="550"/>
      <c r="B306" s="344">
        <v>2</v>
      </c>
      <c r="C306" s="1038">
        <f t="shared" si="64"/>
        <v>0.27997068847948137</v>
      </c>
      <c r="D306" s="376">
        <f t="shared" si="65"/>
        <v>138083179.53386056</v>
      </c>
      <c r="E306" s="1038">
        <f t="shared" si="66"/>
        <v>0.23208431608946481</v>
      </c>
      <c r="F306" s="376">
        <f t="shared" si="67"/>
        <v>-114465340.85272105</v>
      </c>
      <c r="G306" s="345">
        <v>0.24490000000000001</v>
      </c>
      <c r="H306" s="376">
        <f t="shared" si="58"/>
        <v>-8147371.8942</v>
      </c>
      <c r="I306" s="345">
        <v>2.564E-2</v>
      </c>
      <c r="J306" s="376">
        <f t="shared" si="68"/>
        <v>-232107.6384</v>
      </c>
      <c r="K306" s="377">
        <f t="shared" si="59"/>
        <v>15238359.148539513</v>
      </c>
      <c r="L306" s="376">
        <f t="shared" si="60"/>
        <v>-14498733.851055359</v>
      </c>
      <c r="M306" s="376">
        <f t="shared" si="61"/>
        <v>739625.29748415388</v>
      </c>
      <c r="N306" s="376">
        <f t="shared" si="62"/>
        <v>0</v>
      </c>
      <c r="O306" s="347">
        <f t="shared" si="69"/>
        <v>0</v>
      </c>
      <c r="P306" s="347">
        <f t="shared" si="70"/>
        <v>0</v>
      </c>
      <c r="Q306" s="347">
        <f t="shared" si="71"/>
        <v>0</v>
      </c>
      <c r="R306" s="376">
        <f t="shared" si="72"/>
        <v>-206355.4579980789</v>
      </c>
      <c r="S306" s="376">
        <f t="shared" si="63"/>
        <v>2329931.2840865054</v>
      </c>
      <c r="T306" s="376">
        <f t="shared" si="73"/>
        <v>50155.076565466821</v>
      </c>
      <c r="U306" s="376"/>
      <c r="V306" s="376">
        <f t="shared" si="74"/>
        <v>0</v>
      </c>
      <c r="W306" s="347">
        <f>IF(B306&gt;$C$78,0,$C$301+SUM($J$304:J306))</f>
        <v>8694531.2520000003</v>
      </c>
      <c r="X306" s="378">
        <f t="shared" si="75"/>
        <v>8862594.2955206074</v>
      </c>
    </row>
    <row r="307" spans="1:24" s="540" customFormat="1" x14ac:dyDescent="0.45">
      <c r="A307" s="550"/>
      <c r="B307" s="344">
        <v>3</v>
      </c>
      <c r="C307" s="1038">
        <f t="shared" si="64"/>
        <v>0.28613004362602995</v>
      </c>
      <c r="D307" s="376">
        <f t="shared" si="65"/>
        <v>141121009.48360553</v>
      </c>
      <c r="E307" s="1038">
        <f t="shared" si="66"/>
        <v>0.23719017104343307</v>
      </c>
      <c r="F307" s="376">
        <f t="shared" si="67"/>
        <v>-116983578.35148093</v>
      </c>
      <c r="G307" s="345">
        <v>0.1749</v>
      </c>
      <c r="H307" s="376">
        <f t="shared" si="58"/>
        <v>-5818600.8342000004</v>
      </c>
      <c r="I307" s="345">
        <v>2.564E-2</v>
      </c>
      <c r="J307" s="376">
        <f t="shared" si="68"/>
        <v>-232107.6384</v>
      </c>
      <c r="K307" s="377">
        <f t="shared" si="59"/>
        <v>18086722.659524601</v>
      </c>
      <c r="L307" s="376">
        <f t="shared" si="60"/>
        <v>-14817705.995778581</v>
      </c>
      <c r="M307" s="376">
        <f t="shared" si="61"/>
        <v>3269016.6637460198</v>
      </c>
      <c r="N307" s="376">
        <f t="shared" si="62"/>
        <v>0</v>
      </c>
      <c r="O307" s="347">
        <f t="shared" si="69"/>
        <v>0</v>
      </c>
      <c r="P307" s="347">
        <f t="shared" si="70"/>
        <v>0</v>
      </c>
      <c r="Q307" s="347">
        <f t="shared" si="71"/>
        <v>0</v>
      </c>
      <c r="R307" s="376">
        <f t="shared" si="72"/>
        <v>-912055.64918513945</v>
      </c>
      <c r="S307" s="376">
        <f t="shared" si="63"/>
        <v>2381189.7723364104</v>
      </c>
      <c r="T307" s="376">
        <f t="shared" si="73"/>
        <v>51258.488249904942</v>
      </c>
      <c r="U307" s="376"/>
      <c r="V307" s="376">
        <f t="shared" si="74"/>
        <v>0</v>
      </c>
      <c r="W307" s="347">
        <f>IF(B307&gt;$C$78,0,$C$301+SUM($J$304:J307))</f>
        <v>8462423.6136000007</v>
      </c>
      <c r="X307" s="378">
        <f t="shared" si="75"/>
        <v>8356410.9989109747</v>
      </c>
    </row>
    <row r="308" spans="1:24" s="540" customFormat="1" x14ac:dyDescent="0.45">
      <c r="A308" s="550"/>
      <c r="B308" s="344">
        <v>4</v>
      </c>
      <c r="C308" s="1038">
        <f t="shared" si="64"/>
        <v>0.29242490458580261</v>
      </c>
      <c r="D308" s="376">
        <f t="shared" si="65"/>
        <v>144225671.69224486</v>
      </c>
      <c r="E308" s="1038">
        <f t="shared" si="66"/>
        <v>0.24240835480638859</v>
      </c>
      <c r="F308" s="376">
        <f t="shared" si="67"/>
        <v>-119557217.07521351</v>
      </c>
      <c r="G308" s="345">
        <v>0.1249</v>
      </c>
      <c r="H308" s="376">
        <f t="shared" si="58"/>
        <v>-4155192.9342</v>
      </c>
      <c r="I308" s="345">
        <v>2.564E-2</v>
      </c>
      <c r="J308" s="376">
        <f t="shared" si="68"/>
        <v>-232107.6384</v>
      </c>
      <c r="K308" s="377">
        <f t="shared" si="59"/>
        <v>20281154.044431351</v>
      </c>
      <c r="L308" s="376">
        <f t="shared" si="60"/>
        <v>-15143695.527685709</v>
      </c>
      <c r="M308" s="376">
        <f t="shared" si="61"/>
        <v>5137458.5167456418</v>
      </c>
      <c r="N308" s="376">
        <f t="shared" si="62"/>
        <v>0</v>
      </c>
      <c r="O308" s="347">
        <f t="shared" si="69"/>
        <v>0</v>
      </c>
      <c r="P308" s="347">
        <f t="shared" si="70"/>
        <v>0</v>
      </c>
      <c r="Q308" s="347">
        <f t="shared" si="71"/>
        <v>0</v>
      </c>
      <c r="R308" s="376">
        <f t="shared" si="72"/>
        <v>-1433350.9261720339</v>
      </c>
      <c r="S308" s="376">
        <f t="shared" si="63"/>
        <v>2433575.9473278094</v>
      </c>
      <c r="T308" s="376">
        <f t="shared" si="73"/>
        <v>52386.17499139905</v>
      </c>
      <c r="U308" s="376"/>
      <c r="V308" s="376">
        <f t="shared" si="74"/>
        <v>0</v>
      </c>
      <c r="W308" s="347">
        <f>IF(B308&gt;$C$78,0,$C$301+SUM($J$304:J308))</f>
        <v>8230315.9752000002</v>
      </c>
      <c r="X308" s="378">
        <f t="shared" si="75"/>
        <v>8039021.9881822085</v>
      </c>
    </row>
    <row r="309" spans="1:24" s="540" customFormat="1" x14ac:dyDescent="0.45">
      <c r="A309" s="550"/>
      <c r="B309" s="344">
        <v>5</v>
      </c>
      <c r="C309" s="1038">
        <f t="shared" si="64"/>
        <v>0.29885825248669029</v>
      </c>
      <c r="D309" s="376">
        <f t="shared" si="65"/>
        <v>147398636.46947423</v>
      </c>
      <c r="E309" s="1038">
        <f t="shared" si="66"/>
        <v>0.24774133861212913</v>
      </c>
      <c r="F309" s="376">
        <f t="shared" si="67"/>
        <v>-122187475.8508682</v>
      </c>
      <c r="G309" s="345">
        <v>8.9300000000000004E-2</v>
      </c>
      <c r="H309" s="376">
        <f t="shared" si="58"/>
        <v>-2970846.5094000003</v>
      </c>
      <c r="I309" s="345">
        <v>2.564E-2</v>
      </c>
      <c r="J309" s="376">
        <f t="shared" si="68"/>
        <v>-232107.6384</v>
      </c>
      <c r="K309" s="377">
        <f t="shared" si="59"/>
        <v>22008206.470806032</v>
      </c>
      <c r="L309" s="376">
        <f t="shared" si="60"/>
        <v>-15476856.829294793</v>
      </c>
      <c r="M309" s="376">
        <f t="shared" si="61"/>
        <v>6531349.6415112391</v>
      </c>
      <c r="N309" s="376">
        <f t="shared" si="62"/>
        <v>0</v>
      </c>
      <c r="O309" s="347">
        <f t="shared" si="69"/>
        <v>0</v>
      </c>
      <c r="P309" s="347">
        <f t="shared" si="70"/>
        <v>0</v>
      </c>
      <c r="Q309" s="347">
        <f t="shared" si="71"/>
        <v>0</v>
      </c>
      <c r="R309" s="376">
        <f t="shared" si="72"/>
        <v>-1822246.5499816355</v>
      </c>
      <c r="S309" s="376">
        <f t="shared" si="63"/>
        <v>2487114.6181690209</v>
      </c>
      <c r="T309" s="376">
        <f t="shared" si="73"/>
        <v>53538.670841211453</v>
      </c>
      <c r="U309" s="376"/>
      <c r="V309" s="376">
        <f t="shared" si="74"/>
        <v>0</v>
      </c>
      <c r="W309" s="347">
        <f>IF(B309&gt;$C$78,0,$C$301+SUM($J$304:J309))</f>
        <v>7998208.3367999997</v>
      </c>
      <c r="X309" s="378">
        <f t="shared" si="75"/>
        <v>7858518.568488393</v>
      </c>
    </row>
    <row r="310" spans="1:24" s="540" customFormat="1" x14ac:dyDescent="0.45">
      <c r="A310" s="550"/>
      <c r="B310" s="344">
        <v>6</v>
      </c>
      <c r="C310" s="1038">
        <f t="shared" si="64"/>
        <v>0.30543313404139744</v>
      </c>
      <c r="D310" s="376">
        <f t="shared" si="65"/>
        <v>150641406.47180265</v>
      </c>
      <c r="E310" s="1038">
        <f t="shared" si="66"/>
        <v>0.25319164806159594</v>
      </c>
      <c r="F310" s="376">
        <f t="shared" si="67"/>
        <v>-124875600.31958729</v>
      </c>
      <c r="G310" s="345">
        <v>8.9200000000000002E-2</v>
      </c>
      <c r="H310" s="376">
        <f t="shared" si="58"/>
        <v>-2967519.6935999999</v>
      </c>
      <c r="I310" s="345">
        <v>2.564E-2</v>
      </c>
      <c r="J310" s="376">
        <f t="shared" si="68"/>
        <v>-232107.6384</v>
      </c>
      <c r="K310" s="377">
        <f t="shared" si="59"/>
        <v>22566178.820215363</v>
      </c>
      <c r="L310" s="376">
        <f t="shared" si="60"/>
        <v>-15817347.679539278</v>
      </c>
      <c r="M310" s="376">
        <f t="shared" si="61"/>
        <v>6748831.1406760849</v>
      </c>
      <c r="N310" s="376">
        <f t="shared" si="62"/>
        <v>0</v>
      </c>
      <c r="O310" s="347">
        <f t="shared" si="69"/>
        <v>0</v>
      </c>
      <c r="P310" s="347">
        <f t="shared" si="70"/>
        <v>0</v>
      </c>
      <c r="Q310" s="347">
        <f t="shared" si="71"/>
        <v>0</v>
      </c>
      <c r="R310" s="376">
        <f t="shared" si="72"/>
        <v>-1882923.8882486275</v>
      </c>
      <c r="S310" s="376">
        <f t="shared" si="63"/>
        <v>2541831.1397687341</v>
      </c>
      <c r="T310" s="376">
        <f t="shared" si="73"/>
        <v>54716.521599713247</v>
      </c>
      <c r="U310" s="376"/>
      <c r="V310" s="376">
        <f t="shared" si="74"/>
        <v>0</v>
      </c>
      <c r="W310" s="347">
        <f>IF(B310&gt;$C$78,0,$C$301+SUM($J$304:J310))</f>
        <v>7766100.6984000001</v>
      </c>
      <c r="X310" s="378">
        <f t="shared" si="75"/>
        <v>8010818.0628277436</v>
      </c>
    </row>
    <row r="311" spans="1:24" s="540" customFormat="1" x14ac:dyDescent="0.45">
      <c r="A311" s="550"/>
      <c r="B311" s="344">
        <v>7</v>
      </c>
      <c r="C311" s="1038">
        <f t="shared" si="64"/>
        <v>0.31215266299030819</v>
      </c>
      <c r="D311" s="376">
        <f t="shared" si="65"/>
        <v>153955517.41418231</v>
      </c>
      <c r="E311" s="1038">
        <f t="shared" si="66"/>
        <v>0.2587618643189511</v>
      </c>
      <c r="F311" s="376">
        <f t="shared" si="67"/>
        <v>-127622863.52661823</v>
      </c>
      <c r="G311" s="345">
        <v>8.9300000000000004E-2</v>
      </c>
      <c r="H311" s="376">
        <f t="shared" si="58"/>
        <v>-2970846.5094000003</v>
      </c>
      <c r="I311" s="345">
        <v>2.564E-2</v>
      </c>
      <c r="J311" s="376">
        <f t="shared" si="68"/>
        <v>-232107.6384</v>
      </c>
      <c r="K311" s="377">
        <f t="shared" si="59"/>
        <v>23129699.739764079</v>
      </c>
      <c r="L311" s="376">
        <f t="shared" si="60"/>
        <v>-16165329.328489142</v>
      </c>
      <c r="M311" s="376">
        <f t="shared" si="61"/>
        <v>6964370.4112749379</v>
      </c>
      <c r="N311" s="376">
        <f t="shared" si="62"/>
        <v>-1016149.8599999994</v>
      </c>
      <c r="O311" s="347">
        <f t="shared" si="69"/>
        <v>0</v>
      </c>
      <c r="P311" s="347">
        <f t="shared" si="70"/>
        <v>0</v>
      </c>
      <c r="Q311" s="347">
        <f t="shared" si="71"/>
        <v>0</v>
      </c>
      <c r="R311" s="376">
        <f t="shared" si="72"/>
        <v>-1659553.5338057077</v>
      </c>
      <c r="S311" s="376">
        <f t="shared" si="63"/>
        <v>0</v>
      </c>
      <c r="T311" s="376">
        <f t="shared" si="73"/>
        <v>-2541831.1397687341</v>
      </c>
      <c r="U311" s="376"/>
      <c r="V311" s="376">
        <f t="shared" si="74"/>
        <v>6517843.2000000002</v>
      </c>
      <c r="W311" s="347">
        <f>IF(B311&gt;$C$78,0,$C$301+SUM($J$304:J311))</f>
        <v>7533993.0599999996</v>
      </c>
      <c r="X311" s="378">
        <f t="shared" si="75"/>
        <v>17567445.365037967</v>
      </c>
    </row>
    <row r="312" spans="1:24" s="540" customFormat="1" x14ac:dyDescent="0.45">
      <c r="A312" s="550"/>
      <c r="B312" s="344">
        <v>8</v>
      </c>
      <c r="C312" s="1038">
        <f t="shared" si="64"/>
        <v>0</v>
      </c>
      <c r="D312" s="376">
        <f t="shared" si="65"/>
        <v>0</v>
      </c>
      <c r="E312" s="1038">
        <f t="shared" si="66"/>
        <v>0</v>
      </c>
      <c r="F312" s="376">
        <f t="shared" si="67"/>
        <v>0</v>
      </c>
      <c r="G312" s="345">
        <v>4.4600000000000001E-2</v>
      </c>
      <c r="H312" s="376">
        <f t="shared" si="58"/>
        <v>0</v>
      </c>
      <c r="I312" s="345">
        <v>2.564E-2</v>
      </c>
      <c r="J312" s="376">
        <f t="shared" si="68"/>
        <v>0</v>
      </c>
      <c r="K312" s="377">
        <f t="shared" si="59"/>
        <v>0</v>
      </c>
      <c r="L312" s="376">
        <f t="shared" si="60"/>
        <v>0</v>
      </c>
      <c r="M312" s="376">
        <f t="shared" si="61"/>
        <v>0</v>
      </c>
      <c r="N312" s="376">
        <f t="shared" si="62"/>
        <v>0</v>
      </c>
      <c r="O312" s="347">
        <f t="shared" si="69"/>
        <v>0</v>
      </c>
      <c r="P312" s="347">
        <f t="shared" si="70"/>
        <v>0</v>
      </c>
      <c r="Q312" s="347">
        <f t="shared" si="71"/>
        <v>0</v>
      </c>
      <c r="R312" s="376">
        <f t="shared" si="72"/>
        <v>0</v>
      </c>
      <c r="S312" s="376">
        <f t="shared" si="63"/>
        <v>0</v>
      </c>
      <c r="T312" s="376">
        <f t="shared" si="73"/>
        <v>0</v>
      </c>
      <c r="U312" s="376"/>
      <c r="V312" s="376">
        <f t="shared" si="74"/>
        <v>0</v>
      </c>
      <c r="W312" s="347">
        <f>IF(B312&gt;$C$78,0,$C$301+SUM($J$304:J312))</f>
        <v>0</v>
      </c>
      <c r="X312" s="378">
        <f t="shared" si="75"/>
        <v>0</v>
      </c>
    </row>
    <row r="313" spans="1:24" s="540" customFormat="1" x14ac:dyDescent="0.45">
      <c r="A313" s="550"/>
      <c r="B313" s="344">
        <v>9</v>
      </c>
      <c r="C313" s="1038">
        <f t="shared" si="64"/>
        <v>0</v>
      </c>
      <c r="D313" s="376">
        <f t="shared" si="65"/>
        <v>0</v>
      </c>
      <c r="E313" s="1038">
        <f t="shared" si="66"/>
        <v>0</v>
      </c>
      <c r="F313" s="376">
        <f t="shared" si="67"/>
        <v>0</v>
      </c>
      <c r="G313" s="345">
        <v>0</v>
      </c>
      <c r="H313" s="376">
        <f t="shared" si="58"/>
        <v>0</v>
      </c>
      <c r="I313" s="345">
        <v>2.564E-2</v>
      </c>
      <c r="J313" s="376">
        <f t="shared" si="68"/>
        <v>0</v>
      </c>
      <c r="K313" s="377">
        <f t="shared" si="59"/>
        <v>0</v>
      </c>
      <c r="L313" s="376">
        <f t="shared" si="60"/>
        <v>0</v>
      </c>
      <c r="M313" s="376">
        <f t="shared" si="61"/>
        <v>0</v>
      </c>
      <c r="N313" s="376">
        <f t="shared" si="62"/>
        <v>0</v>
      </c>
      <c r="O313" s="347">
        <f t="shared" si="69"/>
        <v>0</v>
      </c>
      <c r="P313" s="347">
        <f t="shared" si="70"/>
        <v>0</v>
      </c>
      <c r="Q313" s="347">
        <f t="shared" si="71"/>
        <v>0</v>
      </c>
      <c r="R313" s="376">
        <f t="shared" si="72"/>
        <v>0</v>
      </c>
      <c r="S313" s="376">
        <f t="shared" si="63"/>
        <v>0</v>
      </c>
      <c r="T313" s="376">
        <f t="shared" si="73"/>
        <v>0</v>
      </c>
      <c r="U313" s="376"/>
      <c r="V313" s="376">
        <f t="shared" si="74"/>
        <v>0</v>
      </c>
      <c r="W313" s="347">
        <f>IF(B313&gt;$C$78,0,$C$301+SUM($J$304:J313))</f>
        <v>0</v>
      </c>
      <c r="X313" s="378">
        <f t="shared" si="75"/>
        <v>0</v>
      </c>
    </row>
    <row r="314" spans="1:24" s="540" customFormat="1" x14ac:dyDescent="0.45">
      <c r="A314" s="550"/>
      <c r="B314" s="344">
        <v>10</v>
      </c>
      <c r="C314" s="1038">
        <f t="shared" si="64"/>
        <v>0</v>
      </c>
      <c r="D314" s="376">
        <f t="shared" si="65"/>
        <v>0</v>
      </c>
      <c r="E314" s="1038">
        <f t="shared" si="66"/>
        <v>0</v>
      </c>
      <c r="F314" s="376">
        <f t="shared" si="67"/>
        <v>0</v>
      </c>
      <c r="G314" s="345">
        <v>0</v>
      </c>
      <c r="H314" s="376">
        <f t="shared" si="58"/>
        <v>0</v>
      </c>
      <c r="I314" s="345">
        <v>2.564E-2</v>
      </c>
      <c r="J314" s="376">
        <f t="shared" si="68"/>
        <v>0</v>
      </c>
      <c r="K314" s="377">
        <f t="shared" si="59"/>
        <v>0</v>
      </c>
      <c r="L314" s="376">
        <f t="shared" si="60"/>
        <v>0</v>
      </c>
      <c r="M314" s="376">
        <f t="shared" si="61"/>
        <v>0</v>
      </c>
      <c r="N314" s="376">
        <f t="shared" si="62"/>
        <v>0</v>
      </c>
      <c r="O314" s="347">
        <f t="shared" si="69"/>
        <v>0</v>
      </c>
      <c r="P314" s="347">
        <f t="shared" si="70"/>
        <v>0</v>
      </c>
      <c r="Q314" s="347">
        <f t="shared" si="71"/>
        <v>0</v>
      </c>
      <c r="R314" s="376">
        <f t="shared" si="72"/>
        <v>0</v>
      </c>
      <c r="S314" s="376">
        <f t="shared" si="63"/>
        <v>0</v>
      </c>
      <c r="T314" s="376">
        <f t="shared" si="73"/>
        <v>0</v>
      </c>
      <c r="U314" s="376"/>
      <c r="V314" s="376">
        <f t="shared" si="74"/>
        <v>0</v>
      </c>
      <c r="W314" s="347">
        <f>IF(B314&gt;$C$78,0,$C$301+SUM($J$304:J314))</f>
        <v>0</v>
      </c>
      <c r="X314" s="378">
        <f t="shared" si="75"/>
        <v>0</v>
      </c>
    </row>
    <row r="315" spans="1:24" s="540" customFormat="1" x14ac:dyDescent="0.45">
      <c r="A315" s="550"/>
      <c r="B315" s="344">
        <v>11</v>
      </c>
      <c r="C315" s="1038">
        <f t="shared" si="64"/>
        <v>0</v>
      </c>
      <c r="D315" s="376">
        <f t="shared" si="65"/>
        <v>0</v>
      </c>
      <c r="E315" s="1038">
        <f t="shared" si="66"/>
        <v>0</v>
      </c>
      <c r="F315" s="376">
        <f t="shared" si="67"/>
        <v>0</v>
      </c>
      <c r="G315" s="345">
        <v>0</v>
      </c>
      <c r="H315" s="376">
        <f t="shared" si="58"/>
        <v>0</v>
      </c>
      <c r="I315" s="345">
        <v>2.564E-2</v>
      </c>
      <c r="J315" s="376">
        <f t="shared" si="68"/>
        <v>0</v>
      </c>
      <c r="K315" s="377">
        <f t="shared" si="59"/>
        <v>0</v>
      </c>
      <c r="L315" s="376">
        <f t="shared" si="60"/>
        <v>0</v>
      </c>
      <c r="M315" s="376">
        <f t="shared" si="61"/>
        <v>0</v>
      </c>
      <c r="N315" s="376">
        <f t="shared" si="62"/>
        <v>0</v>
      </c>
      <c r="O315" s="347">
        <f t="shared" si="69"/>
        <v>0</v>
      </c>
      <c r="P315" s="347">
        <f t="shared" si="70"/>
        <v>0</v>
      </c>
      <c r="Q315" s="347">
        <f t="shared" si="71"/>
        <v>0</v>
      </c>
      <c r="R315" s="376">
        <f t="shared" si="72"/>
        <v>0</v>
      </c>
      <c r="S315" s="376">
        <f t="shared" si="63"/>
        <v>0</v>
      </c>
      <c r="T315" s="376">
        <f t="shared" si="73"/>
        <v>0</v>
      </c>
      <c r="U315" s="376"/>
      <c r="V315" s="376">
        <f t="shared" si="74"/>
        <v>0</v>
      </c>
      <c r="W315" s="347">
        <f>IF(B315&gt;$C$78,0,$C$301+SUM($J$304:J315))</f>
        <v>0</v>
      </c>
      <c r="X315" s="378">
        <f t="shared" si="75"/>
        <v>0</v>
      </c>
    </row>
    <row r="316" spans="1:24" s="540" customFormat="1" x14ac:dyDescent="0.45">
      <c r="A316" s="550"/>
      <c r="B316" s="344">
        <v>12</v>
      </c>
      <c r="C316" s="1038">
        <f t="shared" si="64"/>
        <v>0</v>
      </c>
      <c r="D316" s="376">
        <f t="shared" si="65"/>
        <v>0</v>
      </c>
      <c r="E316" s="1038">
        <f t="shared" si="66"/>
        <v>0</v>
      </c>
      <c r="F316" s="376">
        <f t="shared" si="67"/>
        <v>0</v>
      </c>
      <c r="G316" s="345">
        <v>0</v>
      </c>
      <c r="H316" s="376">
        <f t="shared" si="58"/>
        <v>0</v>
      </c>
      <c r="I316" s="345">
        <v>2.564E-2</v>
      </c>
      <c r="J316" s="376">
        <f t="shared" si="68"/>
        <v>0</v>
      </c>
      <c r="K316" s="377">
        <f t="shared" si="59"/>
        <v>0</v>
      </c>
      <c r="L316" s="376">
        <f t="shared" si="60"/>
        <v>0</v>
      </c>
      <c r="M316" s="376">
        <f t="shared" si="61"/>
        <v>0</v>
      </c>
      <c r="N316" s="376">
        <f t="shared" si="62"/>
        <v>0</v>
      </c>
      <c r="O316" s="347">
        <f t="shared" si="69"/>
        <v>0</v>
      </c>
      <c r="P316" s="347">
        <f t="shared" si="70"/>
        <v>0</v>
      </c>
      <c r="Q316" s="347">
        <f t="shared" si="71"/>
        <v>0</v>
      </c>
      <c r="R316" s="376">
        <f t="shared" si="72"/>
        <v>0</v>
      </c>
      <c r="S316" s="376">
        <f t="shared" si="63"/>
        <v>0</v>
      </c>
      <c r="T316" s="376">
        <f t="shared" si="73"/>
        <v>0</v>
      </c>
      <c r="U316" s="376"/>
      <c r="V316" s="376">
        <f t="shared" si="74"/>
        <v>0</v>
      </c>
      <c r="W316" s="347">
        <f>IF(B316&gt;$C$78,0,$C$301+SUM($J$304:J316))</f>
        <v>0</v>
      </c>
      <c r="X316" s="378">
        <f t="shared" si="75"/>
        <v>0</v>
      </c>
    </row>
    <row r="317" spans="1:24" s="540" customFormat="1" x14ac:dyDescent="0.45">
      <c r="A317" s="550"/>
      <c r="B317" s="344">
        <v>13</v>
      </c>
      <c r="C317" s="1038">
        <f t="shared" si="64"/>
        <v>0</v>
      </c>
      <c r="D317" s="376">
        <f t="shared" si="65"/>
        <v>0</v>
      </c>
      <c r="E317" s="1038">
        <f t="shared" si="66"/>
        <v>0</v>
      </c>
      <c r="F317" s="376">
        <f t="shared" si="67"/>
        <v>0</v>
      </c>
      <c r="G317" s="345">
        <v>0</v>
      </c>
      <c r="H317" s="376">
        <f t="shared" si="58"/>
        <v>0</v>
      </c>
      <c r="I317" s="345">
        <v>2.564E-2</v>
      </c>
      <c r="J317" s="376">
        <f t="shared" si="68"/>
        <v>0</v>
      </c>
      <c r="K317" s="377">
        <f t="shared" si="59"/>
        <v>0</v>
      </c>
      <c r="L317" s="376">
        <f t="shared" si="60"/>
        <v>0</v>
      </c>
      <c r="M317" s="376">
        <f t="shared" si="61"/>
        <v>0</v>
      </c>
      <c r="N317" s="376">
        <f t="shared" si="62"/>
        <v>0</v>
      </c>
      <c r="O317" s="347">
        <f t="shared" si="69"/>
        <v>0</v>
      </c>
      <c r="P317" s="347">
        <f t="shared" si="70"/>
        <v>0</v>
      </c>
      <c r="Q317" s="347">
        <f t="shared" si="71"/>
        <v>0</v>
      </c>
      <c r="R317" s="376">
        <f t="shared" si="72"/>
        <v>0</v>
      </c>
      <c r="S317" s="376">
        <f t="shared" si="63"/>
        <v>0</v>
      </c>
      <c r="T317" s="376">
        <f t="shared" si="73"/>
        <v>0</v>
      </c>
      <c r="U317" s="376"/>
      <c r="V317" s="376">
        <f t="shared" si="74"/>
        <v>0</v>
      </c>
      <c r="W317" s="347">
        <f>IF(B317&gt;$C$78,0,$C$301+SUM($J$304:J317))</f>
        <v>0</v>
      </c>
      <c r="X317" s="378">
        <f t="shared" si="75"/>
        <v>0</v>
      </c>
    </row>
    <row r="318" spans="1:24" s="540" customFormat="1" x14ac:dyDescent="0.45">
      <c r="A318" s="550"/>
      <c r="B318" s="344">
        <v>14</v>
      </c>
      <c r="C318" s="1038">
        <f t="shared" si="64"/>
        <v>0</v>
      </c>
      <c r="D318" s="376">
        <f t="shared" si="65"/>
        <v>0</v>
      </c>
      <c r="E318" s="1038">
        <f t="shared" si="66"/>
        <v>0</v>
      </c>
      <c r="F318" s="376">
        <f t="shared" si="67"/>
        <v>0</v>
      </c>
      <c r="G318" s="345">
        <v>0</v>
      </c>
      <c r="H318" s="376">
        <f t="shared" si="58"/>
        <v>0</v>
      </c>
      <c r="I318" s="345">
        <v>2.564E-2</v>
      </c>
      <c r="J318" s="376">
        <f t="shared" si="68"/>
        <v>0</v>
      </c>
      <c r="K318" s="377">
        <f t="shared" si="59"/>
        <v>0</v>
      </c>
      <c r="L318" s="376">
        <f t="shared" si="60"/>
        <v>0</v>
      </c>
      <c r="M318" s="376">
        <f t="shared" si="61"/>
        <v>0</v>
      </c>
      <c r="N318" s="376">
        <f t="shared" si="62"/>
        <v>0</v>
      </c>
      <c r="O318" s="347">
        <f t="shared" si="69"/>
        <v>0</v>
      </c>
      <c r="P318" s="347">
        <f t="shared" si="70"/>
        <v>0</v>
      </c>
      <c r="Q318" s="347">
        <f t="shared" si="71"/>
        <v>0</v>
      </c>
      <c r="R318" s="376">
        <f t="shared" si="72"/>
        <v>0</v>
      </c>
      <c r="S318" s="376">
        <f t="shared" si="63"/>
        <v>0</v>
      </c>
      <c r="T318" s="376">
        <f t="shared" si="73"/>
        <v>0</v>
      </c>
      <c r="U318" s="376"/>
      <c r="V318" s="376">
        <f t="shared" si="74"/>
        <v>0</v>
      </c>
      <c r="W318" s="347">
        <f>IF(B318&gt;$C$78,0,$C$301+SUM($J$304:J318))</f>
        <v>0</v>
      </c>
      <c r="X318" s="378">
        <f t="shared" si="75"/>
        <v>0</v>
      </c>
    </row>
    <row r="319" spans="1:24" s="540" customFormat="1" x14ac:dyDescent="0.45">
      <c r="A319" s="550"/>
      <c r="B319" s="344">
        <v>15</v>
      </c>
      <c r="C319" s="1038">
        <f t="shared" si="64"/>
        <v>0</v>
      </c>
      <c r="D319" s="376">
        <f t="shared" si="65"/>
        <v>0</v>
      </c>
      <c r="E319" s="1038">
        <f t="shared" si="66"/>
        <v>0</v>
      </c>
      <c r="F319" s="376">
        <f t="shared" si="67"/>
        <v>0</v>
      </c>
      <c r="G319" s="345">
        <v>0</v>
      </c>
      <c r="H319" s="376">
        <f t="shared" si="58"/>
        <v>0</v>
      </c>
      <c r="I319" s="345">
        <v>2.564E-2</v>
      </c>
      <c r="J319" s="376">
        <f t="shared" si="68"/>
        <v>0</v>
      </c>
      <c r="K319" s="377">
        <f t="shared" si="59"/>
        <v>0</v>
      </c>
      <c r="L319" s="376">
        <f t="shared" si="60"/>
        <v>0</v>
      </c>
      <c r="M319" s="376">
        <f t="shared" si="61"/>
        <v>0</v>
      </c>
      <c r="N319" s="376">
        <f t="shared" si="62"/>
        <v>0</v>
      </c>
      <c r="O319" s="347">
        <f t="shared" si="69"/>
        <v>0</v>
      </c>
      <c r="P319" s="347">
        <f t="shared" si="70"/>
        <v>0</v>
      </c>
      <c r="Q319" s="347">
        <f t="shared" si="71"/>
        <v>0</v>
      </c>
      <c r="R319" s="376">
        <f t="shared" si="72"/>
        <v>0</v>
      </c>
      <c r="S319" s="376">
        <f t="shared" si="63"/>
        <v>0</v>
      </c>
      <c r="T319" s="376">
        <f t="shared" si="73"/>
        <v>0</v>
      </c>
      <c r="U319" s="376"/>
      <c r="V319" s="376">
        <f t="shared" si="74"/>
        <v>0</v>
      </c>
      <c r="W319" s="347">
        <f>IF(B319&gt;$C$78,0,$C$301+SUM($J$304:J319))</f>
        <v>0</v>
      </c>
      <c r="X319" s="378">
        <f t="shared" si="75"/>
        <v>0</v>
      </c>
    </row>
    <row r="320" spans="1:24" s="540" customFormat="1" x14ac:dyDescent="0.45">
      <c r="A320" s="550"/>
      <c r="B320" s="344">
        <v>16</v>
      </c>
      <c r="C320" s="1038">
        <f t="shared" si="64"/>
        <v>0</v>
      </c>
      <c r="D320" s="376">
        <f t="shared" si="65"/>
        <v>0</v>
      </c>
      <c r="E320" s="1038">
        <f t="shared" si="66"/>
        <v>0</v>
      </c>
      <c r="F320" s="376">
        <f t="shared" si="67"/>
        <v>0</v>
      </c>
      <c r="G320" s="345">
        <v>0</v>
      </c>
      <c r="H320" s="376">
        <f t="shared" si="58"/>
        <v>0</v>
      </c>
      <c r="I320" s="345">
        <v>2.564E-2</v>
      </c>
      <c r="J320" s="376">
        <f t="shared" si="68"/>
        <v>0</v>
      </c>
      <c r="K320" s="377">
        <f t="shared" si="59"/>
        <v>0</v>
      </c>
      <c r="L320" s="376">
        <f t="shared" si="60"/>
        <v>0</v>
      </c>
      <c r="M320" s="376">
        <f t="shared" si="61"/>
        <v>0</v>
      </c>
      <c r="N320" s="376">
        <f t="shared" si="62"/>
        <v>0</v>
      </c>
      <c r="O320" s="347">
        <f t="shared" si="69"/>
        <v>0</v>
      </c>
      <c r="P320" s="347">
        <f t="shared" si="70"/>
        <v>0</v>
      </c>
      <c r="Q320" s="347">
        <f t="shared" si="71"/>
        <v>0</v>
      </c>
      <c r="R320" s="376">
        <f t="shared" si="72"/>
        <v>0</v>
      </c>
      <c r="S320" s="376">
        <f t="shared" si="63"/>
        <v>0</v>
      </c>
      <c r="T320" s="376">
        <f t="shared" si="73"/>
        <v>0</v>
      </c>
      <c r="U320" s="376"/>
      <c r="V320" s="376">
        <f t="shared" si="74"/>
        <v>0</v>
      </c>
      <c r="W320" s="347">
        <f>IF(B320&gt;$C$78,0,$C$301+SUM($J$304:J320))</f>
        <v>0</v>
      </c>
      <c r="X320" s="378">
        <f t="shared" si="75"/>
        <v>0</v>
      </c>
    </row>
    <row r="321" spans="1:24" s="540" customFormat="1" x14ac:dyDescent="0.45">
      <c r="A321" s="550"/>
      <c r="B321" s="344">
        <v>17</v>
      </c>
      <c r="C321" s="1038">
        <f t="shared" si="64"/>
        <v>0</v>
      </c>
      <c r="D321" s="376">
        <f t="shared" si="65"/>
        <v>0</v>
      </c>
      <c r="E321" s="1038">
        <f t="shared" si="66"/>
        <v>0</v>
      </c>
      <c r="F321" s="376">
        <f t="shared" si="67"/>
        <v>0</v>
      </c>
      <c r="G321" s="345">
        <v>0</v>
      </c>
      <c r="H321" s="376">
        <f t="shared" si="58"/>
        <v>0</v>
      </c>
      <c r="I321" s="345">
        <v>2.564E-2</v>
      </c>
      <c r="J321" s="376">
        <f t="shared" si="68"/>
        <v>0</v>
      </c>
      <c r="K321" s="377">
        <f t="shared" si="59"/>
        <v>0</v>
      </c>
      <c r="L321" s="376">
        <f t="shared" si="60"/>
        <v>0</v>
      </c>
      <c r="M321" s="376">
        <f t="shared" si="61"/>
        <v>0</v>
      </c>
      <c r="N321" s="376">
        <f t="shared" si="62"/>
        <v>0</v>
      </c>
      <c r="O321" s="347">
        <f t="shared" si="69"/>
        <v>0</v>
      </c>
      <c r="P321" s="347">
        <f t="shared" si="70"/>
        <v>0</v>
      </c>
      <c r="Q321" s="347">
        <f t="shared" si="71"/>
        <v>0</v>
      </c>
      <c r="R321" s="376">
        <f t="shared" si="72"/>
        <v>0</v>
      </c>
      <c r="S321" s="376">
        <f t="shared" si="63"/>
        <v>0</v>
      </c>
      <c r="T321" s="376">
        <f t="shared" si="73"/>
        <v>0</v>
      </c>
      <c r="U321" s="376"/>
      <c r="V321" s="376">
        <f t="shared" si="74"/>
        <v>0</v>
      </c>
      <c r="W321" s="347">
        <f>IF(B321&gt;$C$78,0,$C$301+SUM($J$304:J321))</f>
        <v>0</v>
      </c>
      <c r="X321" s="378">
        <f t="shared" si="75"/>
        <v>0</v>
      </c>
    </row>
    <row r="322" spans="1:24" s="540" customFormat="1" x14ac:dyDescent="0.45">
      <c r="A322" s="550"/>
      <c r="B322" s="344">
        <v>18</v>
      </c>
      <c r="C322" s="1038">
        <f t="shared" si="64"/>
        <v>0</v>
      </c>
      <c r="D322" s="376">
        <f t="shared" si="65"/>
        <v>0</v>
      </c>
      <c r="E322" s="1038">
        <f t="shared" si="66"/>
        <v>0</v>
      </c>
      <c r="F322" s="376">
        <f t="shared" si="67"/>
        <v>0</v>
      </c>
      <c r="G322" s="345">
        <v>0</v>
      </c>
      <c r="H322" s="376">
        <f t="shared" si="58"/>
        <v>0</v>
      </c>
      <c r="I322" s="345">
        <v>2.564E-2</v>
      </c>
      <c r="J322" s="376">
        <f t="shared" si="68"/>
        <v>0</v>
      </c>
      <c r="K322" s="377">
        <f t="shared" si="59"/>
        <v>0</v>
      </c>
      <c r="L322" s="376">
        <f t="shared" si="60"/>
        <v>0</v>
      </c>
      <c r="M322" s="376">
        <f t="shared" si="61"/>
        <v>0</v>
      </c>
      <c r="N322" s="376">
        <f t="shared" si="62"/>
        <v>0</v>
      </c>
      <c r="O322" s="347">
        <f t="shared" si="69"/>
        <v>0</v>
      </c>
      <c r="P322" s="347">
        <f t="shared" si="70"/>
        <v>0</v>
      </c>
      <c r="Q322" s="347">
        <f t="shared" si="71"/>
        <v>0</v>
      </c>
      <c r="R322" s="376">
        <f t="shared" si="72"/>
        <v>0</v>
      </c>
      <c r="S322" s="376">
        <f t="shared" si="63"/>
        <v>0</v>
      </c>
      <c r="T322" s="376">
        <f t="shared" si="73"/>
        <v>0</v>
      </c>
      <c r="U322" s="376"/>
      <c r="V322" s="376">
        <f t="shared" si="74"/>
        <v>0</v>
      </c>
      <c r="W322" s="347">
        <f>IF(B322&gt;$C$78,0,$C$301+SUM($J$304:J322))</f>
        <v>0</v>
      </c>
      <c r="X322" s="378">
        <f t="shared" si="75"/>
        <v>0</v>
      </c>
    </row>
    <row r="323" spans="1:24" s="540" customFormat="1" x14ac:dyDescent="0.45">
      <c r="A323" s="550"/>
      <c r="B323" s="344">
        <v>19</v>
      </c>
      <c r="C323" s="1038">
        <f t="shared" si="64"/>
        <v>0</v>
      </c>
      <c r="D323" s="376">
        <f t="shared" si="65"/>
        <v>0</v>
      </c>
      <c r="E323" s="1038">
        <f t="shared" si="66"/>
        <v>0</v>
      </c>
      <c r="F323" s="376">
        <f t="shared" si="67"/>
        <v>0</v>
      </c>
      <c r="G323" s="345">
        <v>0</v>
      </c>
      <c r="H323" s="376">
        <f t="shared" si="58"/>
        <v>0</v>
      </c>
      <c r="I323" s="345">
        <v>2.564E-2</v>
      </c>
      <c r="J323" s="376">
        <f t="shared" si="68"/>
        <v>0</v>
      </c>
      <c r="K323" s="377">
        <f t="shared" si="59"/>
        <v>0</v>
      </c>
      <c r="L323" s="376">
        <f t="shared" si="60"/>
        <v>0</v>
      </c>
      <c r="M323" s="376">
        <f t="shared" si="61"/>
        <v>0</v>
      </c>
      <c r="N323" s="376">
        <f t="shared" si="62"/>
        <v>0</v>
      </c>
      <c r="O323" s="347">
        <f t="shared" si="69"/>
        <v>0</v>
      </c>
      <c r="P323" s="347">
        <f t="shared" si="70"/>
        <v>0</v>
      </c>
      <c r="Q323" s="347">
        <f t="shared" si="71"/>
        <v>0</v>
      </c>
      <c r="R323" s="376">
        <f t="shared" si="72"/>
        <v>0</v>
      </c>
      <c r="S323" s="376">
        <f t="shared" si="63"/>
        <v>0</v>
      </c>
      <c r="T323" s="376">
        <f t="shared" si="73"/>
        <v>0</v>
      </c>
      <c r="U323" s="376"/>
      <c r="V323" s="376">
        <f t="shared" si="74"/>
        <v>0</v>
      </c>
      <c r="W323" s="347">
        <f>IF(B323&gt;$C$78,0,$C$301+SUM($J$304:J323))</f>
        <v>0</v>
      </c>
      <c r="X323" s="378">
        <f t="shared" si="75"/>
        <v>0</v>
      </c>
    </row>
    <row r="324" spans="1:24" s="540" customFormat="1" x14ac:dyDescent="0.45">
      <c r="A324" s="550"/>
      <c r="B324" s="344">
        <v>20</v>
      </c>
      <c r="C324" s="1038">
        <f t="shared" si="64"/>
        <v>0</v>
      </c>
      <c r="D324" s="376">
        <f t="shared" si="65"/>
        <v>0</v>
      </c>
      <c r="E324" s="1038">
        <f t="shared" si="66"/>
        <v>0</v>
      </c>
      <c r="F324" s="376">
        <f t="shared" si="67"/>
        <v>0</v>
      </c>
      <c r="G324" s="345">
        <v>0</v>
      </c>
      <c r="H324" s="376">
        <f t="shared" si="58"/>
        <v>0</v>
      </c>
      <c r="I324" s="345">
        <v>2.564E-2</v>
      </c>
      <c r="J324" s="376">
        <f t="shared" si="68"/>
        <v>0</v>
      </c>
      <c r="K324" s="377">
        <f t="shared" si="59"/>
        <v>0</v>
      </c>
      <c r="L324" s="376">
        <f t="shared" si="60"/>
        <v>0</v>
      </c>
      <c r="M324" s="376">
        <f t="shared" si="61"/>
        <v>0</v>
      </c>
      <c r="N324" s="376">
        <f t="shared" si="62"/>
        <v>0</v>
      </c>
      <c r="O324" s="347">
        <f t="shared" si="69"/>
        <v>0</v>
      </c>
      <c r="P324" s="347">
        <f t="shared" si="70"/>
        <v>0</v>
      </c>
      <c r="Q324" s="347">
        <f t="shared" si="71"/>
        <v>0</v>
      </c>
      <c r="R324" s="376">
        <f t="shared" si="72"/>
        <v>0</v>
      </c>
      <c r="S324" s="376">
        <f t="shared" si="63"/>
        <v>0</v>
      </c>
      <c r="T324" s="376">
        <f t="shared" si="73"/>
        <v>0</v>
      </c>
      <c r="U324" s="376"/>
      <c r="V324" s="376">
        <f t="shared" si="74"/>
        <v>0</v>
      </c>
      <c r="W324" s="347">
        <f>IF(B324&gt;$C$78,0,$C$301+SUM($J$304:J324))</f>
        <v>0</v>
      </c>
      <c r="X324" s="378">
        <f t="shared" si="75"/>
        <v>0</v>
      </c>
    </row>
    <row r="325" spans="1:24" s="540" customFormat="1" x14ac:dyDescent="0.45">
      <c r="A325" s="550"/>
      <c r="B325" s="344"/>
      <c r="C325" s="345"/>
      <c r="D325" s="349"/>
      <c r="E325" s="345"/>
      <c r="F325" s="349"/>
      <c r="G325" s="345"/>
      <c r="H325" s="349"/>
      <c r="I325" s="345"/>
      <c r="J325" s="349"/>
      <c r="K325" s="349"/>
      <c r="L325" s="349"/>
      <c r="M325" s="349"/>
      <c r="N325" s="345"/>
      <c r="O325" s="345"/>
      <c r="P325" s="345"/>
      <c r="Q325" s="345"/>
      <c r="R325" s="349"/>
      <c r="S325" s="349"/>
      <c r="T325" s="345"/>
      <c r="U325" s="345"/>
      <c r="V325" s="345"/>
      <c r="W325" s="348" t="s">
        <v>158</v>
      </c>
      <c r="X325" s="353">
        <f>NPV($C$201,X305:X324)+X304</f>
        <v>0</v>
      </c>
    </row>
    <row r="326" spans="1:24" s="540" customFormat="1" x14ac:dyDescent="0.45">
      <c r="A326" s="550"/>
      <c r="B326" s="354"/>
      <c r="C326" s="355"/>
      <c r="D326" s="834"/>
      <c r="E326" s="355"/>
      <c r="F326" s="834"/>
      <c r="G326" s="355"/>
      <c r="H326" s="834"/>
      <c r="I326" s="355"/>
      <c r="J326" s="834"/>
      <c r="K326" s="834"/>
      <c r="L326" s="834"/>
      <c r="M326" s="834"/>
      <c r="N326" s="355"/>
      <c r="O326" s="355"/>
      <c r="P326" s="355"/>
      <c r="Q326" s="355"/>
      <c r="R326" s="834"/>
      <c r="S326" s="834"/>
      <c r="T326" s="355"/>
      <c r="U326" s="355"/>
      <c r="V326" s="355"/>
      <c r="W326" s="356" t="s">
        <v>134</v>
      </c>
      <c r="X326" s="838">
        <f>IRR(X304:X324,0.1)</f>
        <v>0.10000000000000009</v>
      </c>
    </row>
    <row r="327" spans="1:24" s="540" customFormat="1" x14ac:dyDescent="0.45">
      <c r="A327" s="550"/>
      <c r="B327" s="631"/>
      <c r="C327" s="631"/>
      <c r="D327" s="631"/>
      <c r="E327" s="631"/>
      <c r="F327" s="631"/>
      <c r="G327" s="631"/>
      <c r="H327" s="631"/>
      <c r="I327" s="631"/>
      <c r="J327" s="631"/>
      <c r="K327" s="631"/>
      <c r="L327" s="631"/>
      <c r="M327" s="631"/>
      <c r="N327" s="631"/>
      <c r="O327" s="631"/>
      <c r="P327" s="631"/>
      <c r="Q327" s="631"/>
      <c r="R327" s="631"/>
    </row>
    <row r="328" spans="1:24" x14ac:dyDescent="0.45">
      <c r="B328" s="605" t="s">
        <v>243</v>
      </c>
      <c r="C328" s="522"/>
      <c r="D328" s="522"/>
      <c r="E328" s="522"/>
      <c r="F328" s="522"/>
      <c r="G328" s="522"/>
      <c r="H328" s="522"/>
      <c r="I328" s="606"/>
      <c r="J328" s="473"/>
      <c r="K328" s="473"/>
      <c r="L328" s="473"/>
      <c r="M328" s="473"/>
      <c r="N328" s="473"/>
      <c r="O328" s="473"/>
      <c r="P328" s="473"/>
      <c r="Q328" s="473"/>
      <c r="R328" s="473"/>
    </row>
    <row r="329" spans="1:24" x14ac:dyDescent="0.45">
      <c r="B329" s="810" t="s">
        <v>385</v>
      </c>
      <c r="C329" s="214"/>
      <c r="D329" s="214"/>
      <c r="E329" s="214"/>
      <c r="F329" s="214"/>
      <c r="G329" s="214"/>
      <c r="H329" s="214"/>
      <c r="I329" s="368"/>
      <c r="J329" s="473"/>
      <c r="K329" s="473"/>
      <c r="L329" s="473"/>
      <c r="M329" s="473"/>
      <c r="N329" s="473"/>
      <c r="O329" s="473"/>
      <c r="P329" s="473"/>
      <c r="Q329" s="473"/>
      <c r="R329" s="473"/>
    </row>
    <row r="330" spans="1:24" x14ac:dyDescent="0.45">
      <c r="B330" s="580" t="s">
        <v>364</v>
      </c>
      <c r="C330" s="527">
        <f>4.6%*1</f>
        <v>4.5999999999999999E-2</v>
      </c>
      <c r="D330" s="734" t="s">
        <v>0</v>
      </c>
      <c r="E330" s="734"/>
      <c r="F330" s="734"/>
      <c r="G330" s="734"/>
      <c r="H330" s="734"/>
      <c r="I330" s="595"/>
      <c r="J330" s="458"/>
      <c r="K330" s="458"/>
      <c r="L330" s="473"/>
      <c r="M330" s="473"/>
      <c r="N330" s="473"/>
      <c r="O330" s="473"/>
      <c r="P330" s="473"/>
      <c r="Q330" s="473"/>
      <c r="R330" s="473"/>
    </row>
    <row r="331" spans="1:24" x14ac:dyDescent="0.45">
      <c r="B331" s="580" t="s">
        <v>365</v>
      </c>
      <c r="C331" s="527">
        <v>0.5</v>
      </c>
      <c r="D331" s="734" t="s">
        <v>0</v>
      </c>
      <c r="E331" s="734"/>
      <c r="F331" s="734"/>
      <c r="G331" s="734"/>
      <c r="H331" s="734"/>
      <c r="I331" s="595"/>
      <c r="J331" s="458"/>
      <c r="K331" s="458"/>
      <c r="L331" s="473"/>
      <c r="M331" s="458"/>
      <c r="N331" s="458"/>
      <c r="O331" s="458"/>
      <c r="P331" s="473"/>
      <c r="Q331" s="473"/>
      <c r="R331" s="473"/>
    </row>
    <row r="332" spans="1:24" x14ac:dyDescent="0.45">
      <c r="B332" s="580" t="s">
        <v>110</v>
      </c>
      <c r="C332" s="734">
        <v>5</v>
      </c>
      <c r="D332" s="734" t="s">
        <v>111</v>
      </c>
      <c r="E332" s="734"/>
      <c r="F332" s="734"/>
      <c r="G332" s="734"/>
      <c r="H332" s="734"/>
      <c r="I332" s="595"/>
      <c r="J332" s="458"/>
      <c r="K332" s="458"/>
      <c r="L332" s="473"/>
      <c r="M332" s="458"/>
      <c r="N332" s="228"/>
      <c r="O332" s="458"/>
      <c r="P332" s="473"/>
      <c r="Q332" s="473"/>
      <c r="R332" s="473"/>
    </row>
    <row r="333" spans="1:24" x14ac:dyDescent="0.45">
      <c r="B333" s="580" t="s">
        <v>398</v>
      </c>
      <c r="C333" s="734" t="s">
        <v>138</v>
      </c>
      <c r="D333" s="734"/>
      <c r="E333" s="734"/>
      <c r="F333" s="734"/>
      <c r="G333" s="734"/>
      <c r="H333" s="734"/>
      <c r="I333" s="595"/>
      <c r="J333" s="458"/>
      <c r="K333" s="458"/>
      <c r="L333" s="473"/>
      <c r="M333" s="458"/>
      <c r="N333" s="228"/>
      <c r="O333" s="458"/>
      <c r="P333" s="473"/>
      <c r="Q333" s="473"/>
      <c r="R333" s="473"/>
    </row>
    <row r="334" spans="1:24" x14ac:dyDescent="0.45">
      <c r="B334" s="580" t="str">
        <f t="shared" ref="B334:B350" si="76">B30</f>
        <v>Silicon Feedstock</v>
      </c>
      <c r="C334" s="578">
        <f>G30*(1+$C$200)</f>
        <v>8.0207467892072726E-2</v>
      </c>
      <c r="D334" s="723"/>
      <c r="E334" s="734"/>
      <c r="F334" s="734"/>
      <c r="G334" s="734"/>
      <c r="H334" s="734"/>
      <c r="I334" s="595"/>
      <c r="J334" s="458"/>
      <c r="K334" s="458"/>
      <c r="L334" s="473"/>
      <c r="M334" s="458"/>
      <c r="N334" s="228"/>
      <c r="O334" s="458"/>
      <c r="P334" s="473"/>
      <c r="Q334" s="473"/>
      <c r="R334" s="473"/>
    </row>
    <row r="335" spans="1:24" x14ac:dyDescent="0.45">
      <c r="B335" s="580" t="str">
        <f t="shared" si="76"/>
        <v>Depreciation</v>
      </c>
      <c r="C335" s="578">
        <f>-1*SUM(H218,J218,H247,J247,H276,J276,H305,J305)/(C198*1000000)</f>
        <v>6.529672406937323E-2</v>
      </c>
      <c r="D335" s="723"/>
      <c r="E335" s="734"/>
      <c r="F335" s="734"/>
      <c r="G335" s="734"/>
      <c r="H335" s="734"/>
      <c r="I335" s="595"/>
      <c r="J335" s="458"/>
      <c r="K335" s="458"/>
      <c r="L335" s="473"/>
      <c r="M335" s="458"/>
      <c r="N335" s="225"/>
      <c r="O335" s="458"/>
      <c r="P335" s="473"/>
      <c r="Q335" s="473"/>
      <c r="R335" s="473"/>
    </row>
    <row r="336" spans="1:24" x14ac:dyDescent="0.45">
      <c r="B336" s="580" t="str">
        <f t="shared" si="76"/>
        <v>Maintenance</v>
      </c>
      <c r="C336" s="578">
        <f t="shared" ref="C336:C352" si="77">G32*(1+$C$200)</f>
        <v>2.5461128362797736E-2</v>
      </c>
      <c r="D336" s="723"/>
      <c r="E336" s="734"/>
      <c r="F336" s="734"/>
      <c r="G336" s="734"/>
      <c r="H336" s="734"/>
      <c r="I336" s="595"/>
      <c r="J336" s="458"/>
      <c r="K336" s="458"/>
      <c r="L336" s="473"/>
      <c r="M336" s="458"/>
      <c r="N336" s="225"/>
      <c r="O336" s="458"/>
      <c r="P336" s="473"/>
      <c r="Q336" s="473"/>
      <c r="R336" s="473"/>
    </row>
    <row r="337" spans="2:18" x14ac:dyDescent="0.45">
      <c r="B337" s="580" t="str">
        <f t="shared" si="76"/>
        <v>Labor</v>
      </c>
      <c r="C337" s="578">
        <f t="shared" si="77"/>
        <v>6.6059019764267091E-2</v>
      </c>
      <c r="D337" s="723"/>
      <c r="E337" s="734"/>
      <c r="F337" s="578"/>
      <c r="G337" s="734"/>
      <c r="H337" s="734"/>
      <c r="I337" s="595"/>
      <c r="J337" s="458"/>
      <c r="K337" s="458"/>
      <c r="L337" s="473"/>
      <c r="M337" s="458"/>
      <c r="N337" s="228"/>
      <c r="O337" s="458"/>
      <c r="P337" s="473"/>
      <c r="Q337" s="473"/>
      <c r="R337" s="473"/>
    </row>
    <row r="338" spans="2:18" x14ac:dyDescent="0.45">
      <c r="B338" s="580" t="str">
        <f t="shared" si="76"/>
        <v>Input Electricity</v>
      </c>
      <c r="C338" s="578">
        <f t="shared" si="77"/>
        <v>3.7083804847301907E-2</v>
      </c>
      <c r="D338" s="723"/>
      <c r="E338" s="734"/>
      <c r="F338" s="578"/>
      <c r="G338" s="734"/>
      <c r="H338" s="734"/>
      <c r="I338" s="595"/>
      <c r="J338" s="473"/>
      <c r="K338" s="473"/>
      <c r="L338" s="473"/>
      <c r="M338" s="473"/>
      <c r="N338" s="473"/>
      <c r="O338" s="473"/>
      <c r="P338" s="473"/>
      <c r="Q338" s="473"/>
      <c r="R338" s="473"/>
    </row>
    <row r="339" spans="2:18" x14ac:dyDescent="0.45">
      <c r="B339" s="580" t="str">
        <f t="shared" si="76"/>
        <v>Metal Paste</v>
      </c>
      <c r="C339" s="578">
        <f t="shared" si="77"/>
        <v>2.7798630308598238E-2</v>
      </c>
      <c r="D339" s="723"/>
      <c r="E339" s="734"/>
      <c r="F339" s="734"/>
      <c r="G339" s="734"/>
      <c r="H339" s="734"/>
      <c r="I339" s="595"/>
      <c r="J339" s="473"/>
      <c r="K339" s="473"/>
      <c r="L339" s="473"/>
      <c r="M339" s="473"/>
      <c r="N339" s="473"/>
      <c r="O339" s="473"/>
      <c r="P339" s="473"/>
      <c r="Q339" s="473"/>
      <c r="R339" s="473"/>
    </row>
    <row r="340" spans="2:18" x14ac:dyDescent="0.45">
      <c r="B340" s="580" t="str">
        <f t="shared" si="76"/>
        <v>Crucible</v>
      </c>
      <c r="C340" s="578">
        <f t="shared" si="77"/>
        <v>4.6429377127596497E-3</v>
      </c>
      <c r="D340" s="723"/>
      <c r="E340" s="734"/>
      <c r="F340" s="734"/>
      <c r="G340" s="734"/>
      <c r="H340" s="734"/>
      <c r="I340" s="595"/>
      <c r="J340" s="473"/>
      <c r="K340" s="473"/>
      <c r="L340" s="473"/>
      <c r="M340" s="473"/>
      <c r="N340" s="473"/>
      <c r="O340" s="473"/>
      <c r="P340" s="473"/>
      <c r="Q340" s="473"/>
      <c r="R340" s="473"/>
    </row>
    <row r="341" spans="2:18" x14ac:dyDescent="0.45">
      <c r="B341" s="580" t="str">
        <f t="shared" si="76"/>
        <v>Wire</v>
      </c>
      <c r="C341" s="578">
        <f t="shared" si="77"/>
        <v>1.5039400494912834E-2</v>
      </c>
      <c r="D341" s="723"/>
      <c r="E341" s="734"/>
      <c r="F341" s="734"/>
      <c r="G341" s="734"/>
      <c r="H341" s="734"/>
      <c r="I341" s="595"/>
      <c r="J341" s="473"/>
      <c r="K341" s="473"/>
      <c r="L341" s="473"/>
      <c r="M341" s="473"/>
      <c r="N341" s="473"/>
      <c r="O341" s="473"/>
      <c r="P341" s="473"/>
      <c r="Q341" s="473"/>
      <c r="R341" s="473"/>
    </row>
    <row r="342" spans="2:18" x14ac:dyDescent="0.45">
      <c r="B342" s="580" t="str">
        <f t="shared" si="76"/>
        <v>Slurry</v>
      </c>
      <c r="C342" s="578">
        <f t="shared" si="77"/>
        <v>1.7706805277135564E-2</v>
      </c>
      <c r="D342" s="723"/>
      <c r="E342" s="734"/>
      <c r="F342" s="734"/>
      <c r="G342" s="734"/>
      <c r="H342" s="734"/>
      <c r="I342" s="595"/>
      <c r="J342" s="473"/>
      <c r="K342" s="473"/>
      <c r="L342" s="473"/>
      <c r="M342" s="473"/>
      <c r="N342" s="473"/>
      <c r="O342" s="473"/>
      <c r="P342" s="473"/>
      <c r="Q342" s="473"/>
      <c r="R342" s="473"/>
    </row>
    <row r="343" spans="2:18" x14ac:dyDescent="0.45">
      <c r="B343" s="580" t="str">
        <f t="shared" si="76"/>
        <v>Glass</v>
      </c>
      <c r="C343" s="578">
        <f t="shared" si="77"/>
        <v>4.1656058068118368E-2</v>
      </c>
      <c r="D343" s="723"/>
      <c r="E343" s="734"/>
      <c r="F343" s="734"/>
      <c r="G343" s="734"/>
      <c r="H343" s="734"/>
      <c r="I343" s="595"/>
      <c r="J343" s="473"/>
      <c r="K343" s="473"/>
      <c r="L343" s="473"/>
      <c r="M343" s="473"/>
      <c r="N343" s="473"/>
      <c r="O343" s="473"/>
      <c r="P343" s="473"/>
      <c r="Q343" s="473"/>
      <c r="R343" s="473"/>
    </row>
    <row r="344" spans="2:18" x14ac:dyDescent="0.45">
      <c r="B344" s="580" t="str">
        <f t="shared" si="76"/>
        <v>Frame</v>
      </c>
      <c r="C344" s="578">
        <f t="shared" si="77"/>
        <v>4.8186570387346347E-2</v>
      </c>
      <c r="D344" s="723"/>
      <c r="E344" s="734"/>
      <c r="F344" s="734"/>
      <c r="G344" s="734"/>
      <c r="H344" s="578"/>
      <c r="I344" s="595"/>
      <c r="J344" s="473"/>
      <c r="K344" s="473"/>
      <c r="L344" s="473"/>
      <c r="M344" s="473"/>
      <c r="N344" s="473"/>
      <c r="O344" s="473"/>
      <c r="P344" s="473"/>
      <c r="Q344" s="473"/>
      <c r="R344" s="473"/>
    </row>
    <row r="345" spans="2:18" x14ac:dyDescent="0.45">
      <c r="B345" s="580" t="str">
        <f t="shared" si="76"/>
        <v>Encapsulant</v>
      </c>
      <c r="C345" s="578">
        <f t="shared" si="77"/>
        <v>2.8531546621998881E-2</v>
      </c>
      <c r="D345" s="723"/>
      <c r="E345" s="734"/>
      <c r="F345" s="734"/>
      <c r="G345" s="734"/>
      <c r="H345" s="734"/>
      <c r="I345" s="595"/>
      <c r="J345" s="473"/>
      <c r="K345" s="473"/>
      <c r="L345" s="473"/>
      <c r="M345" s="473"/>
      <c r="N345" s="473"/>
      <c r="O345" s="473"/>
      <c r="P345" s="473"/>
      <c r="Q345" s="473"/>
      <c r="R345" s="473"/>
    </row>
    <row r="346" spans="2:18" x14ac:dyDescent="0.45">
      <c r="B346" s="580" t="str">
        <f t="shared" si="76"/>
        <v>JB and Cable</v>
      </c>
      <c r="C346" s="578">
        <f t="shared" si="77"/>
        <v>2.0868734790909768E-2</v>
      </c>
      <c r="D346" s="723"/>
      <c r="E346" s="734"/>
      <c r="F346" s="734"/>
      <c r="G346" s="734"/>
      <c r="H346" s="734"/>
      <c r="I346" s="595"/>
      <c r="J346" s="473"/>
      <c r="K346" s="473"/>
      <c r="L346" s="473"/>
      <c r="M346" s="473"/>
      <c r="N346" s="473"/>
      <c r="O346" s="473"/>
      <c r="P346" s="473"/>
      <c r="Q346" s="473"/>
      <c r="R346" s="473"/>
    </row>
    <row r="347" spans="2:18" x14ac:dyDescent="0.45">
      <c r="B347" s="580" t="str">
        <f t="shared" si="76"/>
        <v>Chemicals</v>
      </c>
      <c r="C347" s="578">
        <f t="shared" si="77"/>
        <v>2.076439111695522E-2</v>
      </c>
      <c r="D347" s="723"/>
      <c r="E347" s="734"/>
      <c r="F347" s="734"/>
      <c r="G347" s="734"/>
      <c r="H347" s="734"/>
      <c r="I347" s="595"/>
      <c r="J347" s="473"/>
      <c r="K347" s="473"/>
      <c r="L347" s="473"/>
      <c r="M347" s="473"/>
      <c r="N347" s="473"/>
      <c r="O347" s="473"/>
      <c r="P347" s="473"/>
      <c r="Q347" s="473"/>
      <c r="R347" s="473"/>
    </row>
    <row r="348" spans="2:18" x14ac:dyDescent="0.45">
      <c r="B348" s="580" t="str">
        <f t="shared" si="76"/>
        <v>Backsheet</v>
      </c>
      <c r="C348" s="578">
        <f t="shared" si="77"/>
        <v>3.9944165270798436E-2</v>
      </c>
      <c r="D348" s="723"/>
      <c r="E348" s="734"/>
      <c r="F348" s="734"/>
      <c r="G348" s="734"/>
      <c r="H348" s="734"/>
      <c r="I348" s="595"/>
      <c r="J348" s="473"/>
      <c r="K348" s="473"/>
      <c r="L348" s="473"/>
      <c r="M348" s="473"/>
      <c r="N348" s="473"/>
      <c r="O348" s="473"/>
      <c r="P348" s="473"/>
      <c r="Q348" s="473"/>
      <c r="R348" s="473"/>
    </row>
    <row r="349" spans="2:18" x14ac:dyDescent="0.45">
      <c r="B349" s="580" t="str">
        <f t="shared" si="76"/>
        <v>Ribbon</v>
      </c>
      <c r="C349" s="578">
        <f t="shared" si="77"/>
        <v>2.6819653824678949E-2</v>
      </c>
      <c r="D349" s="723"/>
      <c r="E349" s="734"/>
      <c r="F349" s="734"/>
      <c r="G349" s="734"/>
      <c r="H349" s="734"/>
      <c r="I349" s="595"/>
      <c r="J349" s="473"/>
      <c r="K349" s="473"/>
      <c r="L349" s="473"/>
      <c r="M349" s="473"/>
      <c r="N349" s="473"/>
      <c r="O349" s="473"/>
      <c r="P349" s="473"/>
      <c r="Q349" s="473"/>
      <c r="R349" s="473"/>
    </row>
    <row r="350" spans="2:18" x14ac:dyDescent="0.45">
      <c r="B350" s="580" t="str">
        <f t="shared" si="76"/>
        <v>Packaging</v>
      </c>
      <c r="C350" s="578">
        <f t="shared" si="77"/>
        <v>2.5678391959798991E-3</v>
      </c>
      <c r="D350" s="723"/>
      <c r="E350" s="734"/>
      <c r="F350" s="734"/>
      <c r="G350" s="734"/>
      <c r="H350" s="734"/>
      <c r="I350" s="595"/>
      <c r="J350" s="473"/>
      <c r="K350" s="473"/>
      <c r="L350" s="473"/>
      <c r="M350" s="473"/>
      <c r="N350" s="473"/>
      <c r="O350" s="473"/>
      <c r="P350" s="473"/>
      <c r="Q350" s="473"/>
      <c r="R350" s="473"/>
    </row>
    <row r="351" spans="2:18" x14ac:dyDescent="0.45">
      <c r="B351" s="580" t="str">
        <f>B47</f>
        <v>Screens</v>
      </c>
      <c r="C351" s="578">
        <f t="shared" si="77"/>
        <v>7.3778355321398184E-3</v>
      </c>
      <c r="D351" s="723"/>
      <c r="E351" s="734"/>
      <c r="F351" s="734"/>
      <c r="G351" s="734"/>
      <c r="H351" s="734"/>
      <c r="I351" s="595"/>
      <c r="J351" s="473"/>
      <c r="K351" s="473"/>
      <c r="L351" s="473"/>
      <c r="M351" s="473"/>
      <c r="N351" s="473"/>
      <c r="O351" s="473"/>
      <c r="P351" s="473"/>
      <c r="Q351" s="473"/>
      <c r="R351" s="473"/>
    </row>
    <row r="352" spans="2:18" x14ac:dyDescent="0.45">
      <c r="B352" s="580" t="str">
        <f>B48</f>
        <v>Shipping costs</v>
      </c>
      <c r="C352" s="578">
        <f t="shared" si="77"/>
        <v>0</v>
      </c>
      <c r="D352" s="723"/>
      <c r="E352" s="734"/>
      <c r="F352" s="734"/>
      <c r="G352" s="734"/>
      <c r="H352" s="734"/>
      <c r="I352" s="595"/>
      <c r="J352" s="473"/>
      <c r="K352" s="473"/>
      <c r="L352" s="473"/>
      <c r="M352" s="473"/>
      <c r="N352" s="473"/>
      <c r="O352" s="473"/>
      <c r="P352" s="473"/>
      <c r="Q352" s="473"/>
      <c r="R352" s="473"/>
    </row>
    <row r="353" spans="2:18" x14ac:dyDescent="0.45">
      <c r="B353" s="580"/>
      <c r="C353" s="578"/>
      <c r="D353" s="723"/>
      <c r="E353" s="734"/>
      <c r="F353" s="734"/>
      <c r="G353" s="734"/>
      <c r="H353" s="734"/>
      <c r="I353" s="595"/>
      <c r="J353" s="473"/>
      <c r="K353" s="473"/>
      <c r="L353" s="473"/>
      <c r="M353" s="473"/>
      <c r="N353" s="473"/>
      <c r="O353" s="473"/>
      <c r="P353" s="473"/>
      <c r="Q353" s="473"/>
      <c r="R353" s="473"/>
    </row>
    <row r="354" spans="2:18" x14ac:dyDescent="0.45">
      <c r="B354" s="504" t="s">
        <v>354</v>
      </c>
      <c r="C354" s="734"/>
      <c r="D354" s="936" t="s">
        <v>356</v>
      </c>
      <c r="E354" s="734"/>
      <c r="F354" s="734"/>
      <c r="G354" s="936" t="s">
        <v>384</v>
      </c>
      <c r="H354" s="734"/>
      <c r="I354" s="595"/>
      <c r="J354" s="473"/>
      <c r="K354" s="473"/>
      <c r="L354" s="473"/>
      <c r="M354" s="473"/>
      <c r="N354" s="473"/>
      <c r="O354" s="473"/>
      <c r="P354" s="473"/>
      <c r="Q354" s="473"/>
      <c r="R354" s="473"/>
    </row>
    <row r="355" spans="2:18" x14ac:dyDescent="0.45">
      <c r="B355" s="580" t="s">
        <v>247</v>
      </c>
      <c r="C355" s="734"/>
      <c r="D355" s="523" t="s">
        <v>250</v>
      </c>
      <c r="E355" s="523" t="s">
        <v>249</v>
      </c>
      <c r="F355" s="523" t="s">
        <v>284</v>
      </c>
      <c r="G355" s="523" t="s">
        <v>250</v>
      </c>
      <c r="H355" s="523" t="s">
        <v>249</v>
      </c>
      <c r="I355" s="524" t="s">
        <v>284</v>
      </c>
      <c r="J355" s="473"/>
      <c r="K355" s="473"/>
      <c r="L355" s="473"/>
      <c r="M355" s="473"/>
      <c r="N355" s="473"/>
      <c r="O355" s="473"/>
      <c r="P355" s="473"/>
      <c r="Q355" s="473"/>
      <c r="R355" s="473"/>
    </row>
    <row r="356" spans="2:18" x14ac:dyDescent="0.45">
      <c r="B356" s="580"/>
      <c r="C356" s="734" t="s">
        <v>238</v>
      </c>
      <c r="D356" s="369">
        <f>SUM(C218,C247,C276,C305)</f>
        <v>0.69217201977391341</v>
      </c>
      <c r="E356" s="369">
        <f t="shared" ref="E356:E361" si="78">D356</f>
        <v>0.69217201977391341</v>
      </c>
      <c r="F356" s="369">
        <f>D356</f>
        <v>0.69217201977391341</v>
      </c>
      <c r="G356" s="369">
        <f>SUM(C224,C253,C282,C311)</f>
        <v>0.78871375386436715</v>
      </c>
      <c r="H356" s="369">
        <f t="shared" ref="H356:H361" si="79">G356</f>
        <v>0.78871375386436715</v>
      </c>
      <c r="I356" s="525">
        <f>G356</f>
        <v>0.78871375386436715</v>
      </c>
      <c r="J356" s="473"/>
      <c r="K356" s="473"/>
      <c r="L356" s="473"/>
      <c r="M356" s="473"/>
      <c r="N356" s="473"/>
      <c r="O356" s="473"/>
      <c r="P356" s="473"/>
      <c r="Q356" s="473"/>
      <c r="R356" s="473"/>
    </row>
    <row r="357" spans="2:18" x14ac:dyDescent="0.45">
      <c r="B357" s="530"/>
      <c r="C357" s="734" t="s">
        <v>239</v>
      </c>
      <c r="D357" s="369">
        <f>SUM(C334,C339:C352)</f>
        <v>0.38211203649440467</v>
      </c>
      <c r="E357" s="369">
        <f t="shared" si="78"/>
        <v>0.38211203649440467</v>
      </c>
      <c r="F357" s="369">
        <f>D357</f>
        <v>0.38211203649440467</v>
      </c>
      <c r="G357" s="369">
        <f>D357*(1+$C$200)^(7-1)</f>
        <v>0.43540768781537836</v>
      </c>
      <c r="H357" s="369">
        <f t="shared" si="79"/>
        <v>0.43540768781537836</v>
      </c>
      <c r="I357" s="525">
        <f>G357</f>
        <v>0.43540768781537836</v>
      </c>
      <c r="J357" s="473"/>
      <c r="K357" s="473"/>
      <c r="L357" s="473"/>
      <c r="M357" s="473"/>
      <c r="N357" s="473"/>
      <c r="O357" s="473"/>
      <c r="P357" s="473"/>
      <c r="Q357" s="473"/>
      <c r="R357" s="473"/>
    </row>
    <row r="358" spans="2:18" x14ac:dyDescent="0.45">
      <c r="B358" s="530"/>
      <c r="C358" s="734" t="s">
        <v>240</v>
      </c>
      <c r="D358" s="369">
        <f>$C$337</f>
        <v>6.6059019764267091E-2</v>
      </c>
      <c r="E358" s="369">
        <f t="shared" si="78"/>
        <v>6.6059019764267091E-2</v>
      </c>
      <c r="F358" s="369">
        <f>D358</f>
        <v>6.6059019764267091E-2</v>
      </c>
      <c r="G358" s="369">
        <f>D358*(1+$C$200)^(7-1)</f>
        <v>7.5272700956466959E-2</v>
      </c>
      <c r="H358" s="369">
        <f t="shared" si="79"/>
        <v>7.5272700956466959E-2</v>
      </c>
      <c r="I358" s="525">
        <f>G358</f>
        <v>7.5272700956466959E-2</v>
      </c>
      <c r="J358" s="473"/>
      <c r="K358" s="473"/>
      <c r="L358" s="473"/>
      <c r="M358" s="473"/>
      <c r="N358" s="473"/>
      <c r="O358" s="473"/>
      <c r="P358" s="473"/>
      <c r="Q358" s="473"/>
      <c r="R358" s="473"/>
    </row>
    <row r="359" spans="2:18" x14ac:dyDescent="0.45">
      <c r="B359" s="530"/>
      <c r="C359" s="734" t="s">
        <v>20</v>
      </c>
      <c r="D359" s="369">
        <f>$C$338</f>
        <v>3.7083804847301907E-2</v>
      </c>
      <c r="E359" s="369">
        <f t="shared" si="78"/>
        <v>3.7083804847301907E-2</v>
      </c>
      <c r="F359" s="369">
        <f>D359</f>
        <v>3.7083804847301907E-2</v>
      </c>
      <c r="G359" s="369">
        <f>D359*(1+$C$200)^(7-1)</f>
        <v>4.2256124334876535E-2</v>
      </c>
      <c r="H359" s="369">
        <f t="shared" si="79"/>
        <v>4.2256124334876535E-2</v>
      </c>
      <c r="I359" s="525">
        <f>G359</f>
        <v>4.2256124334876535E-2</v>
      </c>
      <c r="J359" s="473"/>
      <c r="K359" s="473"/>
      <c r="L359" s="473"/>
      <c r="M359" s="473"/>
      <c r="N359" s="473"/>
      <c r="O359" s="473"/>
      <c r="P359" s="473"/>
      <c r="Q359" s="473"/>
      <c r="R359" s="473"/>
    </row>
    <row r="360" spans="2:18" x14ac:dyDescent="0.45">
      <c r="B360" s="530"/>
      <c r="C360" s="734" t="s">
        <v>61</v>
      </c>
      <c r="D360" s="369">
        <f>$C$336</f>
        <v>2.5461128362797736E-2</v>
      </c>
      <c r="E360" s="369">
        <f t="shared" si="78"/>
        <v>2.5461128362797736E-2</v>
      </c>
      <c r="F360" s="369">
        <f>D360</f>
        <v>2.5461128362797736E-2</v>
      </c>
      <c r="G360" s="369">
        <f>D360*(1+$C$200)^(7-1)</f>
        <v>2.9012357557018871E-2</v>
      </c>
      <c r="H360" s="369">
        <f t="shared" si="79"/>
        <v>2.9012357557018871E-2</v>
      </c>
      <c r="I360" s="525">
        <f>G360</f>
        <v>2.9012357557018871E-2</v>
      </c>
      <c r="J360" s="473"/>
      <c r="K360" s="473"/>
      <c r="L360" s="473"/>
      <c r="M360" s="473"/>
      <c r="N360" s="473"/>
      <c r="O360" s="473"/>
      <c r="P360" s="473"/>
      <c r="Q360" s="473"/>
      <c r="R360" s="473"/>
    </row>
    <row r="361" spans="2:18" x14ac:dyDescent="0.45">
      <c r="B361" s="530"/>
      <c r="C361" s="734" t="s">
        <v>246</v>
      </c>
      <c r="D361" s="369">
        <f>-1*SUM(H218,J218,H247,J247,H276,J276,H305,J305)/(C198*1000000)</f>
        <v>6.529672406937323E-2</v>
      </c>
      <c r="E361" s="369">
        <f t="shared" si="78"/>
        <v>6.529672406937323E-2</v>
      </c>
      <c r="F361" s="369"/>
      <c r="G361" s="369">
        <f>-1*SUM(H253,J253,H282,J282,H311,J311,H225,J225)/(C198*1000000)</f>
        <v>3.791713856046567E-2</v>
      </c>
      <c r="H361" s="369">
        <f t="shared" si="79"/>
        <v>3.791713856046567E-2</v>
      </c>
      <c r="I361" s="595"/>
      <c r="J361" s="473"/>
      <c r="K361" s="473"/>
      <c r="L361" s="473"/>
      <c r="M361" s="473"/>
      <c r="N361" s="473"/>
      <c r="O361" s="473"/>
      <c r="P361" s="473"/>
      <c r="Q361" s="473"/>
      <c r="R361" s="473"/>
    </row>
    <row r="362" spans="2:18" x14ac:dyDescent="0.45">
      <c r="B362" s="580"/>
      <c r="C362" s="734" t="s">
        <v>244</v>
      </c>
      <c r="D362" s="369">
        <f>($C$203+$C$204)*D356</f>
        <v>7.2678062076260902E-2</v>
      </c>
      <c r="E362" s="369"/>
      <c r="F362" s="369"/>
      <c r="G362" s="369">
        <f>($C$203+$C$204)*G356</f>
        <v>8.2814944155758546E-2</v>
      </c>
      <c r="H362" s="734"/>
      <c r="I362" s="595"/>
      <c r="J362" s="473"/>
      <c r="K362" s="473"/>
      <c r="L362" s="473"/>
      <c r="M362" s="473"/>
      <c r="N362" s="473"/>
      <c r="O362" s="473"/>
      <c r="P362" s="473"/>
      <c r="Q362" s="473"/>
      <c r="R362" s="473"/>
    </row>
    <row r="363" spans="2:18" x14ac:dyDescent="0.45">
      <c r="B363" s="580"/>
      <c r="C363" s="734" t="s">
        <v>241</v>
      </c>
      <c r="D363" s="369">
        <f>-1*ISPMT(C330,1,C332,C210*C331)/(C198*1000000)</f>
        <v>9.7730242880826063E-3</v>
      </c>
      <c r="E363" s="369"/>
      <c r="F363" s="369"/>
      <c r="G363" s="369">
        <f>-1*ISPMT(C330,5,C332,C210*C331)/(C198*1000000)</f>
        <v>0</v>
      </c>
      <c r="H363" s="734"/>
      <c r="I363" s="595"/>
      <c r="J363" s="473"/>
      <c r="K363" s="473"/>
      <c r="L363" s="473"/>
      <c r="M363" s="473"/>
      <c r="N363" s="473"/>
      <c r="O363" s="473"/>
      <c r="P363" s="473"/>
      <c r="Q363" s="473"/>
      <c r="R363" s="473"/>
    </row>
    <row r="364" spans="2:18" x14ac:dyDescent="0.45">
      <c r="B364" s="580"/>
      <c r="C364" s="734" t="s">
        <v>242</v>
      </c>
      <c r="D364" s="369">
        <f>(D356-SUM(D357:D363))*$C$202</f>
        <v>9.4045933441276441E-3</v>
      </c>
      <c r="E364" s="369"/>
      <c r="F364" s="369"/>
      <c r="G364" s="369">
        <f>(G356-SUM(G357:G363))*$C$202</f>
        <v>2.4003151335148212E-2</v>
      </c>
      <c r="H364" s="734"/>
      <c r="I364" s="595"/>
      <c r="J364" s="473"/>
      <c r="K364" s="473"/>
      <c r="L364" s="473"/>
      <c r="M364" s="473"/>
      <c r="N364" s="473"/>
      <c r="O364" s="473"/>
      <c r="P364" s="473"/>
      <c r="Q364" s="473"/>
      <c r="R364" s="473"/>
    </row>
    <row r="365" spans="2:18" x14ac:dyDescent="0.45">
      <c r="B365" s="580"/>
      <c r="C365" s="734" t="s">
        <v>338</v>
      </c>
      <c r="D365" s="369">
        <f>D356-SUM(D357:D364)</f>
        <v>2.4303626527297562E-2</v>
      </c>
      <c r="E365" s="734"/>
      <c r="F365" s="734"/>
      <c r="G365" s="369">
        <f>G356-SUM(G357:G364)</f>
        <v>6.2029649149254018E-2</v>
      </c>
      <c r="H365" s="734"/>
      <c r="I365" s="595"/>
      <c r="J365" s="473"/>
      <c r="K365" s="473"/>
      <c r="L365" s="473"/>
      <c r="M365" s="473"/>
      <c r="N365" s="473"/>
      <c r="O365" s="473"/>
      <c r="P365" s="473"/>
      <c r="Q365" s="473"/>
      <c r="R365" s="473"/>
    </row>
    <row r="366" spans="2:18" x14ac:dyDescent="0.45">
      <c r="B366" s="580"/>
      <c r="C366" s="734"/>
      <c r="D366" s="734"/>
      <c r="E366" s="734"/>
      <c r="F366" s="734"/>
      <c r="G366" s="734"/>
      <c r="H366" s="734"/>
      <c r="I366" s="595"/>
      <c r="J366" s="473"/>
      <c r="K366" s="473"/>
      <c r="L366" s="473"/>
      <c r="M366" s="473"/>
      <c r="N366" s="473"/>
      <c r="O366" s="473"/>
      <c r="P366" s="473"/>
      <c r="Q366" s="473"/>
      <c r="R366" s="473"/>
    </row>
    <row r="367" spans="2:18" x14ac:dyDescent="0.45">
      <c r="B367" s="580" t="s">
        <v>248</v>
      </c>
      <c r="C367" s="734" t="s">
        <v>238</v>
      </c>
      <c r="D367" s="527">
        <v>1</v>
      </c>
      <c r="E367" s="723">
        <f t="shared" ref="E367:E372" si="80">D367</f>
        <v>1</v>
      </c>
      <c r="F367" s="723">
        <f>D367</f>
        <v>1</v>
      </c>
      <c r="G367" s="723">
        <v>1</v>
      </c>
      <c r="H367" s="723">
        <f t="shared" ref="H367:H372" si="81">G367</f>
        <v>1</v>
      </c>
      <c r="I367" s="526">
        <f>G367</f>
        <v>1</v>
      </c>
      <c r="J367" s="473"/>
      <c r="K367" s="473"/>
      <c r="L367" s="473"/>
      <c r="M367" s="473"/>
      <c r="N367" s="473"/>
      <c r="O367" s="473"/>
      <c r="P367" s="473"/>
      <c r="Q367" s="473"/>
      <c r="R367" s="473"/>
    </row>
    <row r="368" spans="2:18" x14ac:dyDescent="0.45">
      <c r="B368" s="531"/>
      <c r="C368" s="734" t="s">
        <v>239</v>
      </c>
      <c r="D368" s="527">
        <f>D357/$D$356</f>
        <v>0.55204779386952862</v>
      </c>
      <c r="E368" s="723">
        <f t="shared" si="80"/>
        <v>0.55204779386952862</v>
      </c>
      <c r="F368" s="723">
        <f>D368</f>
        <v>0.55204779386952862</v>
      </c>
      <c r="G368" s="723">
        <f>G357/$G$356</f>
        <v>0.55204779386952874</v>
      </c>
      <c r="H368" s="723">
        <f t="shared" si="81"/>
        <v>0.55204779386952874</v>
      </c>
      <c r="I368" s="526">
        <f>G368</f>
        <v>0.55204779386952874</v>
      </c>
      <c r="J368" s="473"/>
      <c r="K368" s="473"/>
      <c r="L368" s="473"/>
      <c r="M368" s="473"/>
      <c r="N368" s="473"/>
      <c r="O368" s="473"/>
      <c r="P368" s="473"/>
      <c r="Q368" s="473"/>
      <c r="R368" s="473"/>
    </row>
    <row r="369" spans="2:18" x14ac:dyDescent="0.45">
      <c r="B369" s="531"/>
      <c r="C369" s="734" t="s">
        <v>240</v>
      </c>
      <c r="D369" s="527">
        <f t="shared" ref="D369:D375" si="82">D358/$D$356</f>
        <v>9.5437287086299991E-2</v>
      </c>
      <c r="E369" s="723">
        <f t="shared" si="80"/>
        <v>9.5437287086299991E-2</v>
      </c>
      <c r="F369" s="723">
        <f>D369</f>
        <v>9.5437287086299991E-2</v>
      </c>
      <c r="G369" s="723">
        <f t="shared" ref="G369:G375" si="83">G358/$G$356</f>
        <v>9.5437287086299991E-2</v>
      </c>
      <c r="H369" s="723">
        <f t="shared" si="81"/>
        <v>9.5437287086299991E-2</v>
      </c>
      <c r="I369" s="526">
        <f>G369</f>
        <v>9.5437287086299991E-2</v>
      </c>
      <c r="J369" s="473"/>
      <c r="K369" s="473"/>
      <c r="L369" s="473"/>
      <c r="M369" s="473"/>
      <c r="N369" s="473"/>
      <c r="O369" s="473"/>
      <c r="P369" s="473"/>
      <c r="Q369" s="473"/>
      <c r="R369" s="473"/>
    </row>
    <row r="370" spans="2:18" x14ac:dyDescent="0.45">
      <c r="B370" s="531"/>
      <c r="C370" s="734" t="s">
        <v>20</v>
      </c>
      <c r="D370" s="527">
        <f t="shared" si="82"/>
        <v>5.3575995255362566E-2</v>
      </c>
      <c r="E370" s="723">
        <f t="shared" si="80"/>
        <v>5.3575995255362566E-2</v>
      </c>
      <c r="F370" s="723">
        <f>D370</f>
        <v>5.3575995255362566E-2</v>
      </c>
      <c r="G370" s="723">
        <f t="shared" si="83"/>
        <v>5.3575995255362566E-2</v>
      </c>
      <c r="H370" s="723">
        <f t="shared" si="81"/>
        <v>5.3575995255362566E-2</v>
      </c>
      <c r="I370" s="526">
        <f>G370</f>
        <v>5.3575995255362566E-2</v>
      </c>
      <c r="J370" s="473"/>
      <c r="K370" s="473"/>
      <c r="L370" s="473"/>
      <c r="M370" s="473"/>
      <c r="N370" s="473"/>
      <c r="O370" s="473"/>
      <c r="P370" s="473"/>
      <c r="Q370" s="473"/>
      <c r="R370" s="473"/>
    </row>
    <row r="371" spans="2:18" x14ac:dyDescent="0.45">
      <c r="B371" s="531"/>
      <c r="C371" s="734" t="s">
        <v>61</v>
      </c>
      <c r="D371" s="527">
        <f t="shared" si="82"/>
        <v>3.6784394103526741E-2</v>
      </c>
      <c r="E371" s="723">
        <f t="shared" si="80"/>
        <v>3.6784394103526741E-2</v>
      </c>
      <c r="F371" s="723">
        <f>D371</f>
        <v>3.6784394103526741E-2</v>
      </c>
      <c r="G371" s="723">
        <f t="shared" si="83"/>
        <v>3.6784394103526748E-2</v>
      </c>
      <c r="H371" s="723">
        <f t="shared" si="81"/>
        <v>3.6784394103526748E-2</v>
      </c>
      <c r="I371" s="526">
        <f>G371</f>
        <v>3.6784394103526748E-2</v>
      </c>
      <c r="J371" s="473"/>
      <c r="K371" s="473"/>
      <c r="L371" s="473"/>
      <c r="M371" s="473"/>
      <c r="N371" s="473"/>
      <c r="O371" s="473"/>
      <c r="P371" s="473"/>
      <c r="Q371" s="473"/>
      <c r="R371" s="473"/>
    </row>
    <row r="372" spans="2:18" x14ac:dyDescent="0.45">
      <c r="B372" s="531"/>
      <c r="C372" s="734" t="s">
        <v>246</v>
      </c>
      <c r="D372" s="527">
        <f t="shared" si="82"/>
        <v>9.4335977479559671E-2</v>
      </c>
      <c r="E372" s="723">
        <f t="shared" si="80"/>
        <v>9.4335977479559671E-2</v>
      </c>
      <c r="F372" s="723"/>
      <c r="G372" s="723">
        <f t="shared" si="83"/>
        <v>4.8074651132540253E-2</v>
      </c>
      <c r="H372" s="723">
        <f t="shared" si="81"/>
        <v>4.8074651132540253E-2</v>
      </c>
      <c r="I372" s="526"/>
      <c r="J372" s="473"/>
      <c r="K372" s="473"/>
      <c r="L372" s="473"/>
      <c r="M372" s="473"/>
      <c r="N372" s="473"/>
      <c r="O372" s="473"/>
      <c r="P372" s="473"/>
      <c r="Q372" s="473"/>
      <c r="R372" s="473"/>
    </row>
    <row r="373" spans="2:18" x14ac:dyDescent="0.45">
      <c r="B373" s="580"/>
      <c r="C373" s="734" t="s">
        <v>244</v>
      </c>
      <c r="D373" s="527">
        <f t="shared" si="82"/>
        <v>0.105</v>
      </c>
      <c r="E373" s="734"/>
      <c r="F373" s="723"/>
      <c r="G373" s="723">
        <f t="shared" si="83"/>
        <v>0.105</v>
      </c>
      <c r="H373" s="734"/>
      <c r="I373" s="526"/>
      <c r="J373" s="473"/>
      <c r="K373" s="473"/>
      <c r="L373" s="473"/>
      <c r="M373" s="473"/>
      <c r="N373" s="473"/>
      <c r="O373" s="473"/>
      <c r="P373" s="473"/>
      <c r="Q373" s="473"/>
      <c r="R373" s="473"/>
    </row>
    <row r="374" spans="2:18" x14ac:dyDescent="0.45">
      <c r="B374" s="580"/>
      <c r="C374" s="734" t="s">
        <v>241</v>
      </c>
      <c r="D374" s="527">
        <f t="shared" si="82"/>
        <v>1.4119357629155255E-2</v>
      </c>
      <c r="E374" s="734"/>
      <c r="F374" s="734"/>
      <c r="G374" s="723">
        <f t="shared" si="83"/>
        <v>0</v>
      </c>
      <c r="H374" s="734"/>
      <c r="I374" s="595"/>
      <c r="J374" s="473"/>
      <c r="K374" s="473"/>
      <c r="L374" s="473"/>
      <c r="M374" s="473"/>
      <c r="N374" s="473"/>
      <c r="O374" s="473"/>
      <c r="P374" s="473"/>
      <c r="Q374" s="473"/>
      <c r="R374" s="473"/>
    </row>
    <row r="375" spans="2:18" x14ac:dyDescent="0.45">
      <c r="B375" s="580"/>
      <c r="C375" s="734" t="s">
        <v>242</v>
      </c>
      <c r="D375" s="527">
        <f t="shared" si="82"/>
        <v>1.3587075286862217E-2</v>
      </c>
      <c r="E375" s="734"/>
      <c r="F375" s="734"/>
      <c r="G375" s="723">
        <f t="shared" si="83"/>
        <v>3.0433286116214941E-2</v>
      </c>
      <c r="H375" s="734"/>
      <c r="I375" s="595"/>
      <c r="J375" s="473"/>
      <c r="K375" s="473"/>
      <c r="L375" s="473"/>
      <c r="M375" s="473"/>
      <c r="N375" s="473"/>
      <c r="O375" s="473"/>
      <c r="P375" s="473"/>
      <c r="Q375" s="473"/>
      <c r="R375" s="473"/>
    </row>
    <row r="376" spans="2:18" x14ac:dyDescent="0.45">
      <c r="B376" s="580"/>
      <c r="C376" s="734"/>
      <c r="D376" s="527"/>
      <c r="E376" s="734"/>
      <c r="F376" s="734"/>
      <c r="G376" s="734"/>
      <c r="H376" s="734"/>
      <c r="I376" s="595"/>
      <c r="J376" s="473"/>
      <c r="K376" s="473"/>
      <c r="L376" s="473"/>
      <c r="M376" s="473"/>
      <c r="N376" s="473"/>
      <c r="O376" s="473"/>
      <c r="P376" s="473"/>
      <c r="Q376" s="473"/>
      <c r="R376" s="473"/>
    </row>
    <row r="377" spans="2:18" x14ac:dyDescent="0.45">
      <c r="B377" s="580"/>
      <c r="C377" s="734"/>
      <c r="D377" s="527"/>
      <c r="E377" s="734"/>
      <c r="F377" s="734"/>
      <c r="G377" s="734"/>
      <c r="H377" s="734"/>
      <c r="I377" s="595"/>
      <c r="J377" s="473"/>
      <c r="K377" s="473"/>
      <c r="L377" s="473"/>
      <c r="M377" s="473"/>
      <c r="N377" s="473"/>
      <c r="O377" s="473"/>
      <c r="P377" s="473"/>
      <c r="Q377" s="473"/>
      <c r="R377" s="473"/>
    </row>
    <row r="378" spans="2:18" x14ac:dyDescent="0.45">
      <c r="B378" s="580"/>
      <c r="C378" s="734" t="s">
        <v>388</v>
      </c>
      <c r="D378" s="527">
        <f>(E356-SUM(E357:E364))/E356</f>
        <v>0.16781855220572234</v>
      </c>
      <c r="E378" s="734"/>
      <c r="F378" s="734"/>
      <c r="G378" s="527">
        <f>(G356-SUM(G357:G361))/G356</f>
        <v>0.21407987855274169</v>
      </c>
      <c r="H378" s="734"/>
      <c r="I378" s="595"/>
      <c r="J378" s="473"/>
      <c r="K378" s="473"/>
      <c r="L378" s="473"/>
      <c r="M378" s="473"/>
      <c r="N378" s="473"/>
      <c r="O378" s="473"/>
      <c r="P378" s="473"/>
      <c r="Q378" s="473"/>
      <c r="R378" s="473"/>
    </row>
    <row r="379" spans="2:18" x14ac:dyDescent="0.45">
      <c r="B379" s="511"/>
      <c r="C379" s="528" t="s">
        <v>251</v>
      </c>
      <c r="D379" s="529">
        <f>(D356-SUM(D357:D364))/D356</f>
        <v>3.5112119289704806E-2</v>
      </c>
      <c r="E379" s="528"/>
      <c r="F379" s="528"/>
      <c r="G379" s="529">
        <f>(G356-SUM(G357:G364))/G356</f>
        <v>7.864659243652683E-2</v>
      </c>
      <c r="H379" s="528"/>
      <c r="I379" s="513"/>
      <c r="J379" s="473"/>
      <c r="K379" s="473"/>
      <c r="L379" s="473"/>
      <c r="M379" s="473"/>
      <c r="N379" s="473"/>
      <c r="O379" s="473"/>
      <c r="P379" s="473"/>
      <c r="Q379" s="473"/>
      <c r="R379" s="473"/>
    </row>
    <row r="380" spans="2:18" x14ac:dyDescent="0.45">
      <c r="B380" s="473"/>
      <c r="C380" s="473"/>
      <c r="D380" s="473"/>
      <c r="E380" s="473"/>
      <c r="F380" s="473"/>
      <c r="G380" s="473"/>
      <c r="H380" s="473"/>
      <c r="I380" s="473"/>
      <c r="J380" s="473"/>
      <c r="K380" s="473"/>
      <c r="L380" s="473"/>
      <c r="M380" s="473"/>
      <c r="N380" s="473"/>
      <c r="O380" s="473"/>
      <c r="P380" s="473"/>
      <c r="Q380" s="473"/>
      <c r="R380" s="473"/>
    </row>
    <row r="381" spans="2:18" x14ac:dyDescent="0.45">
      <c r="B381" s="458"/>
      <c r="C381" s="458"/>
      <c r="D381" s="458"/>
      <c r="E381" s="458"/>
      <c r="F381" s="458"/>
      <c r="G381" s="458"/>
      <c r="H381" s="458"/>
      <c r="I381" s="458"/>
      <c r="J381" s="458"/>
      <c r="K381" s="458"/>
      <c r="L381" s="458"/>
      <c r="M381" s="458"/>
      <c r="N381" s="458"/>
      <c r="O381" s="458"/>
      <c r="P381" s="458"/>
      <c r="Q381" s="458"/>
      <c r="R381" s="458"/>
    </row>
    <row r="382" spans="2:18" x14ac:dyDescent="0.45">
      <c r="B382" s="458"/>
      <c r="C382" s="458"/>
      <c r="D382" s="458"/>
      <c r="E382" s="458"/>
      <c r="F382" s="458"/>
      <c r="G382" s="458"/>
      <c r="H382" s="458"/>
      <c r="I382" s="458"/>
      <c r="J382" s="458"/>
      <c r="K382" s="458"/>
      <c r="L382" s="521"/>
      <c r="M382" s="458"/>
      <c r="N382" s="458"/>
      <c r="O382" s="458"/>
      <c r="P382" s="458"/>
      <c r="Q382" s="458"/>
      <c r="R382" s="458"/>
    </row>
  </sheetData>
  <mergeCells count="2">
    <mergeCell ref="I28:K28"/>
    <mergeCell ref="L28:N28"/>
  </mergeCells>
  <hyperlinks>
    <hyperlink ref="A4" r:id="rId1" display="dmpowell@mit.edu"/>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2"/>
  <sheetViews>
    <sheetView zoomScale="50" zoomScaleNormal="50" workbookViewId="0"/>
  </sheetViews>
  <sheetFormatPr defaultColWidth="8.86328125" defaultRowHeight="14.25" x14ac:dyDescent="0.45"/>
  <cols>
    <col min="1" max="1" width="8.86328125" style="226"/>
    <col min="2" max="2" width="30.6640625" style="222" customWidth="1"/>
    <col min="3" max="6" width="19" style="222" customWidth="1"/>
    <col min="7" max="7" width="24.796875" style="222" customWidth="1"/>
    <col min="8" max="24" width="19" style="222" customWidth="1"/>
    <col min="25" max="25" width="21.19921875" style="222" customWidth="1"/>
    <col min="26" max="26" width="19.19921875" style="222" customWidth="1"/>
    <col min="27" max="27" width="17.33203125" style="222" customWidth="1"/>
    <col min="28" max="28" width="16.46484375" style="222" customWidth="1"/>
    <col min="29" max="29" width="11.1328125" style="222" customWidth="1"/>
    <col min="30" max="36" width="8.86328125" style="222"/>
    <col min="37" max="37" width="12.19921875" style="222" customWidth="1"/>
    <col min="38" max="16384" width="8.86328125" style="222"/>
  </cols>
  <sheetData>
    <row r="1" spans="1:39" ht="30.75" x14ac:dyDescent="0.9">
      <c r="A1" s="637" t="s">
        <v>393</v>
      </c>
      <c r="R1" s="540"/>
      <c r="S1" s="540"/>
      <c r="T1" s="540"/>
      <c r="U1" s="540"/>
      <c r="V1" s="540"/>
      <c r="W1" s="540"/>
      <c r="X1" s="540"/>
      <c r="Y1" s="540"/>
      <c r="Z1" s="540"/>
      <c r="AA1" s="540"/>
      <c r="AB1" s="540"/>
      <c r="AC1" s="540"/>
      <c r="AD1" s="540"/>
      <c r="AE1" s="540"/>
      <c r="AF1" s="540"/>
      <c r="AG1" s="540"/>
      <c r="AH1" s="540"/>
    </row>
    <row r="2" spans="1:39" x14ac:dyDescent="0.45">
      <c r="A2" s="362" t="str">
        <f>Cover!A2</f>
        <v>Jan 2013</v>
      </c>
      <c r="R2" s="540"/>
      <c r="S2" s="540"/>
      <c r="T2" s="540"/>
      <c r="U2" s="540"/>
      <c r="V2" s="540"/>
      <c r="W2" s="540"/>
      <c r="X2" s="540"/>
      <c r="Y2" s="540"/>
      <c r="Z2" s="540"/>
      <c r="AA2" s="540"/>
      <c r="AB2" s="540"/>
      <c r="AC2" s="540"/>
      <c r="AD2" s="540"/>
      <c r="AE2" s="540"/>
      <c r="AF2" s="540"/>
      <c r="AG2" s="540"/>
      <c r="AH2" s="540"/>
    </row>
    <row r="3" spans="1:39" x14ac:dyDescent="0.45">
      <c r="A3" s="232" t="s">
        <v>36</v>
      </c>
      <c r="R3" s="540"/>
      <c r="S3" s="540"/>
      <c r="T3" s="540"/>
      <c r="U3" s="540"/>
      <c r="V3" s="540"/>
      <c r="W3" s="540"/>
      <c r="X3" s="540"/>
      <c r="Y3" s="540"/>
      <c r="Z3" s="540"/>
      <c r="AA3" s="540"/>
      <c r="AB3" s="540"/>
      <c r="AC3" s="540"/>
      <c r="AD3" s="540"/>
      <c r="AE3" s="540"/>
      <c r="AF3" s="540"/>
      <c r="AG3" s="540"/>
      <c r="AH3" s="540"/>
    </row>
    <row r="4" spans="1:39" s="339" customFormat="1" ht="13.8" customHeight="1" x14ac:dyDescent="0.45">
      <c r="A4" s="222" t="s">
        <v>137</v>
      </c>
      <c r="R4" s="811"/>
      <c r="S4" s="811"/>
      <c r="T4" s="551"/>
      <c r="U4" s="811"/>
      <c r="V4" s="811"/>
      <c r="W4" s="811"/>
      <c r="X4" s="811"/>
      <c r="Y4" s="811"/>
      <c r="Z4" s="811"/>
      <c r="AA4" s="811"/>
      <c r="AB4" s="811"/>
      <c r="AC4" s="811"/>
      <c r="AD4" s="811"/>
      <c r="AE4" s="811"/>
      <c r="AF4" s="811"/>
      <c r="AG4" s="811"/>
      <c r="AH4" s="811"/>
    </row>
    <row r="5" spans="1:39" ht="15.4" x14ac:dyDescent="0.45">
      <c r="A5" s="232"/>
      <c r="R5" s="540"/>
      <c r="S5" s="540"/>
      <c r="T5" s="294"/>
      <c r="U5" s="540"/>
      <c r="V5" s="540"/>
      <c r="W5" s="540"/>
      <c r="X5" s="540"/>
      <c r="Y5" s="540"/>
      <c r="Z5" s="540"/>
      <c r="AA5" s="540"/>
      <c r="AB5" s="540"/>
      <c r="AC5" s="540"/>
      <c r="AD5" s="540"/>
      <c r="AE5" s="540"/>
      <c r="AF5" s="540"/>
      <c r="AG5" s="540"/>
      <c r="AH5" s="540"/>
      <c r="AK5" s="268"/>
      <c r="AL5" s="268"/>
      <c r="AM5" s="268"/>
    </row>
    <row r="6" spans="1:39" ht="28.9" thickBot="1" x14ac:dyDescent="0.9">
      <c r="A6" s="227"/>
      <c r="B6" s="562" t="s">
        <v>395</v>
      </c>
      <c r="R6" s="543"/>
      <c r="S6" s="540"/>
      <c r="T6" s="540"/>
      <c r="U6" s="992"/>
      <c r="V6" s="540"/>
      <c r="W6" s="540"/>
      <c r="X6" s="540"/>
      <c r="Y6" s="540"/>
      <c r="Z6" s="540"/>
      <c r="AA6" s="540"/>
      <c r="AB6" s="540"/>
      <c r="AC6" s="540"/>
      <c r="AD6" s="540"/>
      <c r="AE6" s="540"/>
      <c r="AF6" s="540"/>
      <c r="AG6" s="540"/>
      <c r="AH6" s="540"/>
      <c r="AK6" s="268"/>
      <c r="AL6" s="295"/>
      <c r="AM6" s="268"/>
    </row>
    <row r="7" spans="1:39" ht="14.65" thickBot="1" x14ac:dyDescent="0.5">
      <c r="A7" s="227"/>
      <c r="B7" s="241" t="s">
        <v>37</v>
      </c>
      <c r="C7" s="248" t="s">
        <v>34</v>
      </c>
      <c r="D7" s="249" t="s">
        <v>38</v>
      </c>
      <c r="H7" s="225"/>
      <c r="R7" s="540"/>
      <c r="S7" s="540"/>
      <c r="T7" s="540"/>
      <c r="U7" s="1045"/>
      <c r="V7" s="540"/>
      <c r="W7" s="540"/>
      <c r="X7" s="540"/>
      <c r="Y7" s="540"/>
      <c r="Z7" s="540"/>
      <c r="AA7" s="540"/>
      <c r="AB7" s="540"/>
      <c r="AC7" s="631"/>
      <c r="AD7" s="631"/>
      <c r="AE7" s="631"/>
      <c r="AF7" s="631"/>
      <c r="AG7" s="540"/>
      <c r="AH7" s="540"/>
      <c r="AK7" s="268"/>
      <c r="AL7" s="295"/>
      <c r="AM7" s="268"/>
    </row>
    <row r="8" spans="1:39" x14ac:dyDescent="0.45">
      <c r="A8" s="227"/>
      <c r="B8" s="236" t="s">
        <v>33</v>
      </c>
      <c r="C8" s="244">
        <f>20.5</f>
        <v>20.5</v>
      </c>
      <c r="D8" s="250" t="s">
        <v>0</v>
      </c>
      <c r="H8" s="225"/>
      <c r="R8" s="540"/>
      <c r="S8" s="540"/>
      <c r="T8" s="631"/>
      <c r="U8" s="631"/>
      <c r="X8" s="268"/>
      <c r="Y8" s="295"/>
      <c r="Z8" s="268"/>
    </row>
    <row r="9" spans="1:39" x14ac:dyDescent="0.45">
      <c r="A9" s="232"/>
      <c r="B9" s="238" t="s">
        <v>11</v>
      </c>
      <c r="C9" s="226">
        <v>50</v>
      </c>
      <c r="D9" s="251" t="s">
        <v>122</v>
      </c>
      <c r="H9" s="225"/>
      <c r="R9" s="540"/>
      <c r="S9" s="540"/>
      <c r="T9" s="631"/>
      <c r="U9" s="631"/>
      <c r="X9" s="268"/>
      <c r="Y9" s="295"/>
      <c r="Z9" s="268"/>
    </row>
    <row r="10" spans="1:39" x14ac:dyDescent="0.45">
      <c r="A10" s="232"/>
      <c r="B10" s="238" t="s">
        <v>183</v>
      </c>
      <c r="C10" s="226">
        <v>0.9</v>
      </c>
      <c r="D10" s="251" t="s">
        <v>22</v>
      </c>
      <c r="H10" s="225"/>
      <c r="R10" s="540"/>
      <c r="S10" s="540"/>
      <c r="T10" s="631"/>
      <c r="U10" s="740"/>
      <c r="V10" s="268"/>
    </row>
    <row r="11" spans="1:39" x14ac:dyDescent="0.45">
      <c r="A11" s="232"/>
      <c r="B11" s="464" t="s">
        <v>109</v>
      </c>
      <c r="C11" s="226">
        <v>30</v>
      </c>
      <c r="D11" s="251" t="s">
        <v>12</v>
      </c>
      <c r="H11" s="225"/>
      <c r="R11" s="540"/>
      <c r="S11" s="540"/>
      <c r="T11" s="631"/>
      <c r="U11" s="740"/>
      <c r="V11" s="268"/>
    </row>
    <row r="12" spans="1:39" x14ac:dyDescent="0.45">
      <c r="A12" s="232"/>
      <c r="B12" s="464" t="s">
        <v>196</v>
      </c>
      <c r="C12" s="519">
        <v>14.5</v>
      </c>
      <c r="D12" s="478" t="s">
        <v>17</v>
      </c>
      <c r="H12" s="225"/>
      <c r="R12" s="540"/>
      <c r="S12" s="540"/>
      <c r="T12" s="631"/>
      <c r="U12" s="740"/>
      <c r="V12" s="268"/>
    </row>
    <row r="13" spans="1:39" x14ac:dyDescent="0.45">
      <c r="A13" s="227"/>
      <c r="B13" s="463" t="s">
        <v>197</v>
      </c>
      <c r="C13" s="519">
        <v>20.61</v>
      </c>
      <c r="D13" s="478" t="s">
        <v>17</v>
      </c>
      <c r="H13" s="225"/>
      <c r="R13" s="540"/>
      <c r="S13" s="540"/>
      <c r="T13" s="631"/>
      <c r="U13" s="740"/>
      <c r="V13" s="268"/>
      <c r="W13" s="268"/>
    </row>
    <row r="14" spans="1:39" x14ac:dyDescent="0.45">
      <c r="A14" s="227"/>
      <c r="B14" s="463" t="s">
        <v>198</v>
      </c>
      <c r="C14" s="519">
        <v>27.27</v>
      </c>
      <c r="D14" s="478" t="s">
        <v>17</v>
      </c>
      <c r="E14" s="223"/>
      <c r="H14" s="225"/>
      <c r="R14" s="540"/>
      <c r="S14" s="540"/>
      <c r="T14" s="631"/>
      <c r="U14" s="740"/>
      <c r="V14" s="268"/>
      <c r="W14" s="268"/>
    </row>
    <row r="15" spans="1:39" x14ac:dyDescent="0.45">
      <c r="A15" s="227"/>
      <c r="B15" s="463" t="s">
        <v>199</v>
      </c>
      <c r="C15" s="482">
        <v>1.325</v>
      </c>
      <c r="D15" s="480" t="s">
        <v>22</v>
      </c>
      <c r="H15" s="225"/>
      <c r="L15" s="228"/>
      <c r="N15" s="223"/>
      <c r="R15" s="540"/>
      <c r="S15" s="540"/>
      <c r="T15" s="631"/>
      <c r="U15" s="740"/>
      <c r="V15" s="268"/>
      <c r="W15" s="268"/>
    </row>
    <row r="16" spans="1:39" x14ac:dyDescent="0.45">
      <c r="A16" s="227"/>
      <c r="B16" s="238" t="s">
        <v>19</v>
      </c>
      <c r="C16" s="483">
        <v>6.8900000000000003E-2</v>
      </c>
      <c r="D16" s="251" t="s">
        <v>139</v>
      </c>
      <c r="H16" s="225"/>
      <c r="L16" s="228"/>
      <c r="R16" s="540"/>
      <c r="S16" s="540"/>
      <c r="T16" s="631"/>
      <c r="U16" s="740"/>
      <c r="V16" s="268"/>
      <c r="W16" s="268"/>
    </row>
    <row r="17" spans="1:23" x14ac:dyDescent="0.45">
      <c r="A17" s="227"/>
      <c r="B17" s="452" t="s">
        <v>43</v>
      </c>
      <c r="C17" s="455">
        <v>0</v>
      </c>
      <c r="D17" s="454" t="s">
        <v>44</v>
      </c>
      <c r="E17" s="223"/>
      <c r="H17" s="225"/>
      <c r="R17" s="540"/>
      <c r="S17" s="540"/>
      <c r="T17" s="631"/>
      <c r="U17" s="740"/>
      <c r="V17" s="268"/>
      <c r="W17" s="268"/>
    </row>
    <row r="18" spans="1:23" ht="14.65" thickBot="1" x14ac:dyDescent="0.5">
      <c r="A18" s="227"/>
      <c r="B18" s="465" t="s">
        <v>185</v>
      </c>
      <c r="C18" s="484">
        <v>97</v>
      </c>
      <c r="D18" s="481" t="s">
        <v>0</v>
      </c>
      <c r="H18" s="225"/>
      <c r="R18" s="640"/>
      <c r="S18" s="540"/>
      <c r="T18" s="631"/>
      <c r="U18" s="740"/>
      <c r="V18" s="268"/>
      <c r="W18" s="268"/>
    </row>
    <row r="19" spans="1:23" s="272" customFormat="1" x14ac:dyDescent="0.45">
      <c r="A19" s="227"/>
      <c r="B19" s="222"/>
      <c r="C19" s="222"/>
      <c r="D19" s="222"/>
      <c r="E19" s="293"/>
      <c r="F19" s="222"/>
      <c r="H19" s="225"/>
      <c r="R19" s="540"/>
      <c r="S19" s="540"/>
      <c r="T19" s="631"/>
      <c r="U19" s="741"/>
      <c r="V19" s="276"/>
      <c r="W19" s="276"/>
    </row>
    <row r="20" spans="1:23" ht="28.9" thickBot="1" x14ac:dyDescent="0.9">
      <c r="A20" s="227"/>
      <c r="B20" s="242" t="s">
        <v>165</v>
      </c>
      <c r="E20" s="223"/>
      <c r="H20" s="225"/>
      <c r="R20" s="540"/>
      <c r="S20" s="540"/>
      <c r="T20" s="631"/>
      <c r="U20" s="740"/>
      <c r="V20" s="268"/>
      <c r="W20" s="268"/>
    </row>
    <row r="21" spans="1:23" s="540" customFormat="1" x14ac:dyDescent="0.45">
      <c r="A21" s="545"/>
      <c r="B21" s="743" t="s">
        <v>237</v>
      </c>
      <c r="C21" s="897">
        <f>G49</f>
        <v>0.4065733639861876</v>
      </c>
      <c r="D21" s="571" t="s">
        <v>138</v>
      </c>
      <c r="E21" s="541"/>
      <c r="H21" s="543"/>
      <c r="T21" s="631"/>
      <c r="U21" s="740"/>
      <c r="V21" s="631"/>
      <c r="W21" s="631"/>
    </row>
    <row r="22" spans="1:23" ht="15.75" x14ac:dyDescent="0.45">
      <c r="A22" s="227"/>
      <c r="B22" s="555" t="s">
        <v>237</v>
      </c>
      <c r="C22" s="898">
        <f>F49</f>
        <v>83.347539617168465</v>
      </c>
      <c r="D22" s="480" t="s">
        <v>334</v>
      </c>
      <c r="N22" s="225"/>
      <c r="R22" s="540"/>
      <c r="S22" s="547"/>
      <c r="T22" s="631"/>
      <c r="U22" s="740"/>
      <c r="V22" s="268"/>
      <c r="W22" s="268"/>
    </row>
    <row r="23" spans="1:23" s="540" customFormat="1" x14ac:dyDescent="0.45">
      <c r="A23" s="545"/>
      <c r="B23" s="555" t="s">
        <v>127</v>
      </c>
      <c r="C23" s="899">
        <f>IF(AND(X325&lt;0.1,X325&gt;-0.1),C206,0)</f>
        <v>0.50589456099653207</v>
      </c>
      <c r="D23" s="572" t="s">
        <v>138</v>
      </c>
      <c r="F23" s="991"/>
      <c r="H23" s="543"/>
      <c r="N23" s="543"/>
      <c r="S23" s="547"/>
      <c r="T23" s="631"/>
      <c r="U23" s="740"/>
      <c r="V23" s="631"/>
      <c r="W23" s="631"/>
    </row>
    <row r="24" spans="1:23" ht="15.75" x14ac:dyDescent="0.45">
      <c r="A24" s="442"/>
      <c r="B24" s="555" t="s">
        <v>127</v>
      </c>
      <c r="C24" s="898">
        <f>C23*$C$58/$C$57</f>
        <v>103.70838500428907</v>
      </c>
      <c r="D24" s="572" t="s">
        <v>334</v>
      </c>
      <c r="F24" s="272"/>
      <c r="N24" s="225"/>
      <c r="R24" s="540"/>
      <c r="S24" s="540"/>
      <c r="T24" s="631"/>
      <c r="U24" s="540"/>
      <c r="V24" s="268"/>
      <c r="W24" s="268"/>
    </row>
    <row r="25" spans="1:23" ht="14.65" thickBot="1" x14ac:dyDescent="0.5">
      <c r="A25" s="227"/>
      <c r="B25" s="558" t="s">
        <v>50</v>
      </c>
      <c r="C25" s="900">
        <f>C62*1000*C55/C58*(1/(C151))</f>
        <v>0.59383698562947507</v>
      </c>
      <c r="D25" s="638" t="s">
        <v>49</v>
      </c>
      <c r="R25" s="540"/>
      <c r="S25" s="553"/>
      <c r="T25" s="631"/>
      <c r="U25" s="540"/>
      <c r="V25" s="268"/>
      <c r="W25" s="268"/>
    </row>
    <row r="26" spans="1:23" x14ac:dyDescent="0.45">
      <c r="A26" s="227"/>
      <c r="R26" s="540"/>
      <c r="S26" s="540"/>
      <c r="T26" s="631"/>
      <c r="U26" s="631"/>
      <c r="V26" s="268"/>
      <c r="W26" s="268"/>
    </row>
    <row r="27" spans="1:23" ht="14.65" thickBot="1" x14ac:dyDescent="0.5">
      <c r="A27" s="227"/>
      <c r="R27" s="540"/>
      <c r="S27" s="548"/>
      <c r="T27" s="631"/>
      <c r="U27" s="631"/>
      <c r="V27" s="268"/>
      <c r="W27" s="268"/>
    </row>
    <row r="28" spans="1:23" ht="28.9" thickBot="1" x14ac:dyDescent="0.9">
      <c r="A28" s="227"/>
      <c r="B28" s="242" t="s">
        <v>149</v>
      </c>
      <c r="H28" s="540"/>
      <c r="I28" s="1068" t="s">
        <v>173</v>
      </c>
      <c r="J28" s="1069"/>
      <c r="K28" s="1070"/>
      <c r="L28" s="1068" t="s">
        <v>282</v>
      </c>
      <c r="M28" s="1069"/>
      <c r="N28" s="1070"/>
      <c r="O28" s="540"/>
    </row>
    <row r="29" spans="1:23" ht="16.149999999999999" thickBot="1" x14ac:dyDescent="0.5">
      <c r="A29" s="227"/>
      <c r="B29" s="246" t="s">
        <v>37</v>
      </c>
      <c r="C29" s="243" t="s">
        <v>5</v>
      </c>
      <c r="D29" s="566" t="s">
        <v>172</v>
      </c>
      <c r="E29" s="564" t="s">
        <v>278</v>
      </c>
      <c r="F29" s="881" t="s">
        <v>329</v>
      </c>
      <c r="G29" s="275" t="s">
        <v>171</v>
      </c>
      <c r="H29" s="563" t="s">
        <v>42</v>
      </c>
      <c r="I29" s="691" t="s">
        <v>30</v>
      </c>
      <c r="J29" s="692" t="s">
        <v>52</v>
      </c>
      <c r="K29" s="692" t="s">
        <v>32</v>
      </c>
      <c r="L29" s="691" t="s">
        <v>30</v>
      </c>
      <c r="M29" s="692" t="s">
        <v>52</v>
      </c>
      <c r="N29" s="693" t="s">
        <v>32</v>
      </c>
      <c r="O29" s="548"/>
    </row>
    <row r="30" spans="1:23" x14ac:dyDescent="0.45">
      <c r="A30" s="227"/>
      <c r="B30" s="316" t="s">
        <v>24</v>
      </c>
      <c r="C30" s="768">
        <f>C65</f>
        <v>9.9862296433725004E-2</v>
      </c>
      <c r="D30" s="252"/>
      <c r="E30" s="395">
        <v>1</v>
      </c>
      <c r="F30" s="883">
        <f t="shared" ref="F30:F48" si="0">G30*$C$58/$C$57</f>
        <v>3.6520974616212709</v>
      </c>
      <c r="G30" s="724">
        <f>(C30*$C$55/$C$58+D30)*E30</f>
        <v>1.7815109568884251E-2</v>
      </c>
      <c r="H30" s="721">
        <f t="shared" ref="H30:H48" si="1">G30/$G$49</f>
        <v>4.3817699699308092E-2</v>
      </c>
      <c r="I30" s="840">
        <f>G30</f>
        <v>1.7815109568884251E-2</v>
      </c>
      <c r="J30" s="575"/>
      <c r="K30" s="575"/>
      <c r="L30" s="854"/>
      <c r="M30" s="698"/>
      <c r="N30" s="699"/>
      <c r="O30" s="548"/>
    </row>
    <row r="31" spans="1:23" x14ac:dyDescent="0.45">
      <c r="A31" s="545"/>
      <c r="B31" s="320" t="s">
        <v>89</v>
      </c>
      <c r="C31" s="589"/>
      <c r="D31" s="291" t="s">
        <v>57</v>
      </c>
      <c r="E31" s="705" t="s">
        <v>57</v>
      </c>
      <c r="F31" s="884">
        <f t="shared" si="0"/>
        <v>14.979301085851054</v>
      </c>
      <c r="G31" s="725">
        <f>SUM(I31:K31)</f>
        <v>7.3069761394395388E-2</v>
      </c>
      <c r="H31" s="664">
        <f t="shared" si="1"/>
        <v>0.17972097502402487</v>
      </c>
      <c r="I31" s="841">
        <f>(F82+F83)</f>
        <v>4.1508168668154918E-2</v>
      </c>
      <c r="J31" s="590">
        <f>(F84)</f>
        <v>2.2316584636158925E-2</v>
      </c>
      <c r="K31" s="590">
        <f>(F85)</f>
        <v>9.2450080900815506E-3</v>
      </c>
      <c r="L31" s="855"/>
      <c r="M31" s="706"/>
      <c r="N31" s="707"/>
      <c r="O31" s="540"/>
    </row>
    <row r="32" spans="1:23" x14ac:dyDescent="0.45">
      <c r="A32" s="227"/>
      <c r="B32" s="330" t="s">
        <v>61</v>
      </c>
      <c r="C32" s="708"/>
      <c r="D32" s="291" t="s">
        <v>57</v>
      </c>
      <c r="E32" s="402">
        <v>1</v>
      </c>
      <c r="F32" s="885">
        <f t="shared" si="0"/>
        <v>5.4831280145153487</v>
      </c>
      <c r="G32" s="726">
        <f>SUM(I32:K32)</f>
        <v>2.674696592446512E-2</v>
      </c>
      <c r="H32" s="722">
        <f t="shared" si="1"/>
        <v>6.5786321224362815E-2</v>
      </c>
      <c r="I32" s="842">
        <f>(D92+D93+L32)*E32</f>
        <v>1.5082983741197042E-2</v>
      </c>
      <c r="J32" s="709">
        <f>(D94+M32)*E32</f>
        <v>8.1664238129053688E-3</v>
      </c>
      <c r="K32" s="709">
        <f>(D95+N32)*E32</f>
        <v>3.4975583703627101E-3</v>
      </c>
      <c r="L32" s="856"/>
      <c r="M32" s="710"/>
      <c r="N32" s="712"/>
      <c r="O32" s="540"/>
      <c r="T32" s="268"/>
    </row>
    <row r="33" spans="1:36" x14ac:dyDescent="0.45">
      <c r="A33" s="227"/>
      <c r="B33" s="319" t="s">
        <v>25</v>
      </c>
      <c r="C33" s="586"/>
      <c r="D33" s="291" t="s">
        <v>57</v>
      </c>
      <c r="E33" s="396">
        <v>1</v>
      </c>
      <c r="F33" s="886">
        <f t="shared" si="0"/>
        <v>7.7162493178629727</v>
      </c>
      <c r="G33" s="727">
        <f>(SUM(I33:K33))</f>
        <v>3.7640240574941336E-2</v>
      </c>
      <c r="H33" s="668">
        <f t="shared" si="1"/>
        <v>9.2579209336054971E-2</v>
      </c>
      <c r="I33" s="843">
        <f>(G100+G101+L33)*E33</f>
        <v>1.5365323662060679E-2</v>
      </c>
      <c r="J33" s="587">
        <f>(G102+M33)*E33</f>
        <v>1.1955031416614088E-2</v>
      </c>
      <c r="K33" s="587">
        <f>(G103+N33)*E33</f>
        <v>1.031988549626657E-2</v>
      </c>
      <c r="L33" s="647"/>
      <c r="M33" s="587"/>
      <c r="N33" s="690"/>
      <c r="O33" s="540"/>
      <c r="P33" s="540"/>
      <c r="Q33" s="540"/>
      <c r="R33" s="540"/>
      <c r="S33" s="540"/>
      <c r="T33" s="268"/>
    </row>
    <row r="34" spans="1:36" x14ac:dyDescent="0.45">
      <c r="A34" s="227"/>
      <c r="B34" s="317" t="s">
        <v>20</v>
      </c>
      <c r="C34" s="585"/>
      <c r="D34" s="291" t="s">
        <v>57</v>
      </c>
      <c r="E34" s="397">
        <v>1</v>
      </c>
      <c r="F34" s="887">
        <f t="shared" si="0"/>
        <v>5.9678719249441139</v>
      </c>
      <c r="G34" s="728">
        <f>(SUM(I34:K34))</f>
        <v>2.9111570365581048E-2</v>
      </c>
      <c r="H34" s="667">
        <f t="shared" si="1"/>
        <v>7.1602256675550563E-2</v>
      </c>
      <c r="I34" s="844">
        <f>(E141+E142+L34)*E34</f>
        <v>1.0784518865010377E-2</v>
      </c>
      <c r="J34" s="577">
        <f>(E143+M34)*E34</f>
        <v>1.6018502596899815E-2</v>
      </c>
      <c r="K34" s="577">
        <f>(E144+N34)*E34</f>
        <v>2.3085489036708553E-3</v>
      </c>
      <c r="L34" s="684"/>
      <c r="M34" s="577"/>
      <c r="N34" s="685"/>
      <c r="O34" s="540"/>
      <c r="P34" s="540"/>
      <c r="Q34" s="540"/>
      <c r="R34" s="540"/>
      <c r="S34" s="540"/>
      <c r="T34" s="268"/>
      <c r="U34" s="268"/>
      <c r="V34" s="268"/>
      <c r="W34" s="268"/>
    </row>
    <row r="35" spans="1:36" x14ac:dyDescent="0.45">
      <c r="A35" s="227"/>
      <c r="B35" s="332" t="s">
        <v>29</v>
      </c>
      <c r="C35" s="749">
        <f>C169</f>
        <v>0.13592558235415381</v>
      </c>
      <c r="D35" s="303"/>
      <c r="E35" s="404">
        <v>1</v>
      </c>
      <c r="F35" s="888">
        <f t="shared" si="0"/>
        <v>4.9709799595330741</v>
      </c>
      <c r="G35" s="753">
        <f>(C35*$C$55/$C$58+D35)*E35</f>
        <v>2.4248682729429632E-2</v>
      </c>
      <c r="H35" s="754">
        <f t="shared" si="1"/>
        <v>5.9641592089769623E-2</v>
      </c>
      <c r="I35" s="845"/>
      <c r="J35" s="755">
        <f>G35</f>
        <v>2.4248682729429632E-2</v>
      </c>
      <c r="K35" s="755"/>
      <c r="L35" s="857"/>
      <c r="M35" s="694"/>
      <c r="N35" s="696"/>
      <c r="O35" s="540"/>
      <c r="P35" s="540"/>
      <c r="Q35" s="540"/>
      <c r="R35" s="540"/>
      <c r="S35" s="540"/>
      <c r="T35" s="268"/>
      <c r="U35" s="268"/>
      <c r="V35" s="268"/>
      <c r="W35" s="268"/>
    </row>
    <row r="36" spans="1:36" x14ac:dyDescent="0.45">
      <c r="A36" s="227"/>
      <c r="B36" s="343" t="s">
        <v>207</v>
      </c>
      <c r="C36" s="669"/>
      <c r="D36" s="289"/>
      <c r="E36" s="401">
        <v>0</v>
      </c>
      <c r="F36" s="889">
        <f t="shared" si="0"/>
        <v>0</v>
      </c>
      <c r="G36" s="730">
        <f>(C111+D36)*E36</f>
        <v>0</v>
      </c>
      <c r="H36" s="671">
        <f t="shared" si="1"/>
        <v>0</v>
      </c>
      <c r="I36" s="846">
        <f>G36</f>
        <v>0</v>
      </c>
      <c r="J36" s="702"/>
      <c r="K36" s="702"/>
      <c r="L36" s="857"/>
      <c r="M36" s="695"/>
      <c r="N36" s="696"/>
      <c r="O36" s="540"/>
      <c r="P36" s="540"/>
      <c r="Q36" s="540"/>
      <c r="R36" s="540"/>
      <c r="S36" s="540"/>
      <c r="T36" s="268"/>
      <c r="U36" s="268"/>
      <c r="V36" s="268"/>
      <c r="W36" s="268"/>
    </row>
    <row r="37" spans="1:36" x14ac:dyDescent="0.45">
      <c r="A37" s="227"/>
      <c r="B37" s="340" t="s">
        <v>208</v>
      </c>
      <c r="C37" s="578">
        <f>C124</f>
        <v>0</v>
      </c>
      <c r="D37" s="253"/>
      <c r="E37" s="399">
        <v>0</v>
      </c>
      <c r="F37" s="890">
        <f t="shared" si="0"/>
        <v>0</v>
      </c>
      <c r="G37" s="731">
        <f>(C37*$C$55/$C$58+D37)*E37</f>
        <v>0</v>
      </c>
      <c r="H37" s="723">
        <f t="shared" si="1"/>
        <v>0</v>
      </c>
      <c r="I37" s="847">
        <f>G37</f>
        <v>0</v>
      </c>
      <c r="J37" s="581"/>
      <c r="K37" s="581"/>
      <c r="L37" s="858"/>
      <c r="M37" s="695"/>
      <c r="N37" s="696"/>
      <c r="O37" s="540"/>
      <c r="P37" s="540"/>
      <c r="Q37" s="540"/>
      <c r="R37" s="540"/>
      <c r="S37" s="540"/>
      <c r="T37" s="268"/>
      <c r="U37" s="268"/>
      <c r="V37" s="268"/>
      <c r="W37" s="268"/>
    </row>
    <row r="38" spans="1:36" s="458" customFormat="1" x14ac:dyDescent="0.45">
      <c r="A38" s="459"/>
      <c r="B38" s="65" t="s">
        <v>209</v>
      </c>
      <c r="C38" s="662">
        <f>C132</f>
        <v>0</v>
      </c>
      <c r="D38" s="514"/>
      <c r="E38" s="515">
        <v>0</v>
      </c>
      <c r="F38" s="891">
        <f t="shared" si="0"/>
        <v>0</v>
      </c>
      <c r="G38" s="516">
        <f>(C38*$C$55/$C$58+D38)*E38</f>
        <v>0</v>
      </c>
      <c r="H38" s="762">
        <f t="shared" si="1"/>
        <v>0</v>
      </c>
      <c r="I38" s="848">
        <f>G38</f>
        <v>0</v>
      </c>
      <c r="J38" s="517"/>
      <c r="K38" s="517"/>
      <c r="L38" s="858"/>
      <c r="M38" s="695"/>
      <c r="N38" s="696"/>
      <c r="O38" s="540"/>
      <c r="P38" s="540"/>
      <c r="Q38" s="540"/>
      <c r="R38" s="540"/>
      <c r="S38" s="540"/>
      <c r="T38" s="473"/>
      <c r="U38" s="473"/>
      <c r="V38" s="473"/>
      <c r="W38" s="473"/>
    </row>
    <row r="39" spans="1:36" x14ac:dyDescent="0.45">
      <c r="A39" s="227"/>
      <c r="B39" s="264" t="s">
        <v>10</v>
      </c>
      <c r="C39" s="616"/>
      <c r="D39" s="265"/>
      <c r="E39" s="398">
        <v>1</v>
      </c>
      <c r="F39" s="892">
        <f t="shared" si="0"/>
        <v>7.3737373737373737</v>
      </c>
      <c r="G39" s="729">
        <f>(F185+D39)*E39</f>
        <v>3.596945060359695E-2</v>
      </c>
      <c r="H39" s="652">
        <f t="shared" si="1"/>
        <v>8.8469766565472618E-2</v>
      </c>
      <c r="I39" s="849"/>
      <c r="J39" s="619"/>
      <c r="K39" s="619">
        <f>G39</f>
        <v>3.596945060359695E-2</v>
      </c>
      <c r="L39" s="857"/>
      <c r="M39" s="695"/>
      <c r="N39" s="697"/>
      <c r="O39" s="540"/>
      <c r="P39" s="540"/>
      <c r="Q39" s="540"/>
      <c r="R39" s="540"/>
      <c r="S39" s="540"/>
      <c r="T39" s="268"/>
      <c r="U39" s="268"/>
      <c r="V39" s="268"/>
      <c r="W39" s="268"/>
    </row>
    <row r="40" spans="1:36" x14ac:dyDescent="0.45">
      <c r="A40" s="227"/>
      <c r="B40" s="264" t="s">
        <v>7</v>
      </c>
      <c r="C40" s="616"/>
      <c r="D40" s="265"/>
      <c r="E40" s="398">
        <v>1</v>
      </c>
      <c r="F40" s="892">
        <f t="shared" si="0"/>
        <v>8.5297344841504383</v>
      </c>
      <c r="G40" s="729">
        <f>(F181+D40)*E40</f>
        <v>4.1608460898294827E-2</v>
      </c>
      <c r="H40" s="652">
        <f t="shared" si="1"/>
        <v>0.10233936746458477</v>
      </c>
      <c r="I40" s="849"/>
      <c r="J40" s="619"/>
      <c r="K40" s="619">
        <f>G40</f>
        <v>4.1608460898294827E-2</v>
      </c>
      <c r="L40" s="857"/>
      <c r="M40" s="695"/>
      <c r="N40" s="697"/>
      <c r="O40" s="540"/>
      <c r="P40" s="540"/>
      <c r="Q40" s="540"/>
      <c r="R40" s="540"/>
      <c r="S40" s="540"/>
      <c r="T40" s="540"/>
      <c r="U40" s="540"/>
      <c r="V40" s="540"/>
      <c r="W40" s="631"/>
      <c r="X40" s="631"/>
      <c r="Y40" s="631"/>
      <c r="Z40" s="631"/>
      <c r="AA40" s="631"/>
      <c r="AB40" s="631"/>
      <c r="AC40" s="631"/>
      <c r="AD40" s="631"/>
      <c r="AE40" s="268"/>
      <c r="AF40" s="268"/>
      <c r="AG40" s="268"/>
      <c r="AH40" s="268"/>
      <c r="AI40" s="268"/>
      <c r="AJ40" s="268"/>
    </row>
    <row r="41" spans="1:36" x14ac:dyDescent="0.45">
      <c r="A41" s="227"/>
      <c r="B41" s="264" t="s">
        <v>6</v>
      </c>
      <c r="C41" s="616"/>
      <c r="D41" s="265"/>
      <c r="E41" s="398">
        <v>1</v>
      </c>
      <c r="F41" s="892">
        <f t="shared" si="0"/>
        <v>5.0505050505050502</v>
      </c>
      <c r="G41" s="729">
        <f>(F184+D41)*E41</f>
        <v>2.4636610002463661E-2</v>
      </c>
      <c r="H41" s="652">
        <f t="shared" si="1"/>
        <v>6.0595730524296308E-2</v>
      </c>
      <c r="I41" s="849"/>
      <c r="J41" s="619"/>
      <c r="K41" s="619">
        <f>G41</f>
        <v>2.4636610002463661E-2</v>
      </c>
      <c r="L41" s="857"/>
      <c r="M41" s="695"/>
      <c r="N41" s="697"/>
      <c r="O41" s="540"/>
      <c r="P41" s="540"/>
      <c r="Q41" s="540"/>
      <c r="R41" s="540"/>
      <c r="S41" s="540"/>
      <c r="T41" s="540"/>
      <c r="U41" s="540"/>
      <c r="V41" s="540"/>
      <c r="W41" s="631"/>
      <c r="X41" s="631"/>
      <c r="Y41" s="631"/>
      <c r="Z41" s="631"/>
      <c r="AA41" s="631"/>
      <c r="AB41" s="631"/>
      <c r="AC41" s="631"/>
      <c r="AD41" s="631"/>
      <c r="AE41" s="268"/>
      <c r="AF41" s="268"/>
      <c r="AG41" s="268"/>
      <c r="AH41" s="268"/>
      <c r="AI41" s="268"/>
      <c r="AJ41" s="268"/>
    </row>
    <row r="42" spans="1:36" x14ac:dyDescent="0.45">
      <c r="A42" s="227"/>
      <c r="B42" s="264" t="s">
        <v>8</v>
      </c>
      <c r="C42" s="616"/>
      <c r="D42" s="265"/>
      <c r="E42" s="398">
        <v>1</v>
      </c>
      <c r="F42" s="892">
        <f t="shared" si="0"/>
        <v>3.6940742068947201</v>
      </c>
      <c r="G42" s="729">
        <f>(F188+D42)*E42</f>
        <v>1.8019874179974246E-2</v>
      </c>
      <c r="H42" s="652">
        <f t="shared" si="1"/>
        <v>4.4321334785193726E-2</v>
      </c>
      <c r="I42" s="849"/>
      <c r="J42" s="619"/>
      <c r="K42" s="619">
        <f>G42</f>
        <v>1.8019874179974246E-2</v>
      </c>
      <c r="L42" s="857"/>
      <c r="M42" s="695"/>
      <c r="N42" s="697"/>
      <c r="O42" s="540"/>
      <c r="P42" s="540"/>
      <c r="Q42" s="631"/>
      <c r="R42" s="540"/>
      <c r="S42" s="540"/>
      <c r="T42" s="540"/>
      <c r="U42" s="540"/>
      <c r="V42" s="540"/>
      <c r="W42" s="631"/>
      <c r="X42" s="631"/>
      <c r="Y42" s="631"/>
      <c r="Z42" s="631"/>
      <c r="AA42" s="631"/>
      <c r="AB42" s="631"/>
      <c r="AC42" s="631"/>
      <c r="AD42" s="631"/>
      <c r="AE42" s="268"/>
      <c r="AF42" s="268"/>
      <c r="AG42" s="268"/>
      <c r="AH42" s="268"/>
      <c r="AI42" s="268"/>
      <c r="AJ42" s="268"/>
    </row>
    <row r="43" spans="1:36" x14ac:dyDescent="0.45">
      <c r="A43" s="227"/>
      <c r="B43" s="264" t="s">
        <v>80</v>
      </c>
      <c r="C43" s="616">
        <v>0.1</v>
      </c>
      <c r="D43" s="265"/>
      <c r="E43" s="398">
        <v>1</v>
      </c>
      <c r="F43" s="892">
        <f t="shared" si="0"/>
        <v>3.6571334648257725</v>
      </c>
      <c r="G43" s="729">
        <f>(C43*$C$55/$C$58+D43)*E43</f>
        <v>1.7839675438174503E-2</v>
      </c>
      <c r="H43" s="652">
        <f t="shared" si="1"/>
        <v>4.3878121437341787E-2</v>
      </c>
      <c r="I43" s="849"/>
      <c r="J43" s="619">
        <f>G43</f>
        <v>1.7839675438174503E-2</v>
      </c>
      <c r="K43" s="619"/>
      <c r="L43" s="857"/>
      <c r="M43" s="694"/>
      <c r="N43" s="696"/>
      <c r="O43" s="540"/>
      <c r="P43" s="540"/>
      <c r="Q43" s="631"/>
      <c r="R43" s="540"/>
      <c r="S43" s="540"/>
      <c r="T43" s="540"/>
      <c r="U43" s="540"/>
      <c r="V43" s="540"/>
      <c r="W43" s="631"/>
      <c r="X43" s="631"/>
      <c r="Y43" s="631"/>
      <c r="Z43" s="631"/>
      <c r="AA43" s="631"/>
      <c r="AB43" s="631"/>
      <c r="AC43" s="631"/>
      <c r="AD43" s="631"/>
      <c r="AE43" s="268"/>
      <c r="AF43" s="268"/>
      <c r="AG43" s="268"/>
      <c r="AH43" s="268"/>
      <c r="AI43" s="268"/>
      <c r="AJ43" s="268"/>
    </row>
    <row r="44" spans="1:36" x14ac:dyDescent="0.45">
      <c r="A44" s="227"/>
      <c r="B44" s="615" t="s">
        <v>87</v>
      </c>
      <c r="C44" s="616"/>
      <c r="D44" s="265"/>
      <c r="E44" s="398">
        <v>1</v>
      </c>
      <c r="F44" s="892">
        <f t="shared" si="0"/>
        <v>7.0707070707070701</v>
      </c>
      <c r="G44" s="729">
        <f>(F183+D44)*E44</f>
        <v>3.4491254003449129E-2</v>
      </c>
      <c r="H44" s="652">
        <f t="shared" si="1"/>
        <v>8.4834022734014844E-2</v>
      </c>
      <c r="I44" s="849"/>
      <c r="J44" s="619"/>
      <c r="K44" s="619">
        <f>G44</f>
        <v>3.4491254003449129E-2</v>
      </c>
      <c r="L44" s="857"/>
      <c r="M44" s="695"/>
      <c r="N44" s="697"/>
      <c r="O44" s="540"/>
      <c r="P44" s="540"/>
      <c r="Q44" s="540"/>
      <c r="R44" s="540"/>
      <c r="S44" s="540"/>
      <c r="T44" s="540"/>
      <c r="U44" s="540"/>
      <c r="V44" s="540"/>
      <c r="W44" s="631"/>
      <c r="X44" s="631"/>
      <c r="Y44" s="631"/>
      <c r="Z44" s="631"/>
      <c r="AA44" s="631"/>
      <c r="AB44" s="631"/>
      <c r="AC44" s="631"/>
      <c r="AD44" s="631"/>
      <c r="AE44" s="268"/>
      <c r="AF44" s="268"/>
      <c r="AG44" s="268"/>
      <c r="AH44" s="268"/>
      <c r="AI44" s="268"/>
      <c r="AJ44" s="268"/>
    </row>
    <row r="45" spans="1:36" x14ac:dyDescent="0.45">
      <c r="A45" s="227"/>
      <c r="B45" s="264" t="s">
        <v>9</v>
      </c>
      <c r="C45" s="616"/>
      <c r="D45" s="266"/>
      <c r="E45" s="398">
        <v>1</v>
      </c>
      <c r="F45" s="892">
        <f t="shared" si="0"/>
        <v>4.7474747474747465</v>
      </c>
      <c r="G45" s="729">
        <f>(F186+D45)*E45</f>
        <v>2.3158413402315843E-2</v>
      </c>
      <c r="H45" s="652">
        <f t="shared" si="1"/>
        <v>5.6959986692838534E-2</v>
      </c>
      <c r="I45" s="849"/>
      <c r="J45" s="619"/>
      <c r="K45" s="619">
        <f>G45</f>
        <v>2.3158413402315843E-2</v>
      </c>
      <c r="L45" s="857"/>
      <c r="M45" s="695"/>
      <c r="N45" s="697"/>
      <c r="O45" s="540"/>
      <c r="P45" s="540"/>
      <c r="Q45" s="540"/>
      <c r="R45" s="540"/>
      <c r="S45" s="540"/>
      <c r="T45" s="540"/>
      <c r="U45" s="540"/>
      <c r="V45" s="631"/>
      <c r="W45" s="631"/>
      <c r="X45" s="631"/>
      <c r="Y45" s="631"/>
      <c r="Z45" s="631"/>
      <c r="AA45" s="631"/>
      <c r="AB45" s="631"/>
      <c r="AC45" s="631"/>
      <c r="AD45" s="631"/>
      <c r="AE45" s="268"/>
      <c r="AF45" s="268"/>
      <c r="AG45" s="268"/>
      <c r="AH45" s="268"/>
      <c r="AI45" s="268"/>
      <c r="AJ45" s="268"/>
    </row>
    <row r="46" spans="1:36" x14ac:dyDescent="0.45">
      <c r="A46" s="227"/>
      <c r="B46" s="318" t="s">
        <v>21</v>
      </c>
      <c r="C46" s="582"/>
      <c r="D46" s="255"/>
      <c r="E46" s="400">
        <v>1</v>
      </c>
      <c r="F46" s="893">
        <f t="shared" si="0"/>
        <v>0.45454545454545459</v>
      </c>
      <c r="G46" s="732">
        <f>($C$158+D46)*E46</f>
        <v>2.2172949002217299E-3</v>
      </c>
      <c r="H46" s="665">
        <f t="shared" si="1"/>
        <v>5.4536157471866686E-3</v>
      </c>
      <c r="I46" s="850"/>
      <c r="J46" s="583"/>
      <c r="K46" s="583">
        <f>G46</f>
        <v>2.2172949002217299E-3</v>
      </c>
      <c r="L46" s="857"/>
      <c r="M46" s="695"/>
      <c r="N46" s="697"/>
      <c r="O46" s="540"/>
      <c r="P46" s="540"/>
      <c r="Q46" s="540"/>
      <c r="R46" s="540"/>
      <c r="S46" s="540"/>
      <c r="T46" s="540"/>
      <c r="U46" s="540"/>
      <c r="V46" s="631"/>
      <c r="W46" s="631"/>
      <c r="X46" s="631"/>
      <c r="Y46" s="631"/>
      <c r="Z46" s="631"/>
      <c r="AA46" s="631"/>
      <c r="AB46" s="631"/>
      <c r="AC46" s="631"/>
      <c r="AD46" s="631"/>
      <c r="AE46" s="268"/>
      <c r="AF46" s="268"/>
      <c r="AG46" s="268"/>
      <c r="AH46" s="268"/>
      <c r="AI46" s="268"/>
      <c r="AJ46" s="268"/>
    </row>
    <row r="47" spans="1:36" x14ac:dyDescent="0.45">
      <c r="A47" s="227"/>
      <c r="B47" s="380" t="s">
        <v>47</v>
      </c>
      <c r="C47" s="381">
        <f>C177</f>
        <v>0</v>
      </c>
      <c r="D47" s="382"/>
      <c r="E47" s="405">
        <v>0</v>
      </c>
      <c r="F47" s="894">
        <f t="shared" si="0"/>
        <v>0</v>
      </c>
      <c r="G47" s="383">
        <f>(C47*$C$55/$C$58+D47)*E47</f>
        <v>0</v>
      </c>
      <c r="H47" s="384">
        <f t="shared" si="1"/>
        <v>0</v>
      </c>
      <c r="I47" s="851"/>
      <c r="J47" s="385">
        <f>G47</f>
        <v>0</v>
      </c>
      <c r="K47" s="385"/>
      <c r="L47" s="857"/>
      <c r="M47" s="694"/>
      <c r="N47" s="696"/>
      <c r="O47" s="540"/>
      <c r="P47" s="540"/>
      <c r="Q47" s="540"/>
      <c r="R47" s="540"/>
      <c r="S47" s="540"/>
      <c r="T47" s="540"/>
      <c r="U47" s="540"/>
      <c r="V47" s="631"/>
      <c r="W47" s="631"/>
      <c r="X47" s="631"/>
      <c r="Y47" s="631"/>
      <c r="Z47" s="631"/>
      <c r="AA47" s="631"/>
      <c r="AB47" s="631"/>
      <c r="AC47" s="631"/>
      <c r="AD47" s="631"/>
      <c r="AE47" s="268"/>
      <c r="AF47" s="268"/>
      <c r="AG47" s="268"/>
      <c r="AH47" s="268"/>
      <c r="AI47" s="268"/>
      <c r="AJ47" s="268"/>
    </row>
    <row r="48" spans="1:36" ht="14.65" thickBot="1" x14ac:dyDescent="0.5">
      <c r="A48" s="227"/>
      <c r="B48" s="287" t="s">
        <v>45</v>
      </c>
      <c r="C48" s="653"/>
      <c r="D48" s="277"/>
      <c r="E48" s="403">
        <v>1</v>
      </c>
      <c r="F48" s="895">
        <f t="shared" si="0"/>
        <v>0</v>
      </c>
      <c r="G48" s="733">
        <f>(C193+D48)*E48</f>
        <v>0</v>
      </c>
      <c r="H48" s="763">
        <f t="shared" si="1"/>
        <v>0</v>
      </c>
      <c r="I48" s="852"/>
      <c r="J48" s="719"/>
      <c r="K48" s="719">
        <f>G48</f>
        <v>0</v>
      </c>
      <c r="L48" s="857"/>
      <c r="M48" s="695"/>
      <c r="N48" s="696"/>
      <c r="O48" s="540"/>
      <c r="P48" s="540"/>
      <c r="Q48" s="540"/>
      <c r="R48" s="540"/>
      <c r="S48" s="540"/>
      <c r="T48" s="540"/>
      <c r="U48" s="540"/>
      <c r="V48" s="631"/>
      <c r="W48" s="631"/>
      <c r="X48" s="631"/>
      <c r="Y48" s="631"/>
      <c r="Z48" s="631"/>
      <c r="AA48" s="631"/>
      <c r="AB48" s="631"/>
      <c r="AC48" s="631"/>
      <c r="AD48" s="631"/>
      <c r="AE48" s="268"/>
      <c r="AF48" s="268"/>
      <c r="AG48" s="268"/>
      <c r="AH48" s="268"/>
      <c r="AI48" s="268"/>
      <c r="AJ48" s="268"/>
    </row>
    <row r="49" spans="1:40" ht="14.65" thickBot="1" x14ac:dyDescent="0.5">
      <c r="A49" s="227"/>
      <c r="B49" s="247" t="s">
        <v>3</v>
      </c>
      <c r="C49" s="286"/>
      <c r="D49" s="224"/>
      <c r="E49" s="224"/>
      <c r="F49" s="882">
        <f t="shared" ref="F49:K49" si="2">SUM(F30:F48)</f>
        <v>83.347539617168465</v>
      </c>
      <c r="G49" s="573">
        <f t="shared" si="2"/>
        <v>0.4065733639861876</v>
      </c>
      <c r="H49" s="650">
        <f t="shared" si="2"/>
        <v>1.0000000000000002</v>
      </c>
      <c r="I49" s="853">
        <f t="shared" si="2"/>
        <v>0.10055610450530728</v>
      </c>
      <c r="J49" s="431">
        <f t="shared" si="2"/>
        <v>0.10054490063018234</v>
      </c>
      <c r="K49" s="431">
        <f t="shared" si="2"/>
        <v>0.20547235885069809</v>
      </c>
      <c r="L49" s="29"/>
      <c r="M49" s="431"/>
      <c r="N49" s="432"/>
      <c r="O49" s="540"/>
      <c r="P49" s="540"/>
      <c r="Q49" s="540"/>
      <c r="R49" s="540"/>
      <c r="S49" s="540"/>
      <c r="T49" s="540"/>
      <c r="U49" s="540"/>
      <c r="V49" s="631"/>
      <c r="W49" s="631"/>
      <c r="X49" s="631"/>
      <c r="Y49" s="631"/>
      <c r="Z49" s="631"/>
      <c r="AA49" s="631"/>
      <c r="AB49" s="631"/>
      <c r="AC49" s="631"/>
      <c r="AD49" s="631"/>
      <c r="AE49" s="268"/>
      <c r="AF49" s="268"/>
      <c r="AG49" s="268"/>
      <c r="AH49" s="268"/>
      <c r="AI49" s="268"/>
      <c r="AJ49" s="268"/>
    </row>
    <row r="50" spans="1:40" x14ac:dyDescent="0.45">
      <c r="A50" s="227"/>
      <c r="H50" s="225"/>
      <c r="J50" s="228"/>
      <c r="K50" s="228"/>
      <c r="Q50" s="230"/>
      <c r="R50" s="548"/>
      <c r="S50" s="540"/>
      <c r="T50" s="540"/>
      <c r="U50" s="540"/>
      <c r="V50" s="540"/>
      <c r="W50" s="540"/>
      <c r="X50" s="540"/>
      <c r="Y50" s="540"/>
      <c r="Z50" s="631"/>
      <c r="AA50" s="631"/>
      <c r="AB50" s="631"/>
      <c r="AC50" s="631"/>
      <c r="AD50" s="631"/>
      <c r="AE50" s="631"/>
      <c r="AF50" s="631"/>
      <c r="AG50" s="631"/>
      <c r="AH50" s="631"/>
      <c r="AI50" s="268"/>
      <c r="AJ50" s="268"/>
      <c r="AK50" s="268"/>
      <c r="AL50" s="268"/>
      <c r="AM50" s="268"/>
      <c r="AN50" s="268"/>
    </row>
    <row r="51" spans="1:40" x14ac:dyDescent="0.45">
      <c r="A51" s="227"/>
      <c r="J51" s="228"/>
      <c r="K51" s="228"/>
      <c r="Q51" s="230"/>
      <c r="R51" s="548"/>
      <c r="S51" s="540"/>
      <c r="T51" s="540"/>
      <c r="U51" s="540"/>
      <c r="V51" s="540"/>
      <c r="W51" s="540"/>
      <c r="X51" s="540"/>
      <c r="Y51" s="540"/>
      <c r="Z51" s="631"/>
      <c r="AA51" s="631"/>
      <c r="AB51" s="631"/>
      <c r="AC51" s="631"/>
      <c r="AD51" s="631"/>
      <c r="AE51" s="631"/>
      <c r="AF51" s="631"/>
      <c r="AG51" s="631"/>
      <c r="AH51" s="631"/>
      <c r="AI51" s="268"/>
      <c r="AJ51" s="268"/>
      <c r="AK51" s="268"/>
      <c r="AL51" s="268"/>
      <c r="AM51" s="268"/>
      <c r="AN51" s="268"/>
    </row>
    <row r="52" spans="1:40" s="240" customFormat="1" ht="28.5" x14ac:dyDescent="0.85">
      <c r="A52" s="305"/>
      <c r="B52" s="273" t="s">
        <v>150</v>
      </c>
      <c r="G52" s="274"/>
      <c r="Q52" s="361"/>
      <c r="R52" s="361"/>
      <c r="S52" s="559"/>
      <c r="T52" s="559"/>
      <c r="U52" s="559"/>
      <c r="V52" s="559"/>
      <c r="W52" s="559"/>
      <c r="X52" s="559"/>
      <c r="Y52" s="559"/>
      <c r="Z52" s="559"/>
      <c r="AA52" s="559"/>
      <c r="AB52" s="780"/>
      <c r="AC52" s="559"/>
      <c r="AD52" s="559"/>
      <c r="AE52" s="559"/>
      <c r="AF52" s="559"/>
      <c r="AG52" s="559"/>
      <c r="AH52" s="559"/>
    </row>
    <row r="53" spans="1:40" x14ac:dyDescent="0.45">
      <c r="A53" s="227"/>
      <c r="E53" s="268"/>
      <c r="Q53" s="230"/>
      <c r="R53" s="548"/>
      <c r="S53" s="540"/>
      <c r="T53" s="540"/>
      <c r="U53" s="540"/>
      <c r="V53" s="540"/>
      <c r="W53" s="540"/>
      <c r="X53" s="540"/>
      <c r="Y53" s="540"/>
      <c r="Z53" s="631"/>
      <c r="AA53" s="631"/>
      <c r="AB53" s="631"/>
      <c r="AC53" s="631"/>
      <c r="AD53" s="631"/>
      <c r="AE53" s="631"/>
      <c r="AF53" s="631"/>
      <c r="AG53" s="631"/>
      <c r="AH53" s="631"/>
      <c r="AI53" s="268"/>
      <c r="AJ53" s="268"/>
      <c r="AK53" s="268"/>
      <c r="AL53" s="268"/>
      <c r="AM53" s="268"/>
      <c r="AN53" s="268"/>
    </row>
    <row r="54" spans="1:40" x14ac:dyDescent="0.45">
      <c r="A54" s="227"/>
      <c r="B54" s="1055" t="s">
        <v>166</v>
      </c>
      <c r="C54" s="1056"/>
      <c r="D54" s="1057"/>
      <c r="H54" s="225"/>
      <c r="Q54" s="230"/>
      <c r="R54" s="548"/>
      <c r="S54" s="540"/>
      <c r="T54" s="540"/>
      <c r="U54" s="540"/>
      <c r="V54" s="540"/>
      <c r="W54" s="540"/>
      <c r="X54" s="540"/>
      <c r="Y54" s="540"/>
      <c r="Z54" s="631"/>
      <c r="AA54" s="631"/>
      <c r="AB54" s="631"/>
      <c r="AC54" s="631"/>
      <c r="AD54" s="631"/>
      <c r="AE54" s="631"/>
      <c r="AF54" s="631"/>
      <c r="AG54" s="631"/>
      <c r="AH54" s="631"/>
      <c r="AI54" s="268"/>
      <c r="AJ54" s="268"/>
      <c r="AK54" s="268"/>
      <c r="AL54" s="268"/>
      <c r="AM54" s="268"/>
      <c r="AN54" s="268"/>
    </row>
    <row r="55" spans="1:40" x14ac:dyDescent="0.45">
      <c r="A55" s="227"/>
      <c r="B55" s="1058" t="s">
        <v>94</v>
      </c>
      <c r="C55" s="1059">
        <v>72</v>
      </c>
      <c r="D55" s="1060" t="s">
        <v>96</v>
      </c>
      <c r="H55" s="306"/>
      <c r="J55" s="551"/>
      <c r="Q55" s="230"/>
      <c r="R55" s="548"/>
      <c r="S55" s="540"/>
      <c r="T55" s="540"/>
      <c r="U55" s="540"/>
      <c r="V55" s="540"/>
      <c r="W55" s="540"/>
      <c r="X55" s="540"/>
      <c r="Y55" s="540"/>
      <c r="Z55" s="631"/>
      <c r="AA55" s="631"/>
      <c r="AB55" s="631"/>
      <c r="AC55" s="631"/>
      <c r="AD55" s="631"/>
      <c r="AE55" s="631"/>
      <c r="AF55" s="631"/>
      <c r="AG55" s="631"/>
      <c r="AH55" s="631"/>
      <c r="AI55" s="268"/>
      <c r="AJ55" s="268"/>
      <c r="AK55" s="268"/>
      <c r="AL55" s="268"/>
      <c r="AM55" s="268"/>
      <c r="AN55" s="268"/>
    </row>
    <row r="56" spans="1:40" x14ac:dyDescent="0.45">
      <c r="A56" s="227"/>
      <c r="B56" s="1061" t="s">
        <v>93</v>
      </c>
      <c r="C56" s="1062">
        <v>89</v>
      </c>
      <c r="D56" s="1063" t="s">
        <v>0</v>
      </c>
      <c r="H56" s="458"/>
      <c r="I56" s="539"/>
      <c r="J56" s="740"/>
      <c r="M56" s="225"/>
      <c r="Q56" s="230"/>
      <c r="R56" s="548"/>
      <c r="S56" s="540"/>
      <c r="T56" s="540"/>
      <c r="U56" s="540"/>
      <c r="V56" s="540"/>
      <c r="W56" s="540"/>
      <c r="X56" s="540"/>
      <c r="Y56" s="540"/>
      <c r="Z56" s="631"/>
      <c r="AA56" s="631"/>
      <c r="AB56" s="631"/>
      <c r="AC56" s="631"/>
      <c r="AD56" s="631"/>
      <c r="AE56" s="631"/>
      <c r="AF56" s="631"/>
      <c r="AG56" s="631"/>
      <c r="AH56" s="631"/>
      <c r="AI56" s="268"/>
      <c r="AJ56" s="268"/>
      <c r="AK56" s="268"/>
      <c r="AL56" s="268"/>
      <c r="AM56" s="268"/>
      <c r="AN56" s="268"/>
    </row>
    <row r="57" spans="1:40" x14ac:dyDescent="0.45">
      <c r="A57" s="227"/>
      <c r="B57" s="1061" t="s">
        <v>396</v>
      </c>
      <c r="C57" s="1064">
        <f>C55*0.156^2/(C56/100)</f>
        <v>1.9687550561797753</v>
      </c>
      <c r="D57" s="1063" t="s">
        <v>95</v>
      </c>
      <c r="H57" s="297"/>
      <c r="I57" s="543"/>
      <c r="J57" s="873"/>
      <c r="K57" s="873"/>
      <c r="L57" s="872"/>
      <c r="Q57" s="231"/>
      <c r="R57" s="549"/>
      <c r="S57" s="540"/>
      <c r="T57" s="540"/>
      <c r="U57" s="540"/>
      <c r="V57" s="540"/>
      <c r="W57" s="540"/>
      <c r="X57" s="540"/>
      <c r="Y57" s="540"/>
      <c r="Z57" s="631"/>
      <c r="AA57" s="631"/>
      <c r="AB57" s="631"/>
      <c r="AC57" s="631"/>
      <c r="AD57" s="631"/>
      <c r="AE57" s="631"/>
      <c r="AF57" s="631"/>
      <c r="AG57" s="631"/>
      <c r="AH57" s="631"/>
      <c r="AI57" s="268"/>
      <c r="AJ57" s="268"/>
      <c r="AK57" s="268"/>
      <c r="AL57" s="268"/>
      <c r="AM57" s="268"/>
      <c r="AN57" s="268"/>
    </row>
    <row r="58" spans="1:40" x14ac:dyDescent="0.45">
      <c r="A58" s="227"/>
      <c r="B58" s="1065" t="s">
        <v>97</v>
      </c>
      <c r="C58" s="1066">
        <f>C57*1000*$C$8/100</f>
        <v>403.5947865168539</v>
      </c>
      <c r="D58" s="1067" t="s">
        <v>174</v>
      </c>
      <c r="H58" s="458"/>
      <c r="I58" s="543"/>
      <c r="J58" s="741"/>
      <c r="K58" s="551"/>
      <c r="L58" s="551"/>
      <c r="M58" s="364"/>
      <c r="Q58" s="235"/>
      <c r="R58" s="553"/>
      <c r="S58" s="540"/>
      <c r="T58" s="540"/>
      <c r="U58" s="540"/>
      <c r="V58" s="540"/>
      <c r="W58" s="540"/>
      <c r="X58" s="540"/>
      <c r="Y58" s="540"/>
      <c r="Z58" s="631"/>
      <c r="AA58" s="631"/>
      <c r="AB58" s="631"/>
      <c r="AC58" s="631"/>
      <c r="AD58" s="631"/>
      <c r="AE58" s="631"/>
      <c r="AF58" s="631"/>
      <c r="AG58" s="631"/>
      <c r="AH58" s="631"/>
      <c r="AI58" s="268"/>
      <c r="AJ58" s="268"/>
      <c r="AK58" s="268"/>
      <c r="AL58" s="268"/>
      <c r="AM58" s="268"/>
      <c r="AN58" s="268"/>
    </row>
    <row r="59" spans="1:40" x14ac:dyDescent="0.45">
      <c r="A59" s="227"/>
      <c r="H59" s="458"/>
      <c r="I59" s="548"/>
      <c r="J59" s="874"/>
      <c r="M59" s="225"/>
      <c r="N59" s="235"/>
      <c r="O59" s="235"/>
      <c r="P59" s="235"/>
      <c r="Q59" s="235"/>
      <c r="R59" s="553"/>
      <c r="S59" s="540"/>
      <c r="T59" s="540"/>
      <c r="U59" s="540"/>
      <c r="V59" s="540"/>
      <c r="W59" s="540"/>
      <c r="X59" s="540"/>
      <c r="Y59" s="540"/>
      <c r="Z59" s="631"/>
      <c r="AA59" s="631"/>
      <c r="AB59" s="648"/>
      <c r="AC59" s="631"/>
      <c r="AD59" s="631"/>
      <c r="AE59" s="631"/>
      <c r="AF59" s="631"/>
      <c r="AG59" s="631"/>
      <c r="AH59" s="631"/>
      <c r="AI59" s="268"/>
      <c r="AJ59" s="268"/>
      <c r="AK59" s="268"/>
      <c r="AL59" s="268"/>
      <c r="AM59" s="268"/>
      <c r="AN59" s="268"/>
    </row>
    <row r="60" spans="1:40" x14ac:dyDescent="0.45">
      <c r="A60" s="227"/>
      <c r="B60" s="259" t="s">
        <v>24</v>
      </c>
      <c r="C60" s="260"/>
      <c r="D60" s="261"/>
      <c r="H60" s="458"/>
      <c r="I60" s="548"/>
      <c r="J60" s="874"/>
      <c r="K60" s="540"/>
      <c r="N60" s="235"/>
      <c r="O60" s="235"/>
      <c r="P60" s="235"/>
      <c r="Q60" s="235"/>
      <c r="R60" s="553"/>
      <c r="S60" s="540"/>
      <c r="T60" s="540"/>
      <c r="U60" s="540"/>
      <c r="V60" s="540"/>
      <c r="W60" s="540"/>
      <c r="X60" s="540"/>
      <c r="Y60" s="540"/>
      <c r="Z60" s="631"/>
      <c r="AA60" s="631"/>
      <c r="AB60" s="648"/>
      <c r="AC60" s="631"/>
      <c r="AD60" s="631"/>
      <c r="AE60" s="631"/>
      <c r="AF60" s="631"/>
      <c r="AG60" s="631"/>
      <c r="AH60" s="631"/>
      <c r="AI60" s="268"/>
      <c r="AJ60" s="268"/>
      <c r="AK60" s="268"/>
      <c r="AL60" s="268"/>
      <c r="AM60" s="268"/>
      <c r="AN60" s="268"/>
    </row>
    <row r="61" spans="1:40" x14ac:dyDescent="0.45">
      <c r="A61" s="227"/>
      <c r="B61" s="257" t="s">
        <v>13</v>
      </c>
      <c r="C61" s="269">
        <v>2329</v>
      </c>
      <c r="D61" s="258" t="s">
        <v>15</v>
      </c>
      <c r="H61" s="458"/>
      <c r="I61" s="548"/>
      <c r="J61" s="874"/>
      <c r="K61" s="540"/>
      <c r="M61" s="228"/>
      <c r="N61" s="270"/>
      <c r="O61" s="235"/>
      <c r="P61" s="235"/>
      <c r="Q61" s="235"/>
      <c r="R61" s="553"/>
      <c r="S61" s="540"/>
      <c r="T61" s="540"/>
      <c r="U61" s="540"/>
      <c r="V61" s="540"/>
      <c r="W61" s="540"/>
      <c r="X61" s="540"/>
      <c r="Y61" s="540"/>
      <c r="Z61" s="631"/>
      <c r="AA61" s="631"/>
      <c r="AB61" s="648"/>
      <c r="AC61" s="631"/>
      <c r="AD61" s="631"/>
      <c r="AE61" s="631"/>
      <c r="AF61" s="631"/>
      <c r="AG61" s="631"/>
      <c r="AH61" s="631"/>
      <c r="AI61" s="268"/>
      <c r="AJ61" s="268"/>
      <c r="AK61" s="268"/>
      <c r="AL61" s="268"/>
      <c r="AM61" s="268"/>
      <c r="AN61" s="268"/>
    </row>
    <row r="62" spans="1:40" ht="15" customHeight="1" x14ac:dyDescent="0.45">
      <c r="A62" s="227"/>
      <c r="B62" s="592" t="s">
        <v>349</v>
      </c>
      <c r="C62" s="593">
        <f>0.156*0.156*(C9/10^6/C10)*C61</f>
        <v>3.1488080000000003E-3</v>
      </c>
      <c r="D62" s="594" t="s">
        <v>14</v>
      </c>
      <c r="H62" s="458"/>
      <c r="I62" s="548"/>
      <c r="J62" s="874"/>
      <c r="K62" s="540"/>
      <c r="O62" s="235"/>
      <c r="P62" s="235"/>
      <c r="Q62" s="235"/>
      <c r="R62" s="553"/>
      <c r="S62" s="540"/>
      <c r="T62" s="540"/>
      <c r="U62" s="540"/>
      <c r="V62" s="540"/>
      <c r="W62" s="540"/>
      <c r="X62" s="540"/>
      <c r="Y62" s="540"/>
      <c r="Z62" s="631"/>
      <c r="AA62" s="631"/>
      <c r="AB62" s="631"/>
      <c r="AC62" s="631"/>
      <c r="AD62" s="631"/>
      <c r="AE62" s="631"/>
      <c r="AF62" s="631"/>
      <c r="AG62" s="631"/>
      <c r="AH62" s="631"/>
      <c r="AI62" s="268"/>
      <c r="AJ62" s="268"/>
      <c r="AK62" s="268"/>
      <c r="AL62" s="268"/>
      <c r="AM62" s="268"/>
      <c r="AN62" s="268"/>
    </row>
    <row r="63" spans="1:40" x14ac:dyDescent="0.45">
      <c r="A63" s="227"/>
      <c r="B63" s="592" t="s">
        <v>348</v>
      </c>
      <c r="C63" s="593">
        <f>C62*C11</f>
        <v>9.4464240000000005E-2</v>
      </c>
      <c r="D63" s="594" t="s">
        <v>16</v>
      </c>
      <c r="H63" s="458"/>
      <c r="I63" s="548"/>
      <c r="J63" s="874"/>
      <c r="K63" s="540"/>
      <c r="M63" s="235"/>
      <c r="N63" s="270"/>
      <c r="O63" s="230"/>
      <c r="P63" s="235"/>
      <c r="Q63" s="235"/>
      <c r="R63" s="553"/>
      <c r="S63" s="540"/>
      <c r="T63" s="540"/>
      <c r="U63" s="540"/>
      <c r="V63" s="540"/>
      <c r="W63" s="540"/>
      <c r="X63" s="540"/>
      <c r="Y63" s="540"/>
      <c r="Z63" s="631"/>
      <c r="AA63" s="631"/>
      <c r="AB63" s="631"/>
      <c r="AC63" s="631"/>
      <c r="AD63" s="631"/>
      <c r="AE63" s="631"/>
      <c r="AF63" s="631"/>
      <c r="AG63" s="631"/>
      <c r="AH63" s="631"/>
      <c r="AI63" s="268"/>
      <c r="AJ63" s="268"/>
      <c r="AK63" s="268"/>
      <c r="AL63" s="268"/>
      <c r="AM63" s="268"/>
      <c r="AN63" s="268"/>
    </row>
    <row r="64" spans="1:40" s="540" customFormat="1" x14ac:dyDescent="0.45">
      <c r="A64" s="545"/>
      <c r="B64" s="592" t="s">
        <v>339</v>
      </c>
      <c r="C64" s="957">
        <f>$C$148*$C$149*$C$150</f>
        <v>0.94594500000000004</v>
      </c>
      <c r="D64" s="594" t="s">
        <v>22</v>
      </c>
      <c r="I64" s="548"/>
      <c r="J64" s="874"/>
      <c r="M64" s="553"/>
      <c r="N64" s="639"/>
      <c r="O64" s="548"/>
      <c r="P64" s="553"/>
      <c r="Q64" s="553"/>
      <c r="R64" s="553"/>
      <c r="Z64" s="631"/>
      <c r="AA64" s="631"/>
      <c r="AB64" s="631"/>
      <c r="AC64" s="631"/>
      <c r="AD64" s="631"/>
      <c r="AE64" s="631"/>
      <c r="AF64" s="631"/>
      <c r="AG64" s="631"/>
      <c r="AH64" s="631"/>
      <c r="AI64" s="631"/>
      <c r="AJ64" s="631"/>
      <c r="AK64" s="631"/>
      <c r="AL64" s="631"/>
      <c r="AM64" s="631"/>
      <c r="AN64" s="631"/>
    </row>
    <row r="65" spans="1:51" s="540" customFormat="1" x14ac:dyDescent="0.45">
      <c r="A65" s="545"/>
      <c r="B65" s="922" t="s">
        <v>35</v>
      </c>
      <c r="C65" s="923">
        <f>C63/C64</f>
        <v>9.9862296433725004E-2</v>
      </c>
      <c r="D65" s="924" t="s">
        <v>16</v>
      </c>
      <c r="I65" s="548"/>
      <c r="J65" s="874"/>
      <c r="M65" s="553"/>
      <c r="N65" s="639"/>
      <c r="O65" s="548"/>
      <c r="P65" s="553"/>
      <c r="Q65" s="553"/>
      <c r="R65" s="553"/>
      <c r="Z65" s="631"/>
      <c r="AA65" s="631"/>
      <c r="AB65" s="631"/>
      <c r="AC65" s="631"/>
      <c r="AD65" s="631"/>
      <c r="AE65" s="631"/>
      <c r="AF65" s="631"/>
      <c r="AG65" s="631"/>
      <c r="AH65" s="631"/>
      <c r="AI65" s="631"/>
      <c r="AJ65" s="631"/>
      <c r="AK65" s="631"/>
      <c r="AL65" s="631"/>
      <c r="AM65" s="631"/>
      <c r="AN65" s="631"/>
    </row>
    <row r="66" spans="1:51" x14ac:dyDescent="0.45">
      <c r="A66" s="227"/>
      <c r="H66" s="458"/>
      <c r="I66" s="548"/>
      <c r="J66" s="874"/>
      <c r="K66" s="540"/>
      <c r="L66" s="235"/>
      <c r="M66" s="235"/>
      <c r="N66" s="270"/>
      <c r="O66" s="270"/>
      <c r="P66" s="235"/>
      <c r="Q66" s="235"/>
      <c r="R66" s="553"/>
      <c r="S66" s="540"/>
      <c r="T66" s="540"/>
      <c r="U66" s="540"/>
      <c r="V66" s="540"/>
      <c r="W66" s="540"/>
      <c r="X66" s="540"/>
      <c r="Y66" s="540"/>
      <c r="Z66" s="631"/>
      <c r="AA66" s="631"/>
      <c r="AB66" s="631"/>
      <c r="AC66" s="631"/>
      <c r="AD66" s="631"/>
      <c r="AE66" s="631"/>
      <c r="AF66" s="631"/>
      <c r="AG66" s="631"/>
      <c r="AH66" s="631"/>
      <c r="AI66" s="268"/>
      <c r="AJ66" s="268"/>
      <c r="AK66" s="268"/>
      <c r="AL66" s="268"/>
      <c r="AM66" s="268"/>
      <c r="AN66" s="268"/>
    </row>
    <row r="67" spans="1:51" x14ac:dyDescent="0.45">
      <c r="A67" s="227"/>
      <c r="B67" s="325" t="s">
        <v>89</v>
      </c>
      <c r="C67" s="326"/>
      <c r="D67" s="327"/>
      <c r="E67" s="327"/>
      <c r="F67" s="327"/>
      <c r="G67" s="327"/>
      <c r="H67" s="328"/>
      <c r="I67" s="548"/>
      <c r="J67" s="874"/>
      <c r="K67" s="540"/>
      <c r="L67" s="235"/>
      <c r="M67" s="235"/>
      <c r="N67" s="235"/>
      <c r="O67" s="270"/>
      <c r="P67" s="235"/>
      <c r="Q67" s="235"/>
      <c r="R67" s="553"/>
      <c r="S67" s="540"/>
      <c r="T67" s="540"/>
      <c r="U67" s="540"/>
      <c r="V67" s="540"/>
      <c r="W67" s="540"/>
      <c r="X67" s="540"/>
      <c r="Y67" s="540"/>
      <c r="Z67" s="631"/>
      <c r="AA67" s="631"/>
      <c r="AB67" s="631"/>
      <c r="AC67" s="631"/>
      <c r="AD67" s="631"/>
      <c r="AE67" s="631"/>
      <c r="AF67" s="631"/>
      <c r="AG67" s="631"/>
      <c r="AH67" s="631"/>
      <c r="AI67" s="268"/>
      <c r="AJ67" s="268"/>
      <c r="AK67" s="268"/>
      <c r="AL67" s="268"/>
      <c r="AM67" s="268"/>
      <c r="AN67" s="268"/>
    </row>
    <row r="68" spans="1:51" s="458" customFormat="1" x14ac:dyDescent="0.45">
      <c r="A68" s="459"/>
      <c r="B68" s="321" t="s">
        <v>186</v>
      </c>
      <c r="C68" s="788">
        <v>400</v>
      </c>
      <c r="D68" s="256" t="s">
        <v>18</v>
      </c>
      <c r="E68" s="256"/>
      <c r="F68" s="256"/>
      <c r="G68" s="256"/>
      <c r="H68" s="479"/>
      <c r="I68" s="548"/>
      <c r="J68" s="875"/>
      <c r="K68" s="540"/>
      <c r="L68" s="462"/>
      <c r="M68" s="462"/>
      <c r="N68" s="462"/>
      <c r="O68" s="270"/>
      <c r="P68" s="462"/>
      <c r="Q68" s="462"/>
      <c r="R68" s="540"/>
      <c r="S68" s="540"/>
      <c r="T68" s="540"/>
      <c r="U68" s="540"/>
      <c r="V68" s="540"/>
      <c r="W68" s="540"/>
      <c r="X68" s="540"/>
      <c r="Y68" s="540"/>
      <c r="Z68" s="631"/>
      <c r="AA68" s="631"/>
      <c r="AB68" s="631"/>
      <c r="AC68" s="631"/>
      <c r="AD68" s="631"/>
      <c r="AE68" s="631"/>
      <c r="AF68" s="631"/>
      <c r="AG68" s="631"/>
      <c r="AH68" s="631"/>
      <c r="AI68" s="473"/>
      <c r="AJ68" s="473"/>
      <c r="AK68" s="473"/>
      <c r="AL68" s="473"/>
      <c r="AM68" s="473"/>
      <c r="AN68" s="473"/>
    </row>
    <row r="69" spans="1:51" s="458" customFormat="1" x14ac:dyDescent="0.45">
      <c r="A69" s="459"/>
      <c r="B69" s="321" t="s">
        <v>62</v>
      </c>
      <c r="C69" s="788">
        <v>13.6</v>
      </c>
      <c r="D69" s="256" t="s">
        <v>22</v>
      </c>
      <c r="E69" s="256"/>
      <c r="F69" s="256"/>
      <c r="G69" s="256"/>
      <c r="H69" s="479"/>
      <c r="I69" s="548"/>
      <c r="J69" s="875"/>
      <c r="K69" s="540"/>
      <c r="L69" s="462"/>
      <c r="M69" s="462"/>
      <c r="N69" s="462"/>
      <c r="O69" s="270"/>
      <c r="P69" s="462"/>
      <c r="Q69" s="462"/>
      <c r="R69" s="540"/>
      <c r="S69" s="540"/>
      <c r="T69" s="540"/>
      <c r="U69" s="540"/>
      <c r="V69" s="540"/>
      <c r="W69" s="540"/>
      <c r="X69" s="540"/>
      <c r="Y69" s="540"/>
      <c r="Z69" s="631"/>
      <c r="AA69" s="631"/>
      <c r="AB69" s="631"/>
      <c r="AC69" s="631"/>
      <c r="AD69" s="631"/>
      <c r="AE69" s="631"/>
      <c r="AF69" s="631"/>
      <c r="AG69" s="631"/>
      <c r="AH69" s="631"/>
      <c r="AI69" s="473"/>
      <c r="AJ69" s="473"/>
      <c r="AK69" s="473"/>
      <c r="AL69" s="473"/>
      <c r="AM69" s="473"/>
      <c r="AN69" s="473"/>
    </row>
    <row r="70" spans="1:51" s="458" customFormat="1" x14ac:dyDescent="0.45">
      <c r="A70" s="459"/>
      <c r="B70" s="321" t="s">
        <v>188</v>
      </c>
      <c r="C70" s="329">
        <f>C68*10^6/(C69/100*1000)/(365*24)</f>
        <v>335.750738651625</v>
      </c>
      <c r="D70" s="256" t="s">
        <v>184</v>
      </c>
      <c r="E70" s="256"/>
      <c r="F70" s="256"/>
      <c r="G70" s="256"/>
      <c r="H70" s="479"/>
      <c r="I70" s="548"/>
      <c r="J70" s="553"/>
      <c r="K70" s="550"/>
      <c r="L70" s="462"/>
      <c r="M70" s="462"/>
      <c r="N70" s="462"/>
      <c r="O70" s="270"/>
      <c r="P70" s="462"/>
      <c r="Q70" s="462"/>
      <c r="R70" s="540"/>
      <c r="S70" s="540"/>
      <c r="T70" s="540"/>
      <c r="U70" s="540"/>
      <c r="V70" s="540"/>
      <c r="W70" s="540"/>
      <c r="X70" s="540"/>
      <c r="Y70" s="540"/>
      <c r="Z70" s="631"/>
      <c r="AA70" s="631"/>
      <c r="AB70" s="631"/>
      <c r="AC70" s="631"/>
      <c r="AD70" s="631"/>
      <c r="AE70" s="631"/>
      <c r="AF70" s="631"/>
      <c r="AG70" s="631"/>
      <c r="AH70" s="631"/>
      <c r="AI70" s="473"/>
      <c r="AJ70" s="473"/>
      <c r="AK70" s="473"/>
      <c r="AL70" s="473"/>
      <c r="AM70" s="473"/>
      <c r="AN70" s="473"/>
    </row>
    <row r="71" spans="1:51" s="458" customFormat="1" x14ac:dyDescent="0.45">
      <c r="A71" s="459"/>
      <c r="B71" s="321" t="s">
        <v>187</v>
      </c>
      <c r="C71" s="322">
        <f>1000*$C$8/100</f>
        <v>205</v>
      </c>
      <c r="D71" s="256" t="s">
        <v>189</v>
      </c>
      <c r="E71" s="256"/>
      <c r="F71" s="256"/>
      <c r="G71" s="256"/>
      <c r="H71" s="479"/>
      <c r="I71" s="548"/>
      <c r="J71" s="703"/>
      <c r="K71" s="550"/>
      <c r="L71" s="462"/>
      <c r="M71" s="462"/>
      <c r="N71" s="462"/>
      <c r="O71" s="270"/>
      <c r="P71" s="462"/>
      <c r="Q71" s="462"/>
      <c r="R71" s="540"/>
      <c r="S71" s="540"/>
      <c r="T71" s="540"/>
      <c r="U71" s="540"/>
      <c r="V71" s="540"/>
      <c r="W71" s="540"/>
      <c r="X71" s="540"/>
      <c r="Y71" s="540"/>
      <c r="Z71" s="631"/>
      <c r="AA71" s="631"/>
      <c r="AB71" s="631"/>
      <c r="AC71" s="631"/>
      <c r="AD71" s="631"/>
      <c r="AE71" s="631"/>
      <c r="AF71" s="631"/>
      <c r="AG71" s="631"/>
      <c r="AH71" s="631"/>
      <c r="AI71" s="473"/>
      <c r="AJ71" s="473"/>
      <c r="AK71" s="473"/>
      <c r="AL71" s="473"/>
      <c r="AM71" s="473"/>
      <c r="AN71" s="473"/>
    </row>
    <row r="72" spans="1:51" s="458" customFormat="1" x14ac:dyDescent="0.45">
      <c r="A72" s="459"/>
      <c r="B72" s="321" t="s">
        <v>188</v>
      </c>
      <c r="C72" s="329">
        <f>C70*C71</f>
        <v>68828.901423583127</v>
      </c>
      <c r="D72" s="256" t="s">
        <v>190</v>
      </c>
      <c r="E72" s="256"/>
      <c r="F72" s="256"/>
      <c r="G72" s="256"/>
      <c r="H72" s="479"/>
      <c r="I72" s="462"/>
      <c r="J72" s="703"/>
      <c r="K72" s="553"/>
      <c r="L72" s="462"/>
      <c r="M72" s="462"/>
      <c r="N72" s="462"/>
      <c r="O72" s="270"/>
      <c r="P72" s="462"/>
      <c r="Q72" s="462"/>
      <c r="R72" s="540"/>
      <c r="S72" s="540"/>
      <c r="T72" s="540"/>
      <c r="U72" s="540"/>
      <c r="V72" s="540"/>
      <c r="W72" s="540"/>
      <c r="X72" s="540"/>
      <c r="Y72" s="540"/>
      <c r="Z72" s="631"/>
      <c r="AA72" s="631"/>
      <c r="AB72" s="631"/>
      <c r="AC72" s="631"/>
      <c r="AD72" s="631"/>
      <c r="AE72" s="631"/>
      <c r="AF72" s="631"/>
      <c r="AG72" s="631"/>
      <c r="AH72" s="631"/>
      <c r="AI72" s="473"/>
      <c r="AJ72" s="473"/>
      <c r="AK72" s="473"/>
      <c r="AL72" s="473"/>
      <c r="AM72" s="473"/>
      <c r="AN72" s="473"/>
    </row>
    <row r="73" spans="1:51" s="458" customFormat="1" x14ac:dyDescent="0.45">
      <c r="A73" s="459"/>
      <c r="B73" s="321" t="s">
        <v>191</v>
      </c>
      <c r="C73" s="329">
        <f>C72*$C$18/100*C151</f>
        <v>63155.104502417402</v>
      </c>
      <c r="D73" s="256" t="s">
        <v>190</v>
      </c>
      <c r="E73" s="256"/>
      <c r="F73" s="256"/>
      <c r="G73" s="256"/>
      <c r="H73" s="479"/>
      <c r="I73" s="462"/>
      <c r="J73" s="703"/>
      <c r="K73" s="553"/>
      <c r="L73" s="462"/>
      <c r="M73" s="462"/>
      <c r="N73" s="462"/>
      <c r="O73" s="270"/>
      <c r="P73" s="462"/>
      <c r="Q73" s="462"/>
      <c r="R73" s="540"/>
      <c r="S73" s="540"/>
      <c r="T73" s="540"/>
      <c r="U73" s="540"/>
      <c r="V73" s="540"/>
      <c r="W73" s="540"/>
      <c r="X73" s="540"/>
      <c r="Y73" s="540"/>
      <c r="Z73" s="631"/>
      <c r="AA73" s="631"/>
      <c r="AB73" s="631"/>
      <c r="AC73" s="631"/>
      <c r="AD73" s="631"/>
      <c r="AE73" s="631"/>
      <c r="AF73" s="631"/>
      <c r="AG73" s="631"/>
      <c r="AH73" s="631"/>
      <c r="AI73" s="473"/>
      <c r="AJ73" s="473"/>
      <c r="AK73" s="473"/>
      <c r="AL73" s="473"/>
      <c r="AM73" s="473"/>
      <c r="AN73" s="473"/>
    </row>
    <row r="74" spans="1:51" s="458" customFormat="1" x14ac:dyDescent="0.45">
      <c r="A74" s="459"/>
      <c r="B74" s="321" t="s">
        <v>193</v>
      </c>
      <c r="C74" s="329">
        <f>C73*24*365/1000000</f>
        <v>553.2387154411764</v>
      </c>
      <c r="D74" s="256" t="s">
        <v>18</v>
      </c>
      <c r="E74" s="256"/>
      <c r="F74" s="256"/>
      <c r="G74" s="256"/>
      <c r="H74" s="479"/>
      <c r="I74" s="462"/>
      <c r="J74" s="462"/>
      <c r="K74" s="462"/>
      <c r="L74" s="462"/>
      <c r="M74" s="462"/>
      <c r="N74" s="462"/>
      <c r="O74" s="270"/>
      <c r="P74" s="462"/>
      <c r="Q74" s="462"/>
      <c r="R74" s="540"/>
      <c r="S74" s="540"/>
      <c r="T74" s="540"/>
      <c r="U74" s="540"/>
      <c r="V74" s="540"/>
      <c r="W74" s="540"/>
      <c r="X74" s="540"/>
      <c r="Y74" s="540"/>
      <c r="Z74" s="631"/>
      <c r="AA74" s="631"/>
      <c r="AB74" s="631"/>
      <c r="AC74" s="631"/>
      <c r="AD74" s="631"/>
      <c r="AE74" s="631"/>
      <c r="AF74" s="631"/>
      <c r="AG74" s="631"/>
      <c r="AH74" s="631"/>
      <c r="AI74" s="462"/>
      <c r="AJ74" s="462"/>
      <c r="AK74" s="462"/>
      <c r="AL74" s="462"/>
      <c r="AM74" s="462"/>
      <c r="AN74" s="462"/>
      <c r="AO74" s="462"/>
      <c r="AP74" s="462"/>
      <c r="AQ74" s="462"/>
      <c r="AR74" s="462"/>
      <c r="AS74" s="462"/>
      <c r="AT74" s="462"/>
      <c r="AU74" s="462"/>
      <c r="AV74" s="462"/>
      <c r="AW74" s="462"/>
      <c r="AX74" s="462"/>
      <c r="AY74" s="462"/>
    </row>
    <row r="75" spans="1:51" s="458" customFormat="1" x14ac:dyDescent="0.45">
      <c r="A75" s="459"/>
      <c r="B75" s="321" t="s">
        <v>142</v>
      </c>
      <c r="C75" s="256">
        <v>10</v>
      </c>
      <c r="D75" s="256" t="s">
        <v>111</v>
      </c>
      <c r="E75" s="256"/>
      <c r="F75" s="256"/>
      <c r="G75" s="256"/>
      <c r="H75" s="479"/>
      <c r="I75" s="462"/>
      <c r="J75" s="462"/>
      <c r="K75" s="462"/>
      <c r="L75" s="462"/>
      <c r="M75" s="462"/>
      <c r="N75" s="462"/>
      <c r="O75" s="270"/>
      <c r="P75" s="462"/>
      <c r="Q75" s="462"/>
      <c r="R75" s="540"/>
      <c r="S75" s="540"/>
      <c r="T75" s="540"/>
      <c r="U75" s="540"/>
      <c r="V75" s="540"/>
      <c r="W75" s="540"/>
      <c r="X75" s="540"/>
      <c r="Y75" s="540"/>
      <c r="Z75" s="631"/>
      <c r="AA75" s="631"/>
      <c r="AB75" s="631"/>
      <c r="AC75" s="631"/>
      <c r="AD75" s="631"/>
      <c r="AE75" s="631"/>
      <c r="AF75" s="631"/>
      <c r="AG75" s="631"/>
      <c r="AH75" s="631"/>
      <c r="AI75" s="462"/>
      <c r="AJ75" s="462"/>
      <c r="AK75" s="462"/>
      <c r="AL75" s="462"/>
      <c r="AM75" s="462"/>
      <c r="AN75" s="462"/>
      <c r="AO75" s="462"/>
      <c r="AP75" s="462"/>
      <c r="AQ75" s="462"/>
      <c r="AR75" s="462"/>
      <c r="AS75" s="462"/>
      <c r="AT75" s="462"/>
      <c r="AU75" s="462"/>
      <c r="AV75" s="462"/>
      <c r="AW75" s="462"/>
      <c r="AX75" s="462"/>
      <c r="AY75" s="462"/>
    </row>
    <row r="76" spans="1:51" x14ac:dyDescent="0.45">
      <c r="A76" s="227"/>
      <c r="B76" s="321" t="s">
        <v>143</v>
      </c>
      <c r="C76" s="589">
        <v>7</v>
      </c>
      <c r="D76" s="256" t="s">
        <v>111</v>
      </c>
      <c r="E76" s="256"/>
      <c r="F76" s="256"/>
      <c r="G76" s="256"/>
      <c r="H76" s="479"/>
      <c r="I76" s="462"/>
      <c r="J76" s="235"/>
      <c r="K76" s="235"/>
      <c r="L76" s="235"/>
      <c r="M76" s="235"/>
      <c r="N76" s="235"/>
      <c r="O76" s="270"/>
      <c r="P76" s="235"/>
      <c r="Q76" s="235"/>
      <c r="R76" s="540"/>
      <c r="S76" s="540"/>
      <c r="T76" s="540"/>
      <c r="U76" s="540"/>
      <c r="V76" s="540"/>
      <c r="W76" s="540"/>
      <c r="X76" s="540"/>
      <c r="Y76" s="540"/>
      <c r="Z76" s="631"/>
      <c r="AA76" s="631"/>
      <c r="AB76" s="631"/>
      <c r="AC76" s="631"/>
      <c r="AD76" s="631"/>
      <c r="AE76" s="631"/>
      <c r="AF76" s="631"/>
      <c r="AG76" s="631"/>
      <c r="AH76" s="631"/>
      <c r="AI76" s="462"/>
      <c r="AJ76" s="462"/>
      <c r="AK76" s="462"/>
      <c r="AL76" s="462"/>
      <c r="AM76" s="462"/>
      <c r="AN76" s="462"/>
      <c r="AO76" s="462"/>
      <c r="AP76" s="462"/>
      <c r="AQ76" s="462"/>
      <c r="AR76" s="462"/>
      <c r="AS76" s="462"/>
      <c r="AT76" s="462"/>
      <c r="AU76" s="462"/>
      <c r="AV76" s="462"/>
      <c r="AW76" s="462"/>
      <c r="AX76" s="462"/>
      <c r="AY76" s="462"/>
    </row>
    <row r="77" spans="1:51" x14ac:dyDescent="0.45">
      <c r="A77" s="227"/>
      <c r="B77" s="321" t="s">
        <v>140</v>
      </c>
      <c r="C77" s="256">
        <v>7</v>
      </c>
      <c r="D77" s="256" t="s">
        <v>111</v>
      </c>
      <c r="E77" s="256"/>
      <c r="F77" s="256"/>
      <c r="G77" s="256"/>
      <c r="H77" s="479"/>
      <c r="I77" s="462"/>
      <c r="J77" s="235"/>
      <c r="K77" s="235"/>
      <c r="L77" s="235"/>
      <c r="M77" s="235"/>
      <c r="N77" s="235"/>
      <c r="O77" s="270"/>
      <c r="P77" s="235"/>
      <c r="Q77" s="235"/>
      <c r="R77" s="540"/>
      <c r="S77" s="540"/>
      <c r="T77" s="540"/>
      <c r="U77" s="540"/>
      <c r="V77" s="540"/>
      <c r="W77" s="540"/>
      <c r="X77" s="540"/>
      <c r="Y77" s="540"/>
      <c r="Z77" s="631"/>
      <c r="AA77" s="631"/>
      <c r="AB77" s="631"/>
      <c r="AC77" s="631"/>
      <c r="AD77" s="631"/>
      <c r="AE77" s="631"/>
      <c r="AF77" s="631"/>
      <c r="AG77" s="631"/>
      <c r="AH77" s="631"/>
      <c r="AI77" s="462"/>
      <c r="AJ77" s="462"/>
      <c r="AK77" s="462"/>
      <c r="AL77" s="462"/>
      <c r="AM77" s="462"/>
      <c r="AN77" s="462"/>
      <c r="AO77" s="462"/>
      <c r="AP77" s="462"/>
      <c r="AQ77" s="462"/>
      <c r="AR77" s="462"/>
      <c r="AS77" s="462"/>
      <c r="AT77" s="462"/>
      <c r="AU77" s="462"/>
      <c r="AV77" s="462"/>
      <c r="AW77" s="462"/>
      <c r="AX77" s="462"/>
      <c r="AY77" s="462"/>
    </row>
    <row r="78" spans="1:51" x14ac:dyDescent="0.45">
      <c r="A78" s="227"/>
      <c r="B78" s="321" t="s">
        <v>141</v>
      </c>
      <c r="C78" s="256">
        <v>7</v>
      </c>
      <c r="D78" s="256" t="s">
        <v>111</v>
      </c>
      <c r="E78" s="256"/>
      <c r="F78" s="256"/>
      <c r="G78" s="256"/>
      <c r="H78" s="479"/>
      <c r="I78" s="462"/>
      <c r="J78" s="235"/>
      <c r="K78" s="235"/>
      <c r="L78" s="235"/>
      <c r="M78" s="235"/>
      <c r="N78" s="235"/>
      <c r="O78" s="270"/>
      <c r="P78" s="235"/>
      <c r="Q78" s="268"/>
      <c r="R78" s="540"/>
      <c r="S78" s="631"/>
      <c r="T78" s="462"/>
      <c r="U78" s="462"/>
      <c r="V78" s="462"/>
      <c r="W78" s="462"/>
      <c r="X78" s="462"/>
      <c r="Y78" s="462"/>
      <c r="Z78" s="462"/>
      <c r="AA78" s="462"/>
      <c r="AB78" s="462"/>
      <c r="AC78" s="462"/>
      <c r="AD78" s="462"/>
      <c r="AE78" s="462"/>
      <c r="AF78" s="462"/>
      <c r="AG78" s="462"/>
      <c r="AH78" s="462"/>
      <c r="AI78" s="462"/>
      <c r="AJ78" s="462"/>
    </row>
    <row r="79" spans="1:51" x14ac:dyDescent="0.45">
      <c r="A79" s="227"/>
      <c r="B79" s="321" t="s">
        <v>132</v>
      </c>
      <c r="C79" s="589">
        <v>25</v>
      </c>
      <c r="D79" s="256" t="s">
        <v>63</v>
      </c>
      <c r="E79" s="256"/>
      <c r="F79" s="256"/>
      <c r="G79" s="256"/>
      <c r="H79" s="479"/>
      <c r="I79" s="462"/>
      <c r="J79" s="235"/>
      <c r="L79" s="235"/>
      <c r="M79" s="235"/>
      <c r="N79" s="235"/>
      <c r="O79" s="270"/>
      <c r="P79" s="235"/>
      <c r="Q79" s="268"/>
      <c r="R79" s="540"/>
      <c r="S79" s="631"/>
      <c r="T79" s="462"/>
      <c r="U79" s="462"/>
      <c r="V79" s="462"/>
      <c r="W79" s="462"/>
      <c r="X79" s="462"/>
      <c r="Y79" s="462"/>
      <c r="Z79" s="462"/>
      <c r="AA79" s="462"/>
      <c r="AB79" s="462"/>
      <c r="AC79" s="462"/>
      <c r="AD79" s="462"/>
      <c r="AE79" s="462"/>
      <c r="AF79" s="462"/>
      <c r="AG79" s="462"/>
      <c r="AH79" s="462"/>
      <c r="AI79" s="462"/>
      <c r="AJ79" s="462"/>
    </row>
    <row r="80" spans="1:51" x14ac:dyDescent="0.45">
      <c r="A80" s="227"/>
      <c r="B80" s="321" t="s">
        <v>151</v>
      </c>
      <c r="C80" s="256">
        <v>1</v>
      </c>
      <c r="D80" s="256" t="s">
        <v>22</v>
      </c>
      <c r="E80" s="256"/>
      <c r="F80" s="256"/>
      <c r="G80" s="256"/>
      <c r="H80" s="479"/>
      <c r="I80" s="462"/>
      <c r="J80" s="235"/>
      <c r="K80" s="235"/>
      <c r="L80" s="235"/>
      <c r="M80" s="235"/>
      <c r="N80" s="235"/>
      <c r="O80" s="270"/>
      <c r="P80" s="235"/>
      <c r="Q80" s="268"/>
      <c r="R80" s="540"/>
      <c r="S80" s="631"/>
      <c r="T80" s="462"/>
      <c r="U80" s="462"/>
      <c r="V80" s="462"/>
      <c r="W80" s="462"/>
      <c r="X80" s="462"/>
      <c r="Y80" s="462"/>
      <c r="Z80" s="462"/>
      <c r="AA80" s="462"/>
      <c r="AB80" s="462"/>
      <c r="AC80" s="462"/>
      <c r="AD80" s="462"/>
      <c r="AE80" s="462"/>
      <c r="AF80" s="462"/>
      <c r="AG80" s="462"/>
      <c r="AH80" s="462"/>
      <c r="AI80" s="462"/>
      <c r="AJ80" s="462"/>
    </row>
    <row r="81" spans="1:36" x14ac:dyDescent="0.45">
      <c r="A81" s="545"/>
      <c r="B81" s="334"/>
      <c r="C81" s="256" t="s">
        <v>117</v>
      </c>
      <c r="D81" s="256" t="s">
        <v>118</v>
      </c>
      <c r="E81" s="256" t="s">
        <v>119</v>
      </c>
      <c r="F81" s="323" t="s">
        <v>175</v>
      </c>
      <c r="G81" s="256" t="s">
        <v>233</v>
      </c>
      <c r="H81" s="479" t="s">
        <v>232</v>
      </c>
      <c r="I81" s="462"/>
      <c r="J81" s="553"/>
      <c r="K81" s="235"/>
      <c r="L81" s="235"/>
      <c r="M81" s="235"/>
      <c r="N81" s="235"/>
      <c r="O81" s="270"/>
      <c r="P81" s="235"/>
      <c r="Q81" s="268"/>
      <c r="R81" s="540"/>
      <c r="S81" s="631"/>
      <c r="T81" s="462"/>
      <c r="U81" s="462"/>
      <c r="V81" s="462"/>
      <c r="W81" s="462"/>
      <c r="X81" s="462"/>
      <c r="Y81" s="462"/>
      <c r="Z81" s="462"/>
      <c r="AA81" s="462"/>
      <c r="AB81" s="462"/>
      <c r="AC81" s="462"/>
      <c r="AD81" s="462"/>
      <c r="AE81" s="462"/>
      <c r="AF81" s="462"/>
      <c r="AG81" s="462"/>
      <c r="AH81" s="462"/>
      <c r="AI81" s="462"/>
      <c r="AJ81" s="462"/>
    </row>
    <row r="82" spans="1:36" x14ac:dyDescent="0.45">
      <c r="A82" s="545"/>
      <c r="B82" s="321" t="s">
        <v>90</v>
      </c>
      <c r="C82" s="796">
        <v>0</v>
      </c>
      <c r="D82" s="796">
        <v>0</v>
      </c>
      <c r="E82" s="796">
        <v>0</v>
      </c>
      <c r="F82" s="518">
        <f>(D82+E82)/($C$74*1000000)</f>
        <v>0</v>
      </c>
      <c r="G82" s="322">
        <f>D82*C75/($C$74*1000000)</f>
        <v>0</v>
      </c>
      <c r="H82" s="372">
        <f>E82*$C$79/($C$74*1000000)</f>
        <v>0</v>
      </c>
      <c r="I82" s="462"/>
      <c r="J82" s="868"/>
      <c r="K82" s="703"/>
      <c r="L82" s="703"/>
      <c r="M82" s="235"/>
      <c r="N82" s="235"/>
      <c r="O82" s="270"/>
      <c r="P82" s="235"/>
      <c r="Q82" s="268"/>
      <c r="R82" s="540"/>
      <c r="S82" s="631"/>
      <c r="T82" s="462"/>
      <c r="U82" s="462"/>
      <c r="V82" s="462"/>
      <c r="W82" s="462"/>
      <c r="X82" s="462"/>
      <c r="Y82" s="462"/>
      <c r="Z82" s="462"/>
      <c r="AA82" s="462"/>
      <c r="AB82" s="462"/>
      <c r="AC82" s="462"/>
      <c r="AD82" s="462"/>
      <c r="AE82" s="462"/>
      <c r="AF82" s="462"/>
      <c r="AG82" s="462"/>
      <c r="AH82" s="462"/>
      <c r="AI82" s="462"/>
      <c r="AJ82" s="462"/>
    </row>
    <row r="83" spans="1:36" x14ac:dyDescent="0.45">
      <c r="A83" s="545"/>
      <c r="B83" s="321" t="s">
        <v>30</v>
      </c>
      <c r="C83" s="796">
        <f>(76.8*1+13)*1.27*1000000*0.66*0.9*C80+(80.5*1+16)*1.27*1000000*0.66*0.7*C80</f>
        <v>124363734</v>
      </c>
      <c r="D83" s="796">
        <f>(76.8*1+13*0)*1.27*1000000*0.66*1.9/C76*C80+(80.5*1+16*0)*1.27*1000000*0.66*0.7/C75*C80</f>
        <v>22196134.714285713</v>
      </c>
      <c r="E83" s="796">
        <f>((76.8*0+13*1)*1.27*1000000*0.66*0.9)/C79*C80+((80.5*0+16*1)*1.27*1000000*0.66*0.7)/C79*C80</f>
        <v>767791.20000000007</v>
      </c>
      <c r="F83" s="518">
        <f>(D83+E83)/($C$74*1000000)</f>
        <v>4.1508168668154918E-2</v>
      </c>
      <c r="G83" s="322">
        <f>D83*C76/($C$74*1000000)</f>
        <v>0.2808424982985851</v>
      </c>
      <c r="H83" s="372">
        <f>E83*$C$79/($C$74*1000000)</f>
        <v>3.469529420892617E-2</v>
      </c>
      <c r="I83" s="462"/>
      <c r="J83" s="703"/>
      <c r="K83" s="703"/>
      <c r="L83" s="703"/>
      <c r="M83" s="235"/>
      <c r="N83" s="235"/>
      <c r="O83" s="270"/>
      <c r="P83" s="235"/>
      <c r="Q83" s="268"/>
      <c r="R83" s="540"/>
      <c r="S83" s="631"/>
      <c r="T83" s="462"/>
      <c r="U83" s="462"/>
      <c r="V83" s="462"/>
      <c r="W83" s="462"/>
      <c r="X83" s="462"/>
      <c r="Y83" s="462"/>
      <c r="Z83" s="462"/>
      <c r="AA83" s="462"/>
      <c r="AB83" s="462"/>
      <c r="AC83" s="462"/>
      <c r="AD83" s="462"/>
      <c r="AE83" s="462"/>
      <c r="AF83" s="462"/>
      <c r="AG83" s="462"/>
      <c r="AH83" s="462"/>
      <c r="AI83" s="462"/>
      <c r="AJ83" s="462"/>
    </row>
    <row r="84" spans="1:36" x14ac:dyDescent="0.45">
      <c r="A84" s="545"/>
      <c r="B84" s="321" t="s">
        <v>31</v>
      </c>
      <c r="C84" s="796">
        <f>(110*1+16.3)*1.27*1000000*0.66*0.9*C80</f>
        <v>95278194</v>
      </c>
      <c r="D84" s="796">
        <f>(110*1+16.3*0.85*0)*1.27*1000000*0.66*0.9/C77*C80</f>
        <v>11854542.857142856</v>
      </c>
      <c r="E84" s="796">
        <f>(110*0+16.3*1)*1.27*1000000*0.66*0.9/C79*C80</f>
        <v>491855.76</v>
      </c>
      <c r="F84" s="518">
        <f>(D84+E84)/($C$74*1000000)</f>
        <v>2.2316584636158925E-2</v>
      </c>
      <c r="G84" s="322">
        <f>D84*C77/($C$74*1000000)</f>
        <v>0.14999275662374195</v>
      </c>
      <c r="H84" s="372">
        <f>E84*$C$79/($C$74*1000000)</f>
        <v>2.2226199390609033E-2</v>
      </c>
      <c r="I84" s="462"/>
      <c r="J84" s="703"/>
      <c r="K84" s="703"/>
      <c r="L84" s="703"/>
      <c r="M84" s="235"/>
      <c r="N84" s="235"/>
      <c r="O84" s="270"/>
      <c r="P84" s="235"/>
      <c r="Q84" s="268"/>
      <c r="R84" s="540"/>
      <c r="S84" s="631"/>
      <c r="T84" s="462"/>
      <c r="U84" s="462"/>
      <c r="V84" s="462"/>
      <c r="W84" s="462"/>
      <c r="X84" s="462"/>
      <c r="Y84" s="462"/>
      <c r="Z84" s="462"/>
      <c r="AA84" s="462"/>
      <c r="AB84" s="462"/>
      <c r="AC84" s="462"/>
      <c r="AD84" s="462"/>
      <c r="AE84" s="462"/>
      <c r="AF84" s="462"/>
      <c r="AG84" s="462"/>
      <c r="AH84" s="462"/>
      <c r="AI84" s="462"/>
      <c r="AJ84" s="462"/>
    </row>
    <row r="85" spans="1:36" x14ac:dyDescent="0.45">
      <c r="A85" s="545"/>
      <c r="B85" s="321" t="s">
        <v>32</v>
      </c>
      <c r="C85" s="796">
        <f>(73.5*1+20)*1.27*1000000*0.66*0.9*0.6*C80</f>
        <v>42320718</v>
      </c>
      <c r="D85" s="796">
        <f>(73.5*1+20*0)*1.27*1000000*0.66*0.9*0.6/C78*C80</f>
        <v>4752594</v>
      </c>
      <c r="E85" s="796">
        <f>(73.5*0+20*1)*1.27*1000000*0.66*0.9*0.6/C79*C80</f>
        <v>362102.4</v>
      </c>
      <c r="F85" s="518">
        <f>(D85+E85)/($C$74*1000000)</f>
        <v>9.2450080900815506E-3</v>
      </c>
      <c r="G85" s="322">
        <f>D85*C78/($C$74*1000000)</f>
        <v>6.0133459700972905E-2</v>
      </c>
      <c r="H85" s="372">
        <f>E85*$C$79/($C$74*1000000)</f>
        <v>1.6362846177135484E-2</v>
      </c>
      <c r="I85" s="462"/>
      <c r="J85" s="866"/>
      <c r="K85" s="703"/>
      <c r="L85" s="703"/>
      <c r="M85" s="235"/>
      <c r="N85" s="333"/>
      <c r="O85" s="235"/>
      <c r="P85" s="235"/>
      <c r="Q85" s="268"/>
      <c r="R85" s="215"/>
      <c r="S85" s="631"/>
      <c r="T85" s="462"/>
      <c r="U85" s="462"/>
      <c r="V85" s="462"/>
      <c r="W85" s="462"/>
      <c r="X85" s="462"/>
      <c r="Y85" s="462"/>
      <c r="Z85" s="462"/>
      <c r="AA85" s="462"/>
      <c r="AB85" s="462"/>
      <c r="AC85" s="462"/>
      <c r="AD85" s="462"/>
      <c r="AE85" s="462"/>
      <c r="AF85" s="462"/>
      <c r="AG85" s="462"/>
      <c r="AH85" s="462"/>
      <c r="AI85" s="462"/>
      <c r="AJ85" s="462"/>
    </row>
    <row r="86" spans="1:36" x14ac:dyDescent="0.45">
      <c r="A86" s="545"/>
      <c r="B86" s="373" t="s">
        <v>234</v>
      </c>
      <c r="C86" s="336">
        <f>SUM(C82:C85)/1000000/C74</f>
        <v>0.4735074366426068</v>
      </c>
      <c r="D86" s="324"/>
      <c r="E86" s="337" t="s">
        <v>176</v>
      </c>
      <c r="F86" s="338">
        <f>SUM(F82:F85)</f>
        <v>7.3069761394395388E-2</v>
      </c>
      <c r="G86" s="807">
        <f>SUM(G82:G85)</f>
        <v>0.49096871462329994</v>
      </c>
      <c r="H86" s="821">
        <f>SUM(H82:H85)</f>
        <v>7.328433977667069E-2</v>
      </c>
      <c r="I86" s="270"/>
      <c r="J86" s="235"/>
      <c r="K86" s="235"/>
      <c r="L86" s="235"/>
      <c r="M86" s="235"/>
      <c r="N86" s="235"/>
      <c r="O86" s="307"/>
      <c r="P86" s="235"/>
      <c r="Q86" s="268"/>
      <c r="R86" s="215"/>
      <c r="S86" s="540"/>
      <c r="T86" s="462"/>
      <c r="U86" s="462"/>
      <c r="V86" s="462"/>
      <c r="W86" s="462"/>
      <c r="X86" s="462"/>
      <c r="Y86" s="462"/>
      <c r="Z86" s="462"/>
      <c r="AA86" s="462"/>
      <c r="AB86" s="462"/>
      <c r="AC86" s="462"/>
      <c r="AD86" s="462"/>
      <c r="AE86" s="462"/>
      <c r="AF86" s="462"/>
      <c r="AG86" s="462"/>
      <c r="AH86" s="462"/>
      <c r="AI86" s="462"/>
      <c r="AJ86" s="462"/>
    </row>
    <row r="87" spans="1:36" x14ac:dyDescent="0.45">
      <c r="A87" s="227"/>
      <c r="B87" s="235"/>
      <c r="C87" s="235"/>
      <c r="D87" s="235"/>
      <c r="E87" s="229"/>
      <c r="F87" s="229"/>
      <c r="G87" s="235"/>
      <c r="H87" s="235"/>
      <c r="I87" s="462"/>
      <c r="J87" s="869"/>
      <c r="K87" s="869"/>
      <c r="L87" s="235"/>
      <c r="M87" s="230"/>
      <c r="N87" s="290"/>
      <c r="O87" s="290"/>
      <c r="P87" s="290"/>
      <c r="R87" s="540"/>
      <c r="S87" s="540"/>
      <c r="T87" s="462"/>
      <c r="U87" s="462"/>
      <c r="V87" s="462"/>
      <c r="W87" s="462"/>
      <c r="X87" s="462"/>
      <c r="Y87" s="462"/>
      <c r="Z87" s="462"/>
      <c r="AA87" s="462"/>
      <c r="AB87" s="462"/>
      <c r="AC87" s="462"/>
      <c r="AD87" s="462"/>
      <c r="AE87" s="462"/>
      <c r="AF87" s="462"/>
      <c r="AG87" s="462"/>
      <c r="AH87" s="462"/>
      <c r="AI87" s="462"/>
      <c r="AJ87" s="462"/>
    </row>
    <row r="88" spans="1:36" x14ac:dyDescent="0.45">
      <c r="A88" s="227"/>
      <c r="B88" s="713" t="s">
        <v>61</v>
      </c>
      <c r="C88" s="714"/>
      <c r="D88" s="714"/>
      <c r="E88" s="714"/>
      <c r="F88" s="715"/>
      <c r="G88" s="232"/>
      <c r="H88" s="232"/>
      <c r="I88" s="462"/>
      <c r="J88" s="235"/>
      <c r="K88" s="235"/>
      <c r="L88" s="235"/>
      <c r="M88" s="230"/>
      <c r="N88" s="290"/>
      <c r="O88" s="290"/>
      <c r="P88" s="290"/>
      <c r="R88" s="540"/>
      <c r="S88" s="540"/>
      <c r="T88" s="462"/>
      <c r="U88" s="462"/>
      <c r="V88" s="462"/>
      <c r="W88" s="462"/>
      <c r="X88" s="462"/>
      <c r="Y88" s="462"/>
      <c r="Z88" s="462"/>
      <c r="AA88" s="462"/>
      <c r="AB88" s="462"/>
      <c r="AC88" s="462"/>
      <c r="AD88" s="462"/>
      <c r="AE88" s="462"/>
      <c r="AF88" s="462"/>
      <c r="AG88" s="462"/>
      <c r="AH88" s="462"/>
      <c r="AI88" s="462"/>
      <c r="AJ88" s="462"/>
    </row>
    <row r="89" spans="1:36" x14ac:dyDescent="0.45">
      <c r="A89" s="227"/>
      <c r="B89" s="651" t="s">
        <v>229</v>
      </c>
      <c r="C89" s="663">
        <v>0.05</v>
      </c>
      <c r="D89" s="1026" t="s">
        <v>22</v>
      </c>
      <c r="E89" s="1026"/>
      <c r="F89" s="1030" t="s">
        <v>366</v>
      </c>
      <c r="G89" s="232"/>
      <c r="H89" s="232"/>
      <c r="I89" s="232"/>
      <c r="J89" s="235"/>
      <c r="K89" s="235"/>
      <c r="L89" s="235"/>
      <c r="M89" s="230"/>
      <c r="N89" s="290"/>
      <c r="O89" s="290"/>
      <c r="P89" s="290"/>
      <c r="R89" s="543"/>
      <c r="S89" s="540"/>
      <c r="T89" s="462"/>
      <c r="U89" s="462"/>
      <c r="V89" s="462"/>
      <c r="W89" s="462"/>
      <c r="X89" s="462"/>
      <c r="Y89" s="462"/>
      <c r="Z89" s="462"/>
      <c r="AA89" s="462"/>
      <c r="AB89" s="462"/>
      <c r="AC89" s="462"/>
      <c r="AD89" s="462"/>
      <c r="AE89" s="462"/>
      <c r="AF89" s="462"/>
      <c r="AG89" s="462"/>
      <c r="AH89" s="462"/>
      <c r="AI89" s="462"/>
      <c r="AJ89" s="462"/>
    </row>
    <row r="90" spans="1:36" x14ac:dyDescent="0.45">
      <c r="A90" s="227"/>
      <c r="B90" s="651" t="s">
        <v>230</v>
      </c>
      <c r="C90" s="663">
        <v>0.03</v>
      </c>
      <c r="D90" s="1026" t="s">
        <v>22</v>
      </c>
      <c r="E90" s="1026"/>
      <c r="F90" s="1030">
        <v>0</v>
      </c>
      <c r="G90" s="232"/>
      <c r="H90" s="232"/>
      <c r="I90" s="232"/>
      <c r="J90" s="235"/>
      <c r="K90" s="235"/>
      <c r="L90" s="235"/>
      <c r="M90" s="230"/>
      <c r="N90" s="290"/>
      <c r="O90" s="290"/>
      <c r="P90" s="290"/>
      <c r="R90" s="540"/>
      <c r="S90" s="540"/>
      <c r="T90" s="462"/>
      <c r="U90" s="462"/>
      <c r="V90" s="462"/>
      <c r="W90" s="462"/>
      <c r="X90" s="462"/>
      <c r="Y90" s="462"/>
      <c r="Z90" s="462"/>
      <c r="AA90" s="462"/>
      <c r="AB90" s="462"/>
      <c r="AC90" s="462"/>
      <c r="AD90" s="462"/>
      <c r="AE90" s="462"/>
      <c r="AF90" s="462"/>
      <c r="AG90" s="462"/>
      <c r="AH90" s="462"/>
      <c r="AI90" s="462"/>
      <c r="AJ90" s="462"/>
    </row>
    <row r="91" spans="1:36" x14ac:dyDescent="0.45">
      <c r="A91" s="227"/>
      <c r="B91" s="651"/>
      <c r="C91" s="663" t="s">
        <v>64</v>
      </c>
      <c r="D91" s="1027" t="s">
        <v>175</v>
      </c>
      <c r="E91" s="663"/>
      <c r="F91" s="663" t="s">
        <v>387</v>
      </c>
      <c r="G91" s="365"/>
      <c r="H91" s="365"/>
      <c r="I91" s="232"/>
      <c r="J91" s="235"/>
      <c r="K91" s="235"/>
      <c r="L91" s="235"/>
      <c r="M91" s="230"/>
      <c r="N91" s="290"/>
      <c r="O91" s="290"/>
      <c r="P91" s="290"/>
      <c r="R91" s="540"/>
      <c r="S91" s="540"/>
      <c r="T91" s="462"/>
      <c r="U91" s="462"/>
      <c r="V91" s="462"/>
      <c r="W91" s="462"/>
      <c r="X91" s="462"/>
      <c r="Y91" s="462"/>
      <c r="Z91" s="462"/>
      <c r="AA91" s="462"/>
      <c r="AB91" s="462"/>
      <c r="AC91" s="462"/>
      <c r="AD91" s="462"/>
      <c r="AE91" s="462"/>
      <c r="AF91" s="462"/>
      <c r="AG91" s="462"/>
      <c r="AH91" s="462"/>
      <c r="AI91" s="462"/>
      <c r="AJ91" s="462"/>
    </row>
    <row r="92" spans="1:36" x14ac:dyDescent="0.45">
      <c r="A92" s="227"/>
      <c r="B92" s="651" t="s">
        <v>90</v>
      </c>
      <c r="C92" s="716">
        <f>IF(F90=1,F92,D82*C75*C89+E82*C79*C90)</f>
        <v>0</v>
      </c>
      <c r="D92" s="1028">
        <f>C92/($C$74*1000000)</f>
        <v>0</v>
      </c>
      <c r="E92" s="663"/>
      <c r="F92" s="1031">
        <v>0</v>
      </c>
      <c r="G92" s="232"/>
      <c r="H92" s="232"/>
      <c r="I92" s="232"/>
      <c r="J92" s="235"/>
      <c r="K92" s="235"/>
      <c r="L92" s="235"/>
      <c r="M92" s="230"/>
      <c r="N92" s="290"/>
      <c r="O92" s="290"/>
      <c r="P92" s="290"/>
      <c r="R92" s="540"/>
      <c r="S92" s="540"/>
      <c r="T92" s="462"/>
      <c r="U92" s="462"/>
      <c r="V92" s="298"/>
      <c r="W92" s="462"/>
      <c r="X92" s="462"/>
      <c r="Y92" s="462"/>
      <c r="Z92" s="462"/>
      <c r="AA92" s="462"/>
      <c r="AB92" s="462"/>
      <c r="AC92" s="230"/>
      <c r="AD92" s="462"/>
      <c r="AE92" s="462"/>
      <c r="AF92" s="462"/>
      <c r="AG92" s="462"/>
      <c r="AH92" s="462"/>
      <c r="AI92" s="462"/>
      <c r="AJ92" s="462"/>
    </row>
    <row r="93" spans="1:36" x14ac:dyDescent="0.45">
      <c r="A93" s="227"/>
      <c r="B93" s="651" t="s">
        <v>30</v>
      </c>
      <c r="C93" s="716">
        <f>IF(F90=1,F93,D83*C76*C89+E83*C79*C90)</f>
        <v>8344490.5500000007</v>
      </c>
      <c r="D93" s="1028">
        <f>C93/($C$74*1000000)</f>
        <v>1.5082983741197042E-2</v>
      </c>
      <c r="E93" s="663"/>
      <c r="F93" s="1031">
        <v>8344490.5500000007</v>
      </c>
      <c r="G93" s="232"/>
      <c r="H93" s="232"/>
      <c r="I93" s="232"/>
      <c r="J93" s="235"/>
      <c r="K93" s="235"/>
      <c r="L93" s="235"/>
      <c r="M93" s="230"/>
      <c r="N93" s="290"/>
      <c r="O93" s="290"/>
      <c r="P93" s="290"/>
      <c r="R93" s="534"/>
      <c r="S93" s="540"/>
      <c r="T93" s="462"/>
      <c r="U93" s="462"/>
      <c r="V93" s="298"/>
      <c r="W93" s="462"/>
      <c r="X93" s="462"/>
      <c r="Y93" s="553"/>
      <c r="Z93" s="462"/>
      <c r="AA93" s="462"/>
      <c r="AB93" s="462"/>
      <c r="AC93" s="230"/>
      <c r="AD93" s="462"/>
      <c r="AE93" s="462"/>
      <c r="AF93" s="462"/>
      <c r="AG93" s="462"/>
      <c r="AH93" s="462"/>
      <c r="AI93" s="462"/>
      <c r="AJ93" s="462"/>
    </row>
    <row r="94" spans="1:36" x14ac:dyDescent="0.45">
      <c r="A94" s="227"/>
      <c r="B94" s="651" t="s">
        <v>31</v>
      </c>
      <c r="C94" s="716">
        <f>IF(F90=1,F94,D84*C77*C89+E84*C79*C90)</f>
        <v>4517981.82</v>
      </c>
      <c r="D94" s="1028">
        <f>C94/($C$74*1000000)</f>
        <v>8.1664238129053688E-3</v>
      </c>
      <c r="E94" s="663"/>
      <c r="F94" s="1031">
        <v>4517981.82</v>
      </c>
      <c r="G94" s="232"/>
      <c r="H94" s="232"/>
      <c r="I94" s="232"/>
      <c r="J94" s="235"/>
      <c r="K94" s="235"/>
      <c r="L94" s="235"/>
      <c r="M94" s="230"/>
      <c r="N94" s="290"/>
      <c r="O94" s="290"/>
      <c r="P94" s="290"/>
      <c r="R94" s="540"/>
      <c r="S94" s="631"/>
      <c r="T94" s="462"/>
      <c r="U94" s="462"/>
      <c r="V94" s="822"/>
      <c r="W94" s="462"/>
      <c r="X94" s="462"/>
      <c r="Y94" s="553"/>
      <c r="Z94" s="462"/>
      <c r="AA94" s="462"/>
      <c r="AB94" s="462"/>
      <c r="AC94" s="462"/>
      <c r="AD94" s="462"/>
      <c r="AE94" s="462"/>
      <c r="AF94" s="462"/>
      <c r="AG94" s="462"/>
      <c r="AH94" s="462"/>
      <c r="AI94" s="462"/>
      <c r="AJ94" s="462"/>
    </row>
    <row r="95" spans="1:36" s="458" customFormat="1" x14ac:dyDescent="0.45">
      <c r="A95" s="459"/>
      <c r="B95" s="651" t="s">
        <v>32</v>
      </c>
      <c r="C95" s="716">
        <f>IF(F90=1,F95,D85*C78*C89+E85*C79*C90)</f>
        <v>1934984.7000000002</v>
      </c>
      <c r="D95" s="1028">
        <f>C95/($C$74*1000000)</f>
        <v>3.4975583703627101E-3</v>
      </c>
      <c r="E95" s="663"/>
      <c r="F95" s="1031">
        <v>1934984.7000000002</v>
      </c>
      <c r="G95" s="460"/>
      <c r="H95" s="460"/>
      <c r="I95" s="460"/>
      <c r="J95" s="462"/>
      <c r="K95" s="462"/>
      <c r="L95" s="462"/>
      <c r="M95" s="230"/>
      <c r="N95" s="290"/>
      <c r="O95" s="290"/>
      <c r="P95" s="290"/>
      <c r="R95" s="540"/>
      <c r="S95" s="631"/>
      <c r="T95" s="462"/>
      <c r="U95" s="462"/>
      <c r="V95" s="535"/>
      <c r="W95" s="462"/>
      <c r="X95" s="462"/>
      <c r="Y95" s="553"/>
      <c r="Z95" s="462"/>
      <c r="AA95" s="462"/>
      <c r="AB95" s="462"/>
      <c r="AC95" s="462"/>
      <c r="AD95" s="462"/>
      <c r="AE95" s="462"/>
      <c r="AF95" s="462"/>
      <c r="AG95" s="462"/>
      <c r="AH95" s="462"/>
      <c r="AI95" s="462"/>
      <c r="AJ95" s="462"/>
    </row>
    <row r="96" spans="1:36" s="458" customFormat="1" x14ac:dyDescent="0.45">
      <c r="A96" s="459"/>
      <c r="B96" s="717"/>
      <c r="C96" s="718" t="s">
        <v>176</v>
      </c>
      <c r="D96" s="1029">
        <f>SUM(D92:D95)</f>
        <v>2.674696592446512E-2</v>
      </c>
      <c r="E96" s="1032"/>
      <c r="F96" s="1033"/>
      <c r="G96" s="460"/>
      <c r="H96" s="460"/>
      <c r="I96" s="460"/>
      <c r="J96" s="462"/>
      <c r="K96" s="462"/>
      <c r="L96" s="462"/>
      <c r="M96" s="230"/>
      <c r="N96" s="290"/>
      <c r="O96" s="290"/>
      <c r="P96" s="290"/>
      <c r="R96" s="540"/>
      <c r="S96" s="548"/>
      <c r="T96" s="462"/>
      <c r="U96" s="462"/>
      <c r="V96" s="535"/>
      <c r="W96" s="462"/>
      <c r="X96" s="462"/>
      <c r="Y96" s="553"/>
      <c r="Z96" s="462"/>
      <c r="AA96" s="462"/>
      <c r="AB96" s="462"/>
      <c r="AC96" s="462"/>
      <c r="AD96" s="462"/>
      <c r="AE96" s="462"/>
      <c r="AF96" s="462"/>
      <c r="AG96" s="462"/>
      <c r="AH96" s="462"/>
      <c r="AI96" s="462"/>
      <c r="AJ96" s="462"/>
    </row>
    <row r="97" spans="1:36" x14ac:dyDescent="0.45">
      <c r="A97" s="227"/>
      <c r="B97" s="232"/>
      <c r="C97" s="232"/>
      <c r="D97" s="232"/>
      <c r="E97" s="232"/>
      <c r="F97" s="232"/>
      <c r="G97" s="232"/>
      <c r="H97" s="232"/>
      <c r="I97" s="232"/>
      <c r="J97" s="235"/>
      <c r="K97" s="235"/>
      <c r="L97" s="235"/>
      <c r="M97" s="230"/>
      <c r="N97" s="290"/>
      <c r="O97" s="290"/>
      <c r="P97" s="290"/>
      <c r="R97" s="540"/>
      <c r="S97" s="548"/>
      <c r="T97" s="462"/>
      <c r="U97" s="462"/>
      <c r="V97" s="535"/>
      <c r="W97" s="462"/>
      <c r="X97" s="462"/>
      <c r="Y97" s="553"/>
      <c r="Z97" s="462"/>
      <c r="AA97" s="462"/>
      <c r="AB97" s="462"/>
      <c r="AC97" s="462"/>
      <c r="AD97" s="462"/>
      <c r="AE97" s="462"/>
      <c r="AF97" s="462"/>
      <c r="AG97" s="462"/>
      <c r="AH97" s="462"/>
      <c r="AI97" s="462"/>
      <c r="AJ97" s="462"/>
    </row>
    <row r="98" spans="1:36" x14ac:dyDescent="0.45">
      <c r="A98" s="227"/>
      <c r="B98" s="470" t="s">
        <v>25</v>
      </c>
      <c r="C98" s="471"/>
      <c r="D98" s="488"/>
      <c r="E98" s="488"/>
      <c r="F98" s="488"/>
      <c r="G98" s="494"/>
      <c r="H98" s="488"/>
      <c r="I98" s="472"/>
      <c r="R98" s="540"/>
      <c r="S98" s="548"/>
      <c r="T98" s="462"/>
      <c r="U98" s="462"/>
      <c r="V98" s="298"/>
      <c r="W98" s="462"/>
      <c r="X98" s="462"/>
      <c r="Y98" s="553"/>
      <c r="Z98" s="462"/>
      <c r="AA98" s="462"/>
      <c r="AB98" s="462"/>
      <c r="AC98" s="462"/>
      <c r="AD98" s="462"/>
      <c r="AE98" s="462"/>
      <c r="AF98" s="462"/>
      <c r="AG98" s="462"/>
      <c r="AH98" s="462"/>
      <c r="AI98" s="462"/>
      <c r="AJ98" s="462"/>
    </row>
    <row r="99" spans="1:36" x14ac:dyDescent="0.45">
      <c r="A99" s="227"/>
      <c r="B99" s="467"/>
      <c r="C99" s="704" t="s">
        <v>210</v>
      </c>
      <c r="D99" s="466" t="s">
        <v>194</v>
      </c>
      <c r="E99" s="466" t="s">
        <v>195</v>
      </c>
      <c r="F99" s="586" t="s">
        <v>327</v>
      </c>
      <c r="G99" s="495" t="s">
        <v>200</v>
      </c>
      <c r="H99" s="466" t="s">
        <v>201</v>
      </c>
      <c r="I99" s="469" t="s">
        <v>202</v>
      </c>
      <c r="R99" s="540"/>
      <c r="S99" s="631"/>
      <c r="T99" s="462"/>
      <c r="U99" s="462"/>
      <c r="V99" s="535"/>
      <c r="W99" s="462"/>
      <c r="X99" s="462"/>
      <c r="Y99" s="553"/>
      <c r="Z99" s="462"/>
      <c r="AA99" s="462"/>
      <c r="AB99" s="462"/>
      <c r="AC99" s="462"/>
      <c r="AD99" s="462"/>
      <c r="AE99" s="462"/>
      <c r="AF99" s="462"/>
      <c r="AG99" s="462"/>
      <c r="AH99" s="462"/>
      <c r="AI99" s="462"/>
      <c r="AJ99" s="462"/>
    </row>
    <row r="100" spans="1:36" x14ac:dyDescent="0.45">
      <c r="A100" s="227"/>
      <c r="B100" s="467" t="s">
        <v>90</v>
      </c>
      <c r="C100" s="704">
        <v>0</v>
      </c>
      <c r="D100" s="532">
        <v>0</v>
      </c>
      <c r="E100" s="532">
        <f>0.05*(C100+D100)</f>
        <v>0</v>
      </c>
      <c r="F100" s="477">
        <f>C100*$C$12*$C$15+D100*$C$13*$C$15+E100*$C$14*$C$15</f>
        <v>0</v>
      </c>
      <c r="G100" s="475">
        <f>F100/$C$73</f>
        <v>0</v>
      </c>
      <c r="H100" s="468">
        <f>SUM(C100:E100)/$C$74</f>
        <v>0</v>
      </c>
      <c r="I100" s="496">
        <f>SUM(C100:E100)*4/$C$74</f>
        <v>0</v>
      </c>
      <c r="R100" s="540"/>
      <c r="S100" s="548"/>
      <c r="T100" s="462"/>
      <c r="U100" s="462"/>
      <c r="V100" s="535"/>
      <c r="W100" s="462"/>
      <c r="X100" s="462"/>
      <c r="Y100" s="553"/>
      <c r="Z100" s="462"/>
      <c r="AA100" s="462"/>
      <c r="AB100" s="462"/>
      <c r="AC100" s="462"/>
      <c r="AD100" s="462"/>
      <c r="AE100" s="462"/>
      <c r="AF100" s="462"/>
      <c r="AG100" s="462"/>
      <c r="AH100" s="462"/>
      <c r="AI100" s="462"/>
      <c r="AJ100" s="462"/>
    </row>
    <row r="101" spans="1:36" x14ac:dyDescent="0.45">
      <c r="A101" s="227"/>
      <c r="B101" s="467" t="s">
        <v>30</v>
      </c>
      <c r="C101" s="704">
        <f>39/1.32</f>
        <v>29.545454545454543</v>
      </c>
      <c r="D101" s="532">
        <v>12</v>
      </c>
      <c r="E101" s="532">
        <f>0.05*(C101+D101)</f>
        <v>2.0772727272727276</v>
      </c>
      <c r="F101" s="477">
        <f>C101*$C$12*$C$15+D101*$C$13*$C$15+E101*$C$14*$C$15</f>
        <v>970.39862159090899</v>
      </c>
      <c r="G101" s="475">
        <f>F101/$C$73</f>
        <v>1.5365323662060679E-2</v>
      </c>
      <c r="H101" s="468">
        <f>SUM(C101:E101)/$C$74</f>
        <v>7.8849737112017967E-2</v>
      </c>
      <c r="I101" s="496">
        <f>SUM(C101:E101)*4/$C$74</f>
        <v>0.31539894844807187</v>
      </c>
      <c r="R101" s="540"/>
      <c r="S101" s="548"/>
      <c r="T101" s="462"/>
      <c r="U101" s="462"/>
      <c r="V101" s="535"/>
      <c r="W101" s="462"/>
      <c r="X101" s="462"/>
      <c r="Y101" s="462"/>
      <c r="Z101" s="462"/>
      <c r="AA101" s="462"/>
      <c r="AB101" s="462"/>
      <c r="AC101" s="462"/>
      <c r="AD101" s="462"/>
      <c r="AE101" s="462"/>
      <c r="AF101" s="462"/>
      <c r="AG101" s="462"/>
      <c r="AH101" s="462"/>
      <c r="AI101" s="462"/>
      <c r="AJ101" s="462"/>
    </row>
    <row r="102" spans="1:36" x14ac:dyDescent="0.45">
      <c r="A102" s="227"/>
      <c r="B102" s="467" t="s">
        <v>31</v>
      </c>
      <c r="C102" s="704">
        <f>62/2/1.48</f>
        <v>20.945945945945947</v>
      </c>
      <c r="D102" s="532">
        <f>16/1.48</f>
        <v>10.810810810810811</v>
      </c>
      <c r="E102" s="532">
        <f>0.05*(C102+D102)</f>
        <v>1.5878378378378379</v>
      </c>
      <c r="F102" s="477">
        <f>C102*$C$12*$C$15+D102*$C$13*$C$15+E102*$C$14*$C$15</f>
        <v>755.02125844594593</v>
      </c>
      <c r="G102" s="475">
        <f>F102/$C$73</f>
        <v>1.1955031416614088E-2</v>
      </c>
      <c r="H102" s="468">
        <f>SUM(C102:E102)/$C$74</f>
        <v>6.0271621750123142E-2</v>
      </c>
      <c r="I102" s="496">
        <f>SUM(C102:E102)*4/$C$74</f>
        <v>0.24108648700049257</v>
      </c>
      <c r="R102" s="540"/>
      <c r="S102" s="548"/>
      <c r="T102" s="462"/>
      <c r="U102" s="462"/>
      <c r="V102" s="535"/>
      <c r="W102" s="462"/>
      <c r="X102" s="462"/>
      <c r="Y102" s="462"/>
      <c r="Z102" s="462"/>
      <c r="AA102" s="462"/>
      <c r="AB102" s="462"/>
      <c r="AC102" s="462"/>
      <c r="AD102" s="462"/>
      <c r="AE102" s="462"/>
      <c r="AF102" s="462"/>
      <c r="AG102" s="462"/>
      <c r="AH102" s="462"/>
      <c r="AI102" s="462"/>
      <c r="AJ102" s="462"/>
    </row>
    <row r="103" spans="1:36" x14ac:dyDescent="0.45">
      <c r="A103" s="227"/>
      <c r="B103" s="467" t="s">
        <v>32</v>
      </c>
      <c r="C103" s="704">
        <f>58/2/1.65</f>
        <v>17.575757575757578</v>
      </c>
      <c r="D103" s="532">
        <f>16/1.65</f>
        <v>9.6969696969696972</v>
      </c>
      <c r="E103" s="532">
        <f>0.05*(C103+D103)</f>
        <v>1.3636363636363638</v>
      </c>
      <c r="F103" s="477">
        <f>C103*$C$12*$C$15+D103*$C$13*$C$15+E103*$C$14*$C$15</f>
        <v>651.75344696969694</v>
      </c>
      <c r="G103" s="475">
        <f>F103/$C$73</f>
        <v>1.031988549626657E-2</v>
      </c>
      <c r="H103" s="468">
        <f>SUM(C103:E103)/$C$74</f>
        <v>5.1761315390821419E-2</v>
      </c>
      <c r="I103" s="496">
        <f>SUM(C103:E103)*4/$C$74</f>
        <v>0.20704526156328568</v>
      </c>
      <c r="R103" s="540"/>
      <c r="S103" s="548"/>
      <c r="T103" s="462"/>
      <c r="U103" s="462"/>
      <c r="V103" s="298"/>
      <c r="W103" s="462"/>
      <c r="X103" s="462"/>
      <c r="Y103" s="462"/>
      <c r="Z103" s="462"/>
      <c r="AA103" s="462"/>
      <c r="AB103" s="462"/>
      <c r="AC103" s="462"/>
      <c r="AD103" s="462"/>
      <c r="AE103" s="462"/>
      <c r="AF103" s="462"/>
      <c r="AG103" s="462"/>
      <c r="AH103" s="462"/>
      <c r="AI103" s="462"/>
      <c r="AJ103" s="462"/>
    </row>
    <row r="104" spans="1:36" x14ac:dyDescent="0.45">
      <c r="A104" s="227"/>
      <c r="B104" s="489" t="s">
        <v>3</v>
      </c>
      <c r="C104" s="490">
        <f>SUM(C100:C103)</f>
        <v>68.067158067158061</v>
      </c>
      <c r="D104" s="490">
        <f t="shared" ref="D104:I104" si="3">SUM(D100:D103)</f>
        <v>32.50778050778051</v>
      </c>
      <c r="E104" s="490">
        <f t="shared" si="3"/>
        <v>5.02874692874693</v>
      </c>
      <c r="F104" s="491">
        <f t="shared" si="3"/>
        <v>2377.173327006552</v>
      </c>
      <c r="G104" s="476">
        <f>SUM(G100:G103)</f>
        <v>3.7640240574941336E-2</v>
      </c>
      <c r="H104" s="492">
        <f t="shared" si="3"/>
        <v>0.19088267425296251</v>
      </c>
      <c r="I104" s="493">
        <f t="shared" si="3"/>
        <v>0.76353069701185006</v>
      </c>
      <c r="R104" s="540"/>
      <c r="S104" s="548"/>
      <c r="T104" s="462"/>
      <c r="U104" s="462"/>
      <c r="V104" s="535"/>
      <c r="W104" s="462"/>
      <c r="X104" s="462"/>
      <c r="Y104" s="462"/>
      <c r="Z104" s="462"/>
      <c r="AA104" s="462"/>
      <c r="AB104" s="462"/>
      <c r="AC104" s="462"/>
      <c r="AD104" s="462"/>
      <c r="AE104" s="462"/>
      <c r="AF104" s="462"/>
      <c r="AG104" s="462"/>
      <c r="AH104" s="462"/>
      <c r="AI104" s="462"/>
      <c r="AJ104" s="462"/>
    </row>
    <row r="105" spans="1:36" x14ac:dyDescent="0.45">
      <c r="A105" s="227"/>
      <c r="R105" s="540"/>
      <c r="S105" s="548"/>
      <c r="T105" s="462"/>
      <c r="U105" s="462"/>
      <c r="V105" s="298"/>
      <c r="W105" s="462"/>
      <c r="X105" s="462"/>
      <c r="Y105" s="462"/>
      <c r="Z105" s="462"/>
      <c r="AA105" s="462"/>
      <c r="AB105" s="462"/>
      <c r="AC105" s="462"/>
      <c r="AD105" s="462"/>
      <c r="AE105" s="462"/>
      <c r="AF105" s="462"/>
      <c r="AG105" s="462"/>
      <c r="AH105" s="462"/>
      <c r="AI105" s="462"/>
      <c r="AJ105" s="462"/>
    </row>
    <row r="106" spans="1:36" s="458" customFormat="1" x14ac:dyDescent="0.45">
      <c r="A106" s="459"/>
      <c r="B106" s="498" t="s">
        <v>207</v>
      </c>
      <c r="C106" s="499"/>
      <c r="D106" s="500"/>
      <c r="R106" s="540"/>
      <c r="S106" s="548"/>
      <c r="T106" s="462"/>
      <c r="U106" s="548"/>
      <c r="V106" s="535"/>
      <c r="W106" s="462"/>
      <c r="X106" s="462"/>
      <c r="Y106" s="462"/>
      <c r="Z106" s="462"/>
      <c r="AA106" s="462"/>
      <c r="AB106" s="462"/>
      <c r="AC106" s="462"/>
      <c r="AD106" s="462"/>
      <c r="AE106" s="462"/>
      <c r="AF106" s="462"/>
      <c r="AG106" s="462"/>
      <c r="AH106" s="462"/>
      <c r="AI106" s="462"/>
      <c r="AJ106" s="462"/>
    </row>
    <row r="107" spans="1:36" s="458" customFormat="1" x14ac:dyDescent="0.45">
      <c r="A107" s="459"/>
      <c r="B107" s="285" t="s">
        <v>204</v>
      </c>
      <c r="C107" s="670">
        <v>1000</v>
      </c>
      <c r="D107" s="342" t="s">
        <v>205</v>
      </c>
      <c r="R107" s="540"/>
      <c r="S107" s="548"/>
      <c r="T107" s="462"/>
      <c r="U107" s="462"/>
      <c r="V107" s="298"/>
      <c r="W107" s="462"/>
      <c r="X107" s="462"/>
      <c r="Y107" s="462"/>
      <c r="Z107" s="462"/>
      <c r="AA107" s="462"/>
      <c r="AB107" s="462"/>
      <c r="AC107" s="462"/>
      <c r="AD107" s="462"/>
      <c r="AE107" s="462"/>
      <c r="AF107" s="462"/>
      <c r="AG107" s="462"/>
      <c r="AH107" s="462"/>
      <c r="AI107" s="462"/>
      <c r="AJ107" s="462"/>
    </row>
    <row r="108" spans="1:36" s="458" customFormat="1" x14ac:dyDescent="0.45">
      <c r="A108" s="459"/>
      <c r="B108" s="285" t="s">
        <v>206</v>
      </c>
      <c r="C108" s="370">
        <v>0</v>
      </c>
      <c r="D108" s="683" t="s">
        <v>259</v>
      </c>
      <c r="R108" s="540"/>
      <c r="S108" s="548"/>
      <c r="T108" s="462"/>
      <c r="U108" s="462"/>
      <c r="V108" s="535"/>
      <c r="W108" s="462"/>
      <c r="X108" s="462"/>
      <c r="Y108" s="462"/>
      <c r="Z108" s="462"/>
      <c r="AA108" s="462"/>
      <c r="AB108" s="462"/>
      <c r="AC108" s="462"/>
      <c r="AD108" s="462"/>
      <c r="AE108" s="462"/>
      <c r="AF108" s="462"/>
      <c r="AG108" s="462"/>
      <c r="AH108" s="462"/>
      <c r="AI108" s="462"/>
      <c r="AJ108" s="462"/>
    </row>
    <row r="109" spans="1:36" s="458" customFormat="1" x14ac:dyDescent="0.45">
      <c r="A109" s="459"/>
      <c r="B109" s="672" t="s">
        <v>347</v>
      </c>
      <c r="C109" s="929">
        <f>C108/C107*C25/1000</f>
        <v>0</v>
      </c>
      <c r="D109" s="932" t="s">
        <v>138</v>
      </c>
      <c r="R109" s="540"/>
      <c r="S109" s="548"/>
      <c r="T109" s="462"/>
      <c r="U109" s="462"/>
      <c r="V109" s="535"/>
      <c r="W109" s="462"/>
      <c r="X109" s="462"/>
      <c r="Y109" s="462"/>
      <c r="Z109" s="462"/>
      <c r="AA109" s="462"/>
      <c r="AB109" s="462"/>
      <c r="AC109" s="462"/>
      <c r="AD109" s="462"/>
      <c r="AE109" s="462"/>
      <c r="AF109" s="462"/>
      <c r="AG109" s="462"/>
      <c r="AH109" s="462"/>
      <c r="AI109" s="462"/>
      <c r="AJ109" s="462"/>
    </row>
    <row r="110" spans="1:36" s="540" customFormat="1" x14ac:dyDescent="0.45">
      <c r="A110" s="545"/>
      <c r="B110" s="672" t="s">
        <v>339</v>
      </c>
      <c r="C110" s="669">
        <f>$C$148*$C$149*$C$150</f>
        <v>0.94594500000000004</v>
      </c>
      <c r="D110" s="683" t="s">
        <v>22</v>
      </c>
      <c r="S110" s="548"/>
      <c r="T110" s="553"/>
      <c r="U110" s="553"/>
      <c r="V110" s="535"/>
      <c r="W110" s="553"/>
      <c r="X110" s="553"/>
      <c r="Y110" s="553"/>
      <c r="Z110" s="553"/>
      <c r="AA110" s="553"/>
      <c r="AB110" s="553"/>
      <c r="AC110" s="553"/>
      <c r="AD110" s="553"/>
      <c r="AE110" s="553"/>
      <c r="AF110" s="553"/>
      <c r="AG110" s="553"/>
      <c r="AH110" s="553"/>
      <c r="AI110" s="553"/>
      <c r="AJ110" s="553"/>
    </row>
    <row r="111" spans="1:36" s="540" customFormat="1" x14ac:dyDescent="0.45">
      <c r="A111" s="545"/>
      <c r="B111" s="925" t="s">
        <v>206</v>
      </c>
      <c r="C111" s="503">
        <f>C109/C110</f>
        <v>0</v>
      </c>
      <c r="D111" s="738" t="s">
        <v>138</v>
      </c>
      <c r="S111" s="548"/>
      <c r="T111" s="553"/>
      <c r="U111" s="553"/>
      <c r="V111" s="535"/>
      <c r="W111" s="553"/>
      <c r="X111" s="553"/>
      <c r="Y111" s="553"/>
      <c r="Z111" s="553"/>
      <c r="AA111" s="553"/>
      <c r="AB111" s="553"/>
      <c r="AC111" s="553"/>
      <c r="AD111" s="553"/>
      <c r="AE111" s="553"/>
      <c r="AF111" s="553"/>
      <c r="AG111" s="553"/>
      <c r="AH111" s="553"/>
      <c r="AI111" s="553"/>
      <c r="AJ111" s="553"/>
    </row>
    <row r="112" spans="1:36" s="458" customFormat="1" x14ac:dyDescent="0.45">
      <c r="A112" s="459"/>
      <c r="R112" s="540"/>
      <c r="S112" s="548"/>
      <c r="T112" s="462"/>
      <c r="U112" s="462"/>
      <c r="V112" s="535"/>
      <c r="W112" s="462"/>
      <c r="X112" s="462"/>
      <c r="Y112" s="462"/>
      <c r="Z112" s="462"/>
      <c r="AA112" s="462"/>
      <c r="AB112" s="462"/>
      <c r="AC112" s="462"/>
      <c r="AD112" s="462"/>
      <c r="AE112" s="462"/>
      <c r="AF112" s="462"/>
      <c r="AG112" s="462"/>
      <c r="AH112" s="462"/>
      <c r="AI112" s="462"/>
      <c r="AJ112" s="462"/>
    </row>
    <row r="113" spans="1:51" s="458" customFormat="1" x14ac:dyDescent="0.45">
      <c r="A113" s="459"/>
      <c r="B113" s="366" t="s">
        <v>208</v>
      </c>
      <c r="C113" s="367"/>
      <c r="D113" s="368"/>
      <c r="R113" s="540"/>
      <c r="S113" s="548"/>
      <c r="T113" s="462"/>
      <c r="U113" s="462"/>
      <c r="V113" s="298"/>
      <c r="W113" s="462"/>
      <c r="X113" s="462"/>
      <c r="Y113" s="462"/>
      <c r="Z113" s="462"/>
      <c r="AA113" s="462"/>
      <c r="AB113" s="462"/>
      <c r="AC113" s="462"/>
      <c r="AD113" s="462"/>
      <c r="AE113" s="462"/>
      <c r="AF113" s="462"/>
      <c r="AG113" s="462"/>
      <c r="AH113" s="462"/>
      <c r="AI113" s="462"/>
      <c r="AJ113" s="462"/>
    </row>
    <row r="114" spans="1:51" s="458" customFormat="1" x14ac:dyDescent="0.45">
      <c r="A114" s="459"/>
      <c r="B114" s="505" t="s">
        <v>212</v>
      </c>
      <c r="C114" s="367">
        <v>0</v>
      </c>
      <c r="D114" s="368" t="s">
        <v>211</v>
      </c>
      <c r="R114" s="540"/>
      <c r="S114" s="548"/>
      <c r="T114" s="462"/>
      <c r="U114" s="462"/>
      <c r="V114" s="462"/>
      <c r="W114" s="462"/>
      <c r="X114" s="462"/>
      <c r="Y114" s="462"/>
      <c r="Z114" s="462"/>
      <c r="AA114" s="462"/>
      <c r="AB114" s="462"/>
      <c r="AC114" s="462"/>
      <c r="AD114" s="462"/>
      <c r="AE114" s="462"/>
      <c r="AF114" s="462"/>
      <c r="AG114" s="462"/>
      <c r="AH114" s="462"/>
      <c r="AI114" s="462"/>
      <c r="AJ114" s="462"/>
    </row>
    <row r="115" spans="1:51" s="458" customFormat="1" x14ac:dyDescent="0.45">
      <c r="A115" s="459"/>
      <c r="B115" s="506" t="s">
        <v>213</v>
      </c>
      <c r="C115" s="369">
        <v>12</v>
      </c>
      <c r="D115" s="341" t="s">
        <v>214</v>
      </c>
      <c r="R115" s="540"/>
      <c r="S115" s="548"/>
      <c r="T115" s="462"/>
      <c r="U115" s="462"/>
      <c r="V115" s="462"/>
      <c r="W115" s="462"/>
      <c r="X115" s="462"/>
      <c r="Y115" s="462"/>
      <c r="Z115" s="462"/>
      <c r="AA115" s="462"/>
      <c r="AB115" s="462"/>
      <c r="AC115" s="462"/>
      <c r="AD115" s="462"/>
      <c r="AE115" s="462"/>
      <c r="AF115" s="462"/>
      <c r="AG115" s="462"/>
      <c r="AH115" s="462"/>
      <c r="AI115" s="462"/>
      <c r="AJ115" s="462"/>
    </row>
    <row r="116" spans="1:51" s="458" customFormat="1" x14ac:dyDescent="0.45">
      <c r="A116" s="459"/>
      <c r="B116" s="254" t="s">
        <v>216</v>
      </c>
      <c r="C116" s="369">
        <v>210</v>
      </c>
      <c r="D116" s="341" t="s">
        <v>215</v>
      </c>
      <c r="R116" s="540"/>
      <c r="S116" s="394"/>
      <c r="T116" s="462"/>
      <c r="U116" s="462"/>
      <c r="V116" s="462"/>
      <c r="W116" s="462"/>
      <c r="X116" s="462"/>
      <c r="Y116" s="462"/>
      <c r="Z116" s="462"/>
      <c r="AA116" s="462"/>
      <c r="AB116" s="462"/>
      <c r="AC116" s="462"/>
      <c r="AD116" s="462"/>
      <c r="AE116" s="462"/>
      <c r="AF116" s="462"/>
      <c r="AG116" s="462"/>
      <c r="AH116" s="462"/>
      <c r="AI116" s="462"/>
      <c r="AJ116" s="462"/>
    </row>
    <row r="117" spans="1:51" s="458" customFormat="1" x14ac:dyDescent="0.45">
      <c r="A117" s="459"/>
      <c r="B117" s="254" t="s">
        <v>222</v>
      </c>
      <c r="C117" s="369">
        <f>156*1000/C116/60</f>
        <v>12.380952380952381</v>
      </c>
      <c r="D117" s="341" t="s">
        <v>218</v>
      </c>
      <c r="R117" s="540"/>
      <c r="S117" s="553"/>
      <c r="T117" s="462"/>
      <c r="U117" s="462"/>
      <c r="V117" s="462"/>
      <c r="W117" s="462"/>
      <c r="X117" s="462"/>
      <c r="Y117" s="462"/>
      <c r="Z117" s="462"/>
      <c r="AA117" s="462"/>
      <c r="AB117" s="462"/>
      <c r="AC117" s="462"/>
      <c r="AD117" s="462"/>
      <c r="AE117" s="462"/>
      <c r="AF117" s="462"/>
      <c r="AG117" s="462"/>
      <c r="AH117" s="462"/>
      <c r="AI117" s="462"/>
      <c r="AJ117" s="462"/>
    </row>
    <row r="118" spans="1:51" s="458" customFormat="1" x14ac:dyDescent="0.45">
      <c r="A118" s="459"/>
      <c r="B118" s="254" t="s">
        <v>225</v>
      </c>
      <c r="C118" s="369">
        <f>C115*C117*60*60/1000*C114</f>
        <v>0</v>
      </c>
      <c r="D118" s="341" t="s">
        <v>1</v>
      </c>
      <c r="R118" s="540"/>
      <c r="S118" s="540"/>
      <c r="T118" s="462"/>
      <c r="U118" s="462"/>
      <c r="V118" s="462"/>
      <c r="W118" s="462"/>
      <c r="X118" s="462"/>
      <c r="Y118" s="462"/>
      <c r="Z118" s="462"/>
      <c r="AA118" s="462"/>
      <c r="AB118" s="462"/>
      <c r="AC118" s="462"/>
      <c r="AD118" s="462"/>
      <c r="AE118" s="462"/>
      <c r="AF118" s="462"/>
      <c r="AG118" s="462"/>
      <c r="AH118" s="462"/>
      <c r="AI118" s="462"/>
      <c r="AJ118" s="462"/>
    </row>
    <row r="119" spans="1:51" s="458" customFormat="1" x14ac:dyDescent="0.45">
      <c r="A119" s="459"/>
      <c r="B119" s="254" t="s">
        <v>219</v>
      </c>
      <c r="C119" s="369">
        <v>1.73</v>
      </c>
      <c r="D119" s="341" t="s">
        <v>217</v>
      </c>
      <c r="R119" s="540"/>
      <c r="S119" s="540"/>
      <c r="T119" s="462"/>
      <c r="U119" s="462"/>
      <c r="V119" s="462"/>
      <c r="W119" s="462"/>
      <c r="X119" s="462"/>
      <c r="Y119" s="462"/>
      <c r="Z119" s="462"/>
      <c r="AA119" s="462"/>
      <c r="AB119" s="462"/>
      <c r="AC119" s="462"/>
      <c r="AD119" s="462"/>
      <c r="AE119" s="462"/>
      <c r="AF119" s="462"/>
      <c r="AG119" s="462"/>
      <c r="AH119" s="462"/>
      <c r="AI119" s="462"/>
      <c r="AJ119" s="462"/>
    </row>
    <row r="120" spans="1:51" s="458" customFormat="1" x14ac:dyDescent="0.45">
      <c r="A120" s="459"/>
      <c r="B120" s="254" t="s">
        <v>221</v>
      </c>
      <c r="C120" s="369">
        <v>130</v>
      </c>
      <c r="D120" s="341" t="s">
        <v>220</v>
      </c>
      <c r="R120" s="540"/>
      <c r="S120" s="995"/>
      <c r="T120" s="462"/>
      <c r="U120" s="462"/>
      <c r="V120" s="462"/>
      <c r="W120" s="462"/>
      <c r="X120" s="462"/>
      <c r="Y120" s="462"/>
      <c r="Z120" s="462"/>
      <c r="AA120" s="462"/>
      <c r="AB120" s="462"/>
      <c r="AC120" s="462"/>
      <c r="AD120" s="462"/>
      <c r="AE120" s="462"/>
      <c r="AF120" s="462"/>
      <c r="AG120" s="462"/>
      <c r="AH120" s="462"/>
      <c r="AI120" s="462"/>
      <c r="AJ120" s="462"/>
    </row>
    <row r="121" spans="1:51" s="458" customFormat="1" x14ac:dyDescent="0.45">
      <c r="A121" s="459"/>
      <c r="B121" s="254" t="s">
        <v>223</v>
      </c>
      <c r="C121" s="509">
        <f>C119*1000000/(C120+C9)</f>
        <v>9611.1111111111113</v>
      </c>
      <c r="D121" s="341" t="s">
        <v>224</v>
      </c>
      <c r="R121" s="540"/>
      <c r="S121" s="995"/>
      <c r="T121" s="995"/>
      <c r="U121" s="1002"/>
      <c r="V121" s="462"/>
      <c r="W121" s="462"/>
      <c r="X121" s="462"/>
      <c r="Y121" s="462"/>
      <c r="Z121" s="462"/>
      <c r="AA121" s="462"/>
      <c r="AB121" s="462"/>
      <c r="AC121" s="462"/>
      <c r="AD121" s="462"/>
      <c r="AE121" s="462"/>
      <c r="AF121" s="462"/>
      <c r="AG121" s="462"/>
      <c r="AH121" s="462"/>
      <c r="AI121" s="462"/>
      <c r="AJ121" s="462"/>
    </row>
    <row r="122" spans="1:51" s="458" customFormat="1" x14ac:dyDescent="0.45">
      <c r="A122" s="459"/>
      <c r="B122" s="580" t="s">
        <v>346</v>
      </c>
      <c r="C122" s="945">
        <f>C118/C121</f>
        <v>0</v>
      </c>
      <c r="D122" s="947" t="s">
        <v>226</v>
      </c>
      <c r="R122" s="540"/>
      <c r="S122" s="1002"/>
      <c r="T122" s="995"/>
      <c r="U122" s="1002"/>
      <c r="V122" s="462"/>
      <c r="W122" s="462"/>
      <c r="X122" s="462"/>
      <c r="Y122" s="462"/>
      <c r="Z122" s="462"/>
      <c r="AA122" s="462"/>
      <c r="AC122" s="462"/>
      <c r="AD122" s="462"/>
      <c r="AE122" s="462"/>
      <c r="AF122" s="462"/>
      <c r="AG122" s="462"/>
      <c r="AH122" s="462"/>
      <c r="AI122" s="462"/>
      <c r="AJ122" s="462"/>
    </row>
    <row r="123" spans="1:51" s="540" customFormat="1" x14ac:dyDescent="0.45">
      <c r="A123" s="545"/>
      <c r="B123" s="580" t="s">
        <v>339</v>
      </c>
      <c r="C123" s="578">
        <f>$C$148*$C$149*$C$150</f>
        <v>0.94594500000000004</v>
      </c>
      <c r="D123" s="595" t="s">
        <v>22</v>
      </c>
      <c r="Z123" s="631"/>
      <c r="AA123" s="631"/>
      <c r="AB123" s="461"/>
      <c r="AC123" s="631"/>
      <c r="AD123" s="631"/>
      <c r="AE123" s="631"/>
      <c r="AF123" s="631"/>
      <c r="AG123" s="631"/>
      <c r="AH123" s="1002"/>
      <c r="AI123" s="995"/>
      <c r="AJ123" s="1002"/>
      <c r="AK123" s="553"/>
      <c r="AL123" s="553"/>
      <c r="AM123" s="553"/>
      <c r="AN123" s="553"/>
      <c r="AO123" s="553"/>
      <c r="AP123" s="553"/>
      <c r="AR123" s="553"/>
      <c r="AS123" s="553"/>
      <c r="AT123" s="553"/>
      <c r="AU123" s="553"/>
      <c r="AV123" s="553"/>
      <c r="AW123" s="553"/>
      <c r="AX123" s="553"/>
      <c r="AY123" s="553"/>
    </row>
    <row r="124" spans="1:51" s="540" customFormat="1" x14ac:dyDescent="0.45">
      <c r="A124" s="545"/>
      <c r="B124" s="504" t="s">
        <v>340</v>
      </c>
      <c r="C124" s="510">
        <f>C122/C123</f>
        <v>0</v>
      </c>
      <c r="D124" s="507" t="s">
        <v>226</v>
      </c>
      <c r="Z124" s="631"/>
      <c r="AA124" s="631"/>
      <c r="AB124" s="461"/>
      <c r="AC124" s="631"/>
      <c r="AD124" s="631"/>
      <c r="AE124" s="631"/>
      <c r="AF124" s="631"/>
      <c r="AG124" s="631"/>
      <c r="AH124" s="1002"/>
      <c r="AI124" s="995"/>
      <c r="AJ124" s="1002"/>
      <c r="AK124" s="553"/>
      <c r="AL124" s="553"/>
      <c r="AM124" s="553"/>
      <c r="AN124" s="553"/>
      <c r="AO124" s="553"/>
      <c r="AP124" s="553"/>
      <c r="AR124" s="553"/>
      <c r="AS124" s="553"/>
      <c r="AT124" s="553"/>
      <c r="AU124" s="553"/>
      <c r="AV124" s="553"/>
      <c r="AW124" s="553"/>
      <c r="AX124" s="553"/>
      <c r="AY124" s="553"/>
    </row>
    <row r="125" spans="1:51" s="458" customFormat="1" x14ac:dyDescent="0.45">
      <c r="A125" s="459"/>
      <c r="B125" s="511" t="s">
        <v>227</v>
      </c>
      <c r="C125" s="512">
        <f>C115*C117*60*60/C121</f>
        <v>55.649876135425281</v>
      </c>
      <c r="D125" s="513" t="s">
        <v>228</v>
      </c>
      <c r="R125" s="540"/>
      <c r="S125" s="540"/>
      <c r="T125" s="540"/>
      <c r="U125" s="540"/>
      <c r="V125" s="540"/>
      <c r="W125" s="540"/>
      <c r="X125" s="540"/>
      <c r="Y125" s="540"/>
      <c r="Z125" s="631"/>
      <c r="AA125" s="631"/>
      <c r="AB125" s="461"/>
      <c r="AC125" s="631"/>
      <c r="AD125" s="631"/>
      <c r="AE125" s="631"/>
      <c r="AF125" s="631"/>
      <c r="AG125" s="631"/>
      <c r="AH125" s="1002"/>
      <c r="AI125" s="995"/>
      <c r="AJ125" s="1002"/>
      <c r="AK125" s="462"/>
      <c r="AL125" s="462"/>
      <c r="AM125" s="462"/>
      <c r="AN125" s="462"/>
      <c r="AO125" s="462"/>
      <c r="AP125" s="462"/>
      <c r="AR125" s="462"/>
      <c r="AS125" s="462"/>
      <c r="AT125" s="462"/>
      <c r="AU125" s="462"/>
      <c r="AV125" s="462"/>
      <c r="AW125" s="462"/>
      <c r="AX125" s="462"/>
      <c r="AY125" s="462"/>
    </row>
    <row r="126" spans="1:51" s="458" customFormat="1" x14ac:dyDescent="0.45">
      <c r="A126" s="459"/>
      <c r="R126" s="540"/>
      <c r="S126" s="540"/>
      <c r="T126" s="540"/>
      <c r="U126" s="540"/>
      <c r="V126" s="540"/>
      <c r="W126" s="540"/>
      <c r="X126" s="540"/>
      <c r="Y126" s="540"/>
      <c r="Z126" s="631"/>
      <c r="AA126" s="631"/>
      <c r="AB126" s="461"/>
      <c r="AC126" s="631"/>
      <c r="AD126" s="631"/>
      <c r="AE126" s="631"/>
      <c r="AF126" s="631"/>
      <c r="AG126" s="631"/>
      <c r="AH126" s="1002"/>
      <c r="AI126" s="995"/>
      <c r="AJ126" s="1002"/>
      <c r="AK126" s="462"/>
      <c r="AL126" s="462"/>
      <c r="AM126" s="462"/>
      <c r="AN126" s="462"/>
      <c r="AO126" s="462"/>
      <c r="AP126" s="462"/>
      <c r="AR126" s="462"/>
      <c r="AS126" s="462"/>
      <c r="AT126" s="462"/>
      <c r="AU126" s="462"/>
      <c r="AV126" s="462"/>
      <c r="AW126" s="462"/>
      <c r="AX126" s="462"/>
      <c r="AY126" s="462"/>
    </row>
    <row r="127" spans="1:51" s="458" customFormat="1" x14ac:dyDescent="0.45">
      <c r="A127" s="459"/>
      <c r="B127" s="66" t="s">
        <v>209</v>
      </c>
      <c r="C127" s="67"/>
      <c r="D127" s="68"/>
      <c r="R127" s="540"/>
      <c r="S127" s="540"/>
      <c r="T127" s="540"/>
      <c r="U127" s="540"/>
      <c r="V127" s="540"/>
      <c r="W127" s="540"/>
      <c r="X127" s="540"/>
      <c r="Y127" s="540"/>
      <c r="Z127" s="631"/>
      <c r="AA127" s="631"/>
      <c r="AB127" s="461"/>
      <c r="AC127" s="631"/>
      <c r="AD127" s="631"/>
      <c r="AE127" s="631"/>
      <c r="AF127" s="631"/>
      <c r="AG127" s="631"/>
      <c r="AH127" s="1002"/>
      <c r="AI127" s="995"/>
      <c r="AJ127" s="1002"/>
      <c r="AK127" s="462"/>
      <c r="AL127" s="462"/>
      <c r="AM127" s="462"/>
      <c r="AN127" s="462"/>
      <c r="AO127" s="462"/>
      <c r="AP127" s="462"/>
      <c r="AR127" s="462"/>
      <c r="AS127" s="462"/>
      <c r="AT127" s="462"/>
      <c r="AU127" s="462"/>
      <c r="AV127" s="462"/>
      <c r="AW127" s="462"/>
      <c r="AX127" s="462"/>
      <c r="AY127" s="462"/>
    </row>
    <row r="128" spans="1:51" s="540" customFormat="1" x14ac:dyDescent="0.45">
      <c r="A128" s="545"/>
      <c r="B128" s="824" t="s">
        <v>262</v>
      </c>
      <c r="C128" s="823">
        <v>9.0999999999999998E-2</v>
      </c>
      <c r="D128" s="825" t="s">
        <v>260</v>
      </c>
      <c r="Z128" s="631"/>
      <c r="AA128" s="631"/>
      <c r="AB128" s="461"/>
      <c r="AC128" s="631"/>
      <c r="AD128" s="631"/>
      <c r="AE128" s="631"/>
      <c r="AF128" s="631"/>
      <c r="AG128" s="631"/>
      <c r="AH128" s="1002"/>
      <c r="AI128" s="995"/>
      <c r="AJ128" s="1002"/>
      <c r="AK128" s="553"/>
      <c r="AL128" s="553"/>
      <c r="AM128" s="553"/>
      <c r="AN128" s="553"/>
      <c r="AO128" s="553"/>
      <c r="AP128" s="553"/>
      <c r="AR128" s="553"/>
      <c r="AS128" s="553"/>
      <c r="AT128" s="553"/>
      <c r="AU128" s="553"/>
      <c r="AV128" s="553"/>
      <c r="AW128" s="553"/>
      <c r="AX128" s="553"/>
      <c r="AY128" s="553"/>
    </row>
    <row r="129" spans="1:51" s="540" customFormat="1" x14ac:dyDescent="0.45">
      <c r="A129" s="545"/>
      <c r="B129" s="824" t="s">
        <v>261</v>
      </c>
      <c r="C129" s="823">
        <v>0</v>
      </c>
      <c r="D129" s="825" t="s">
        <v>12</v>
      </c>
      <c r="Z129" s="631"/>
      <c r="AA129" s="631"/>
      <c r="AB129" s="461"/>
      <c r="AC129" s="631"/>
      <c r="AD129" s="631"/>
      <c r="AE129" s="631"/>
      <c r="AF129" s="631"/>
      <c r="AG129" s="631"/>
      <c r="AH129" s="1002"/>
      <c r="AI129" s="995"/>
      <c r="AJ129" s="1002"/>
      <c r="AK129" s="553"/>
      <c r="AL129" s="553"/>
      <c r="AM129" s="553"/>
      <c r="AN129" s="553"/>
      <c r="AO129" s="553"/>
      <c r="AP129" s="553"/>
      <c r="AR129" s="553"/>
      <c r="AS129" s="553"/>
      <c r="AT129" s="553"/>
      <c r="AU129" s="553"/>
      <c r="AV129" s="553"/>
      <c r="AW129" s="553"/>
      <c r="AX129" s="553"/>
      <c r="AY129" s="553"/>
    </row>
    <row r="130" spans="1:51" s="458" customFormat="1" x14ac:dyDescent="0.45">
      <c r="A130" s="459"/>
      <c r="B130" s="915" t="s">
        <v>346</v>
      </c>
      <c r="C130" s="823">
        <f>C128*C129</f>
        <v>0</v>
      </c>
      <c r="D130" s="935" t="s">
        <v>226</v>
      </c>
      <c r="R130" s="540"/>
      <c r="S130" s="540"/>
      <c r="T130" s="540"/>
      <c r="U130" s="540"/>
      <c r="V130" s="540"/>
      <c r="W130" s="540"/>
      <c r="X130" s="540"/>
      <c r="Y130" s="540"/>
      <c r="Z130" s="631"/>
      <c r="AA130" s="631"/>
      <c r="AB130" s="461"/>
      <c r="AC130" s="631"/>
      <c r="AD130" s="631"/>
      <c r="AE130" s="631"/>
      <c r="AF130" s="631"/>
      <c r="AG130" s="631"/>
      <c r="AH130" s="1002"/>
      <c r="AI130" s="995"/>
      <c r="AJ130" s="1002"/>
      <c r="AK130" s="462"/>
      <c r="AL130" s="462"/>
      <c r="AM130" s="462"/>
      <c r="AN130" s="462"/>
      <c r="AO130" s="462"/>
      <c r="AP130" s="462"/>
      <c r="AR130" s="462"/>
      <c r="AS130" s="462"/>
      <c r="AT130" s="462"/>
      <c r="AU130" s="462"/>
      <c r="AV130" s="462"/>
      <c r="AW130" s="462"/>
      <c r="AX130" s="462"/>
      <c r="AY130" s="462"/>
    </row>
    <row r="131" spans="1:51" s="540" customFormat="1" x14ac:dyDescent="0.45">
      <c r="A131" s="545"/>
      <c r="B131" s="915" t="s">
        <v>339</v>
      </c>
      <c r="C131" s="662">
        <f>$C$148*$C$149*$C$150</f>
        <v>0.94594500000000004</v>
      </c>
      <c r="D131" s="916" t="s">
        <v>22</v>
      </c>
      <c r="Z131" s="631"/>
      <c r="AA131" s="631"/>
      <c r="AB131" s="461"/>
      <c r="AC131" s="631"/>
      <c r="AD131" s="631"/>
      <c r="AE131" s="631"/>
      <c r="AF131" s="631"/>
      <c r="AG131" s="631"/>
      <c r="AH131" s="1002"/>
      <c r="AI131" s="995"/>
      <c r="AJ131" s="1002"/>
      <c r="AK131" s="553"/>
      <c r="AL131" s="553"/>
      <c r="AM131" s="553"/>
      <c r="AN131" s="553"/>
      <c r="AO131" s="553"/>
      <c r="AP131" s="553"/>
      <c r="AR131" s="553"/>
      <c r="AS131" s="553"/>
      <c r="AT131" s="553"/>
      <c r="AU131" s="553"/>
      <c r="AV131" s="553"/>
      <c r="AW131" s="553"/>
      <c r="AX131" s="553"/>
      <c r="AY131" s="553"/>
    </row>
    <row r="132" spans="1:51" s="540" customFormat="1" x14ac:dyDescent="0.45">
      <c r="A132" s="545"/>
      <c r="B132" s="680" t="s">
        <v>341</v>
      </c>
      <c r="C132" s="681">
        <f>C130/C131</f>
        <v>0</v>
      </c>
      <c r="D132" s="682" t="s">
        <v>226</v>
      </c>
      <c r="Z132" s="631"/>
      <c r="AA132" s="631"/>
      <c r="AB132" s="461"/>
      <c r="AC132" s="631"/>
      <c r="AD132" s="631"/>
      <c r="AE132" s="631"/>
      <c r="AF132" s="631"/>
      <c r="AG132" s="631"/>
      <c r="AH132" s="1002"/>
      <c r="AI132" s="995"/>
      <c r="AJ132" s="1002"/>
      <c r="AK132" s="553"/>
      <c r="AL132" s="553"/>
      <c r="AM132" s="553"/>
      <c r="AN132" s="553"/>
      <c r="AO132" s="553"/>
      <c r="AP132" s="553"/>
      <c r="AR132" s="553"/>
      <c r="AS132" s="553"/>
      <c r="AT132" s="553"/>
      <c r="AU132" s="553"/>
      <c r="AV132" s="553"/>
      <c r="AW132" s="553"/>
      <c r="AX132" s="553"/>
      <c r="AY132" s="553"/>
    </row>
    <row r="133" spans="1:51" s="458" customFormat="1" x14ac:dyDescent="0.45">
      <c r="A133" s="459"/>
      <c r="R133" s="540"/>
      <c r="S133" s="540"/>
      <c r="T133" s="540"/>
      <c r="U133" s="540"/>
      <c r="V133" s="540"/>
      <c r="W133" s="540"/>
      <c r="X133" s="540"/>
      <c r="Y133" s="540"/>
      <c r="Z133" s="631"/>
      <c r="AA133" s="631"/>
      <c r="AB133" s="461"/>
      <c r="AC133" s="631"/>
      <c r="AD133" s="631"/>
      <c r="AE133" s="631"/>
      <c r="AF133" s="631"/>
      <c r="AG133" s="631"/>
      <c r="AH133" s="1002"/>
      <c r="AI133" s="995"/>
      <c r="AJ133" s="1002"/>
      <c r="AK133" s="462"/>
      <c r="AL133" s="462"/>
      <c r="AM133" s="462"/>
      <c r="AN133" s="462"/>
      <c r="AO133" s="462"/>
      <c r="AP133" s="462"/>
      <c r="AR133" s="462"/>
      <c r="AS133" s="462"/>
      <c r="AT133" s="462"/>
      <c r="AU133" s="462"/>
      <c r="AV133" s="462"/>
      <c r="AW133" s="462"/>
      <c r="AX133" s="462"/>
      <c r="AY133" s="462"/>
    </row>
    <row r="134" spans="1:51" x14ac:dyDescent="0.45">
      <c r="A134" s="227"/>
      <c r="B134" s="599" t="s">
        <v>20</v>
      </c>
      <c r="C134" s="600"/>
      <c r="D134" s="978"/>
      <c r="E134" s="601"/>
      <c r="F134" s="995"/>
      <c r="G134" s="995"/>
      <c r="R134" s="540"/>
      <c r="S134" s="540"/>
      <c r="T134" s="540"/>
      <c r="U134" s="540"/>
      <c r="V134" s="540"/>
      <c r="W134" s="540"/>
      <c r="X134" s="540"/>
      <c r="Y134" s="540"/>
      <c r="Z134" s="631"/>
      <c r="AA134" s="631"/>
      <c r="AB134" s="631"/>
      <c r="AC134" s="631"/>
      <c r="AD134" s="631"/>
      <c r="AE134" s="631"/>
      <c r="AF134" s="631"/>
      <c r="AG134" s="631"/>
      <c r="AH134" s="1002"/>
      <c r="AI134" s="995"/>
      <c r="AJ134" s="1002"/>
      <c r="AK134" s="462"/>
      <c r="AL134" s="462"/>
      <c r="AM134" s="462"/>
      <c r="AN134" s="462"/>
      <c r="AO134" s="462"/>
      <c r="AP134" s="462"/>
      <c r="AR134" s="462"/>
      <c r="AS134" s="462"/>
      <c r="AT134" s="462"/>
      <c r="AU134" s="462"/>
      <c r="AV134" s="462"/>
      <c r="AW134" s="462"/>
      <c r="AX134" s="462"/>
      <c r="AY134" s="462"/>
    </row>
    <row r="135" spans="1:51" x14ac:dyDescent="0.45">
      <c r="A135" s="227"/>
      <c r="B135" s="955" t="s">
        <v>62</v>
      </c>
      <c r="C135" s="937">
        <v>13.6</v>
      </c>
      <c r="D135" s="953" t="s">
        <v>0</v>
      </c>
      <c r="E135" s="598"/>
      <c r="F135" s="995"/>
      <c r="G135" s="995"/>
      <c r="R135" s="540"/>
      <c r="S135" s="540"/>
      <c r="T135" s="540"/>
      <c r="U135" s="540"/>
      <c r="V135" s="540"/>
      <c r="W135" s="540"/>
      <c r="X135" s="540"/>
      <c r="Y135" s="540"/>
      <c r="Z135" s="631"/>
      <c r="AA135" s="631"/>
      <c r="AB135" s="631"/>
      <c r="AC135" s="631"/>
      <c r="AD135" s="631"/>
      <c r="AE135" s="631"/>
      <c r="AF135" s="631"/>
      <c r="AG135" s="631"/>
      <c r="AH135" s="1002"/>
      <c r="AI135" s="995"/>
      <c r="AJ135" s="1002"/>
      <c r="AK135" s="462"/>
      <c r="AL135" s="462"/>
      <c r="AM135" s="462"/>
      <c r="AN135" s="462"/>
      <c r="AO135" s="462"/>
      <c r="AP135" s="462"/>
      <c r="AR135" s="462"/>
      <c r="AS135" s="462"/>
      <c r="AT135" s="462"/>
      <c r="AU135" s="462"/>
      <c r="AV135" s="462"/>
      <c r="AW135" s="462"/>
      <c r="AX135" s="462"/>
      <c r="AY135" s="462"/>
    </row>
    <row r="136" spans="1:51" x14ac:dyDescent="0.45">
      <c r="A136" s="227"/>
      <c r="B136" s="576" t="s">
        <v>236</v>
      </c>
      <c r="C136" s="776">
        <v>25.9</v>
      </c>
      <c r="D136" s="585" t="s">
        <v>53</v>
      </c>
      <c r="E136" s="598"/>
      <c r="F136" s="995"/>
      <c r="G136" s="995"/>
      <c r="R136" s="540"/>
      <c r="S136" s="540"/>
      <c r="T136" s="540"/>
      <c r="U136" s="540"/>
      <c r="V136" s="540"/>
      <c r="W136" s="540"/>
      <c r="X136" s="540"/>
      <c r="Y136" s="540"/>
      <c r="Z136" s="631"/>
      <c r="AA136" s="631"/>
      <c r="AB136" s="631"/>
      <c r="AC136" s="631"/>
      <c r="AD136" s="631"/>
      <c r="AE136" s="631"/>
      <c r="AF136" s="631"/>
      <c r="AG136" s="631"/>
      <c r="AH136" s="1002"/>
      <c r="AI136" s="995"/>
      <c r="AJ136" s="1002"/>
      <c r="AK136" s="462"/>
      <c r="AL136" s="462"/>
      <c r="AM136" s="462"/>
      <c r="AN136" s="462"/>
      <c r="AO136" s="462"/>
      <c r="AP136" s="462"/>
      <c r="AR136" s="462"/>
      <c r="AS136" s="462"/>
      <c r="AT136" s="462"/>
      <c r="AU136" s="462"/>
      <c r="AV136" s="462"/>
      <c r="AW136" s="462"/>
      <c r="AX136" s="462"/>
      <c r="AY136" s="462"/>
    </row>
    <row r="137" spans="1:51" x14ac:dyDescent="0.45">
      <c r="A137" s="227"/>
      <c r="B137" s="576" t="s">
        <v>101</v>
      </c>
      <c r="C137" s="666">
        <f>0.2</f>
        <v>0.2</v>
      </c>
      <c r="D137" s="585" t="s">
        <v>235</v>
      </c>
      <c r="E137" s="598"/>
      <c r="F137" s="639"/>
      <c r="G137" s="995"/>
      <c r="R137" s="540"/>
      <c r="S137" s="540"/>
      <c r="T137" s="540"/>
      <c r="U137" s="540"/>
      <c r="V137" s="540"/>
      <c r="W137" s="540"/>
      <c r="X137" s="540"/>
      <c r="Y137" s="540"/>
      <c r="Z137" s="631"/>
      <c r="AA137" s="631"/>
      <c r="AB137" s="631"/>
      <c r="AC137" s="631"/>
      <c r="AD137" s="631"/>
      <c r="AE137" s="631"/>
      <c r="AF137" s="631"/>
      <c r="AG137" s="631"/>
      <c r="AH137" s="1002"/>
      <c r="AI137" s="995"/>
      <c r="AJ137" s="1002"/>
      <c r="AK137" s="462"/>
      <c r="AL137" s="462"/>
      <c r="AM137" s="462"/>
      <c r="AN137" s="462"/>
      <c r="AO137" s="462"/>
      <c r="AP137" s="462"/>
      <c r="AR137" s="462"/>
      <c r="AS137" s="462"/>
      <c r="AT137" s="462"/>
      <c r="AU137" s="462"/>
      <c r="AV137" s="462"/>
      <c r="AW137" s="462"/>
      <c r="AX137" s="462"/>
      <c r="AY137" s="462"/>
    </row>
    <row r="138" spans="1:51" x14ac:dyDescent="0.45">
      <c r="A138" s="227"/>
      <c r="B138" s="576" t="s">
        <v>102</v>
      </c>
      <c r="C138" s="666">
        <v>0.34</v>
      </c>
      <c r="D138" s="585" t="s">
        <v>235</v>
      </c>
      <c r="E138" s="956"/>
      <c r="F138" s="995"/>
      <c r="G138" s="995"/>
      <c r="R138" s="540"/>
      <c r="S138" s="540"/>
      <c r="T138" s="540"/>
      <c r="U138" s="540"/>
      <c r="V138" s="540"/>
      <c r="W138" s="540"/>
      <c r="X138" s="540"/>
      <c r="Y138" s="540"/>
      <c r="Z138" s="631"/>
      <c r="AA138" s="631"/>
      <c r="AB138" s="631"/>
      <c r="AC138" s="631"/>
      <c r="AD138" s="631"/>
      <c r="AE138" s="631"/>
      <c r="AF138" s="631"/>
      <c r="AG138" s="631"/>
      <c r="AH138" s="1002"/>
      <c r="AI138" s="995"/>
      <c r="AJ138" s="1002"/>
      <c r="AK138" s="462"/>
      <c r="AL138" s="462"/>
      <c r="AM138" s="462"/>
      <c r="AN138" s="462"/>
      <c r="AO138" s="462"/>
      <c r="AP138" s="462"/>
      <c r="AR138" s="462"/>
      <c r="AS138" s="462"/>
      <c r="AT138" s="462"/>
      <c r="AU138" s="462"/>
      <c r="AV138" s="462"/>
      <c r="AW138" s="462"/>
      <c r="AX138" s="462"/>
      <c r="AY138" s="462"/>
    </row>
    <row r="139" spans="1:51" x14ac:dyDescent="0.45">
      <c r="A139" s="227"/>
      <c r="B139" s="576" t="s">
        <v>103</v>
      </c>
      <c r="C139" s="666">
        <v>0.05</v>
      </c>
      <c r="D139" s="585" t="s">
        <v>235</v>
      </c>
      <c r="E139" s="956"/>
      <c r="F139" s="995"/>
      <c r="G139" s="995"/>
      <c r="R139" s="540"/>
      <c r="S139" s="540"/>
      <c r="T139" s="540"/>
      <c r="U139" s="540"/>
      <c r="V139" s="540"/>
      <c r="W139" s="540"/>
      <c r="X139" s="540"/>
      <c r="Y139" s="540"/>
      <c r="Z139" s="631"/>
      <c r="AA139" s="631"/>
      <c r="AB139" s="631"/>
      <c r="AC139" s="631"/>
      <c r="AD139" s="631"/>
      <c r="AE139" s="631"/>
      <c r="AF139" s="631"/>
      <c r="AG139" s="631"/>
      <c r="AH139" s="1002"/>
      <c r="AI139" s="995"/>
      <c r="AJ139" s="1002"/>
      <c r="AK139" s="462"/>
      <c r="AL139" s="462"/>
      <c r="AM139" s="462"/>
      <c r="AN139" s="462"/>
      <c r="AO139" s="462"/>
      <c r="AP139" s="462"/>
      <c r="AR139" s="462"/>
      <c r="AS139" s="462"/>
      <c r="AT139" s="462"/>
      <c r="AU139" s="462"/>
      <c r="AV139" s="462"/>
      <c r="AW139" s="462"/>
      <c r="AX139" s="462"/>
      <c r="AY139" s="462"/>
    </row>
    <row r="140" spans="1:51" s="540" customFormat="1" x14ac:dyDescent="0.45">
      <c r="A140" s="545"/>
      <c r="B140" s="576"/>
      <c r="C140" s="585" t="s">
        <v>345</v>
      </c>
      <c r="D140" s="585" t="s">
        <v>342</v>
      </c>
      <c r="E140" s="687" t="s">
        <v>171</v>
      </c>
      <c r="F140" s="995"/>
      <c r="G140" s="995"/>
      <c r="Z140" s="631"/>
      <c r="AA140" s="631"/>
      <c r="AB140" s="631"/>
      <c r="AC140" s="631"/>
      <c r="AD140" s="631"/>
      <c r="AE140" s="631"/>
      <c r="AF140" s="631"/>
      <c r="AG140" s="631"/>
      <c r="AH140" s="1002"/>
      <c r="AI140" s="995"/>
      <c r="AJ140" s="1002"/>
      <c r="AK140" s="553"/>
      <c r="AL140" s="553"/>
      <c r="AM140" s="553"/>
      <c r="AN140" s="553"/>
      <c r="AO140" s="553"/>
      <c r="AP140" s="553"/>
      <c r="AR140" s="553"/>
      <c r="AS140" s="553"/>
      <c r="AT140" s="553"/>
      <c r="AU140" s="553"/>
      <c r="AV140" s="553"/>
      <c r="AW140" s="553"/>
      <c r="AX140" s="553"/>
      <c r="AY140" s="553"/>
    </row>
    <row r="141" spans="1:51" x14ac:dyDescent="0.45">
      <c r="A141" s="227"/>
      <c r="B141" s="686" t="s">
        <v>281</v>
      </c>
      <c r="C141" s="951">
        <f>C136*C25/1000*C16</f>
        <v>1.0597080392256545E-3</v>
      </c>
      <c r="D141" s="951">
        <f>$C$148*$C$149*$C$150</f>
        <v>0.94594500000000004</v>
      </c>
      <c r="E141" s="948">
        <f>C141/D141</f>
        <v>1.1202639045881679E-3</v>
      </c>
      <c r="F141" s="995"/>
      <c r="G141" s="995"/>
      <c r="R141" s="540"/>
      <c r="S141" s="540"/>
      <c r="T141" s="540"/>
      <c r="U141" s="540"/>
      <c r="V141" s="540"/>
      <c r="W141" s="540"/>
      <c r="X141" s="540"/>
      <c r="Y141" s="540"/>
      <c r="Z141" s="631"/>
      <c r="AA141" s="631"/>
      <c r="AB141" s="631"/>
      <c r="AC141" s="631"/>
      <c r="AD141" s="631"/>
      <c r="AE141" s="631"/>
      <c r="AF141" s="631"/>
      <c r="AG141" s="631"/>
      <c r="AH141" s="394"/>
      <c r="AI141" s="995"/>
      <c r="AJ141" s="1002"/>
      <c r="AK141" s="462"/>
      <c r="AL141" s="462"/>
      <c r="AM141" s="462"/>
      <c r="AN141" s="462"/>
      <c r="AO141" s="462"/>
      <c r="AP141" s="462"/>
      <c r="AR141" s="462"/>
      <c r="AS141" s="462"/>
      <c r="AT141" s="462"/>
      <c r="AU141" s="462"/>
      <c r="AV141" s="462"/>
      <c r="AW141" s="462"/>
      <c r="AX141" s="462"/>
      <c r="AY141" s="462"/>
    </row>
    <row r="142" spans="1:51" x14ac:dyDescent="0.45">
      <c r="A142" s="227"/>
      <c r="B142" s="686" t="s">
        <v>54</v>
      </c>
      <c r="C142" s="951">
        <f>C16*C137*(C135/C8)</f>
        <v>9.1418536585365865E-3</v>
      </c>
      <c r="D142" s="951">
        <f>$C$148*$C$149*$C$150</f>
        <v>0.94594500000000004</v>
      </c>
      <c r="E142" s="948">
        <f>C142/D142</f>
        <v>9.6642549604222094E-3</v>
      </c>
      <c r="F142" s="995"/>
      <c r="G142" s="995"/>
      <c r="R142" s="540"/>
      <c r="S142" s="540"/>
      <c r="T142" s="540"/>
      <c r="U142" s="540"/>
      <c r="V142" s="540"/>
      <c r="W142" s="540"/>
      <c r="X142" s="540"/>
      <c r="Y142" s="540"/>
      <c r="Z142" s="631"/>
      <c r="AA142" s="631"/>
      <c r="AB142" s="631"/>
      <c r="AC142" s="631"/>
      <c r="AD142" s="631"/>
      <c r="AE142" s="631"/>
      <c r="AF142" s="631"/>
      <c r="AG142" s="631"/>
      <c r="AH142" s="1002"/>
      <c r="AI142" s="995"/>
      <c r="AJ142" s="1002"/>
      <c r="AK142" s="462"/>
      <c r="AL142" s="462"/>
      <c r="AM142" s="462"/>
      <c r="AN142" s="462"/>
      <c r="AO142" s="462"/>
      <c r="AP142" s="462"/>
      <c r="AR142" s="462"/>
      <c r="AS142" s="462"/>
      <c r="AT142" s="462"/>
      <c r="AU142" s="462"/>
      <c r="AV142" s="462"/>
      <c r="AW142" s="462"/>
      <c r="AX142" s="462"/>
      <c r="AY142" s="462"/>
    </row>
    <row r="143" spans="1:51" x14ac:dyDescent="0.45">
      <c r="A143" s="227"/>
      <c r="B143" s="686" t="s">
        <v>56</v>
      </c>
      <c r="C143" s="951">
        <f>C16*C138*(C135/C8)</f>
        <v>1.5541151219512198E-2</v>
      </c>
      <c r="D143" s="951">
        <f>$C$149*$C$150</f>
        <v>0.97019999999999995</v>
      </c>
      <c r="E143" s="948">
        <f>C143/D143</f>
        <v>1.6018502596899815E-2</v>
      </c>
      <c r="F143" s="995"/>
      <c r="G143" s="995"/>
      <c r="R143" s="540"/>
      <c r="S143" s="540"/>
      <c r="T143" s="540"/>
      <c r="U143" s="540"/>
      <c r="V143" s="540"/>
      <c r="W143" s="540"/>
      <c r="X143" s="540"/>
      <c r="Y143" s="540"/>
      <c r="Z143" s="631"/>
      <c r="AA143" s="631"/>
      <c r="AB143" s="631"/>
      <c r="AC143" s="631"/>
      <c r="AD143" s="631"/>
      <c r="AE143" s="631"/>
      <c r="AF143" s="631"/>
      <c r="AG143" s="631"/>
      <c r="AH143" s="1002"/>
      <c r="AI143" s="995"/>
      <c r="AJ143" s="1002"/>
      <c r="AK143" s="462"/>
      <c r="AL143" s="462"/>
      <c r="AM143" s="462"/>
      <c r="AN143" s="462"/>
      <c r="AO143" s="462"/>
      <c r="AP143" s="462"/>
      <c r="AR143" s="462"/>
      <c r="AS143" s="462"/>
      <c r="AT143" s="462"/>
      <c r="AU143" s="462"/>
      <c r="AV143" s="462"/>
      <c r="AW143" s="462"/>
      <c r="AX143" s="462"/>
      <c r="AY143" s="462"/>
    </row>
    <row r="144" spans="1:51" x14ac:dyDescent="0.45">
      <c r="A144" s="227"/>
      <c r="B144" s="686" t="s">
        <v>65</v>
      </c>
      <c r="C144" s="951">
        <f>C16*C139*(C135/C8)</f>
        <v>2.2854634146341466E-3</v>
      </c>
      <c r="D144" s="951">
        <f>$C$150</f>
        <v>0.99</v>
      </c>
      <c r="E144" s="948">
        <f>C144/D144</f>
        <v>2.3085489036708553E-3</v>
      </c>
      <c r="F144" s="995"/>
      <c r="G144" s="995"/>
      <c r="R144" s="540"/>
      <c r="S144" s="540"/>
      <c r="T144" s="540"/>
      <c r="U144" s="540"/>
      <c r="V144" s="540"/>
      <c r="W144" s="540"/>
      <c r="X144" s="540"/>
      <c r="Y144" s="540"/>
      <c r="Z144" s="540"/>
      <c r="AA144" s="631"/>
      <c r="AB144" s="631"/>
      <c r="AC144" s="631"/>
      <c r="AD144" s="631"/>
      <c r="AE144" s="631"/>
      <c r="AF144" s="631"/>
      <c r="AG144" s="631"/>
      <c r="AH144" s="1002"/>
      <c r="AI144" s="995"/>
      <c r="AJ144" s="1002"/>
      <c r="AK144" s="462"/>
      <c r="AL144" s="462"/>
      <c r="AM144" s="462"/>
      <c r="AN144" s="462"/>
      <c r="AO144" s="462"/>
      <c r="AP144" s="462"/>
      <c r="AR144" s="462"/>
      <c r="AS144" s="462"/>
      <c r="AT144" s="462"/>
      <c r="AU144" s="462"/>
      <c r="AV144" s="462"/>
      <c r="AW144" s="462"/>
      <c r="AX144" s="462"/>
      <c r="AY144" s="462"/>
    </row>
    <row r="145" spans="1:51" x14ac:dyDescent="0.45">
      <c r="A145" s="227"/>
      <c r="B145" s="632" t="s">
        <v>55</v>
      </c>
      <c r="C145" s="952"/>
      <c r="D145" s="954"/>
      <c r="E145" s="982">
        <f>SUM(E141:E144)</f>
        <v>2.9111570365581048E-2</v>
      </c>
      <c r="F145" s="995"/>
      <c r="G145" s="995"/>
      <c r="R145" s="540"/>
      <c r="S145" s="540"/>
      <c r="T145" s="540"/>
      <c r="U145" s="540"/>
      <c r="V145" s="540"/>
      <c r="W145" s="540"/>
      <c r="X145" s="540"/>
      <c r="Y145" s="540"/>
      <c r="Z145" s="540"/>
      <c r="AA145" s="631"/>
      <c r="AB145" s="631"/>
      <c r="AC145" s="631"/>
      <c r="AD145" s="631"/>
      <c r="AE145" s="631"/>
      <c r="AF145" s="631"/>
      <c r="AG145" s="631"/>
      <c r="AH145" s="1002"/>
      <c r="AI145" s="995"/>
      <c r="AJ145" s="394"/>
      <c r="AK145" s="462"/>
      <c r="AL145" s="462"/>
      <c r="AM145" s="462"/>
      <c r="AN145" s="462"/>
      <c r="AO145" s="462"/>
      <c r="AP145" s="462"/>
      <c r="AR145" s="462"/>
      <c r="AS145" s="462"/>
      <c r="AT145" s="462"/>
      <c r="AU145" s="462"/>
      <c r="AV145" s="462"/>
      <c r="AW145" s="462"/>
      <c r="AX145" s="462"/>
      <c r="AY145" s="462"/>
    </row>
    <row r="146" spans="1:51" x14ac:dyDescent="0.45">
      <c r="A146" s="227"/>
      <c r="F146" s="225"/>
      <c r="R146" s="540"/>
      <c r="S146" s="540"/>
      <c r="T146" s="540"/>
      <c r="U146" s="540"/>
      <c r="V146" s="540"/>
      <c r="W146" s="540"/>
      <c r="X146" s="540"/>
      <c r="Y146" s="540"/>
      <c r="Z146" s="540"/>
      <c r="AA146" s="631"/>
      <c r="AB146" s="631"/>
      <c r="AC146" s="631"/>
      <c r="AD146" s="631"/>
      <c r="AE146" s="631"/>
      <c r="AF146" s="631"/>
      <c r="AG146" s="631"/>
      <c r="AH146" s="1002"/>
      <c r="AI146" s="462"/>
      <c r="AJ146" s="462"/>
      <c r="AK146" s="462"/>
      <c r="AL146" s="462"/>
      <c r="AM146" s="462"/>
      <c r="AN146" s="462"/>
      <c r="AO146" s="462"/>
      <c r="AP146" s="462"/>
      <c r="AR146" s="462"/>
      <c r="AS146" s="462"/>
      <c r="AT146" s="462"/>
      <c r="AU146" s="462"/>
      <c r="AV146" s="462"/>
      <c r="AW146" s="462"/>
      <c r="AX146" s="462"/>
      <c r="AY146" s="462"/>
    </row>
    <row r="147" spans="1:51" x14ac:dyDescent="0.45">
      <c r="A147" s="227"/>
      <c r="B147" s="612" t="s">
        <v>26</v>
      </c>
      <c r="C147" s="262"/>
      <c r="D147" s="263"/>
      <c r="F147" s="550"/>
      <c r="R147" s="540"/>
      <c r="S147" s="540"/>
      <c r="T147" s="540"/>
      <c r="U147" s="540"/>
      <c r="V147" s="540"/>
      <c r="W147" s="540"/>
      <c r="X147" s="540"/>
      <c r="Y147" s="540"/>
      <c r="Z147" s="540"/>
      <c r="AA147" s="631"/>
      <c r="AB147" s="631"/>
      <c r="AC147" s="631"/>
      <c r="AD147" s="631"/>
      <c r="AE147" s="631"/>
      <c r="AF147" s="631"/>
      <c r="AG147" s="631"/>
      <c r="AH147" s="995"/>
      <c r="AI147" s="462"/>
      <c r="AJ147" s="462"/>
      <c r="AK147" s="462"/>
      <c r="AL147" s="462"/>
      <c r="AM147" s="462"/>
      <c r="AN147" s="462"/>
      <c r="AO147" s="462"/>
      <c r="AP147" s="462"/>
      <c r="AR147" s="462"/>
      <c r="AS147" s="462"/>
      <c r="AT147" s="462"/>
      <c r="AU147" s="462"/>
      <c r="AV147" s="462"/>
      <c r="AW147" s="462"/>
      <c r="AX147" s="462"/>
      <c r="AY147" s="462"/>
    </row>
    <row r="148" spans="1:51" x14ac:dyDescent="0.45">
      <c r="A148" s="227"/>
      <c r="B148" s="968" t="s">
        <v>58</v>
      </c>
      <c r="C148" s="983">
        <f>0.975/1</f>
        <v>0.97499999999999998</v>
      </c>
      <c r="D148" s="984" t="s">
        <v>22</v>
      </c>
      <c r="F148" s="548"/>
      <c r="R148" s="540"/>
      <c r="S148" s="540"/>
      <c r="T148" s="540"/>
      <c r="U148" s="540"/>
      <c r="V148" s="540"/>
      <c r="W148" s="540"/>
      <c r="X148" s="540"/>
      <c r="Y148" s="540"/>
      <c r="Z148" s="540"/>
      <c r="AA148" s="631"/>
      <c r="AB148" s="631"/>
      <c r="AC148" s="631"/>
      <c r="AD148" s="631"/>
      <c r="AE148" s="631"/>
      <c r="AF148" s="631"/>
      <c r="AG148" s="631"/>
      <c r="AH148" s="462"/>
      <c r="AI148" s="462"/>
      <c r="AJ148" s="462"/>
      <c r="AK148" s="462"/>
      <c r="AL148" s="462"/>
      <c r="AM148" s="462"/>
      <c r="AN148" s="553"/>
      <c r="AO148" s="553"/>
      <c r="AP148" s="553"/>
      <c r="AQ148" s="553"/>
      <c r="AR148" s="462"/>
      <c r="AS148" s="462"/>
      <c r="AT148" s="462"/>
      <c r="AU148" s="462"/>
      <c r="AV148" s="462"/>
      <c r="AW148" s="462"/>
      <c r="AX148" s="462"/>
      <c r="AY148" s="462"/>
    </row>
    <row r="149" spans="1:51" x14ac:dyDescent="0.45">
      <c r="A149" s="227"/>
      <c r="B149" s="591" t="s">
        <v>59</v>
      </c>
      <c r="C149" s="611">
        <f>0.98/1</f>
        <v>0.98</v>
      </c>
      <c r="D149" s="610" t="s">
        <v>22</v>
      </c>
      <c r="F149" s="548"/>
      <c r="R149" s="540"/>
      <c r="S149" s="540"/>
      <c r="T149" s="540"/>
      <c r="U149" s="540"/>
      <c r="V149" s="540"/>
      <c r="W149" s="540"/>
      <c r="X149" s="540"/>
      <c r="Y149" s="540"/>
      <c r="Z149" s="540"/>
      <c r="AA149" s="631"/>
      <c r="AB149" s="631"/>
      <c r="AC149" s="631"/>
      <c r="AD149" s="631"/>
      <c r="AE149" s="631"/>
      <c r="AF149" s="553"/>
      <c r="AG149" s="553"/>
      <c r="AH149" s="553"/>
      <c r="AI149" s="553"/>
      <c r="AJ149" s="462"/>
      <c r="AK149" s="462"/>
      <c r="AL149" s="462"/>
      <c r="AM149" s="462"/>
      <c r="AN149" s="553"/>
      <c r="AO149" s="553"/>
      <c r="AP149" s="553"/>
      <c r="AQ149" s="553"/>
      <c r="AR149" s="462"/>
      <c r="AS149" s="462"/>
      <c r="AT149" s="462"/>
      <c r="AU149" s="462"/>
      <c r="AV149" s="462"/>
      <c r="AW149" s="462"/>
      <c r="AX149" s="462"/>
      <c r="AY149" s="462"/>
    </row>
    <row r="150" spans="1:51" x14ac:dyDescent="0.45">
      <c r="A150" s="227"/>
      <c r="B150" s="591" t="s">
        <v>60</v>
      </c>
      <c r="C150" s="611">
        <f>0.99/1</f>
        <v>0.99</v>
      </c>
      <c r="D150" s="610" t="s">
        <v>22</v>
      </c>
      <c r="F150" s="548"/>
      <c r="R150" s="540"/>
      <c r="S150" s="540"/>
      <c r="T150" s="540"/>
      <c r="U150" s="540"/>
      <c r="V150" s="540"/>
      <c r="W150" s="540"/>
      <c r="X150" s="540"/>
      <c r="Y150" s="540"/>
      <c r="Z150" s="540"/>
      <c r="AA150" s="631"/>
      <c r="AB150" s="631"/>
      <c r="AC150" s="631"/>
      <c r="AD150" s="631"/>
      <c r="AE150" s="631"/>
      <c r="AF150" s="553"/>
      <c r="AG150" s="822"/>
      <c r="AH150" s="820"/>
      <c r="AI150" s="535"/>
      <c r="AJ150" s="820"/>
      <c r="AK150" s="535"/>
      <c r="AL150" s="820"/>
      <c r="AM150" s="535"/>
      <c r="AN150" s="548"/>
      <c r="AO150" s="880"/>
      <c r="AP150" s="548"/>
      <c r="AQ150" s="534"/>
      <c r="AR150" s="462"/>
      <c r="AS150" s="462"/>
      <c r="AT150" s="462"/>
      <c r="AU150" s="462"/>
      <c r="AV150" s="462"/>
      <c r="AW150" s="462"/>
      <c r="AX150" s="462"/>
      <c r="AY150" s="462"/>
    </row>
    <row r="151" spans="1:51" s="458" customFormat="1" x14ac:dyDescent="0.45">
      <c r="A151" s="459"/>
      <c r="B151" s="985" t="s">
        <v>192</v>
      </c>
      <c r="C151" s="986">
        <f>C148*C149*C150</f>
        <v>0.94594500000000004</v>
      </c>
      <c r="D151" s="987" t="s">
        <v>22</v>
      </c>
      <c r="F151" s="550"/>
      <c r="R151" s="540"/>
      <c r="S151" s="540"/>
      <c r="T151" s="540"/>
      <c r="U151" s="540"/>
      <c r="V151" s="540"/>
      <c r="W151" s="540"/>
      <c r="X151" s="540"/>
      <c r="Y151" s="540"/>
      <c r="Z151" s="540"/>
      <c r="AA151" s="631"/>
      <c r="AB151" s="631"/>
      <c r="AC151" s="631"/>
      <c r="AD151" s="631"/>
      <c r="AE151" s="631"/>
      <c r="AF151" s="553"/>
      <c r="AG151" s="822"/>
      <c r="AH151" s="550"/>
      <c r="AI151" s="535"/>
      <c r="AJ151" s="820"/>
      <c r="AK151" s="535"/>
      <c r="AL151" s="820"/>
      <c r="AM151" s="535"/>
      <c r="AN151" s="548"/>
      <c r="AO151" s="880"/>
      <c r="AP151" s="548"/>
      <c r="AQ151" s="534"/>
      <c r="AR151" s="462"/>
      <c r="AS151" s="462"/>
      <c r="AT151" s="462"/>
      <c r="AU151" s="462"/>
      <c r="AV151" s="462"/>
      <c r="AW151" s="462"/>
      <c r="AX151" s="462"/>
      <c r="AY151" s="462"/>
    </row>
    <row r="152" spans="1:51" x14ac:dyDescent="0.45">
      <c r="A152" s="227"/>
      <c r="R152" s="540"/>
      <c r="S152" s="540"/>
      <c r="T152" s="540"/>
      <c r="U152" s="540"/>
      <c r="V152" s="540"/>
      <c r="W152" s="540"/>
      <c r="X152" s="540"/>
      <c r="Y152" s="540"/>
      <c r="Z152" s="540"/>
      <c r="AA152" s="631"/>
      <c r="AB152" s="631"/>
      <c r="AC152" s="631"/>
      <c r="AD152" s="631"/>
      <c r="AE152" s="631"/>
      <c r="AF152" s="631"/>
      <c r="AG152" s="631"/>
      <c r="AH152" s="631"/>
      <c r="AI152" s="462"/>
      <c r="AJ152" s="462"/>
      <c r="AK152" s="462"/>
      <c r="AL152" s="462"/>
      <c r="AM152" s="462"/>
      <c r="AN152" s="462"/>
      <c r="AO152" s="462"/>
      <c r="AP152" s="462"/>
      <c r="AQ152" s="462"/>
      <c r="AR152" s="462"/>
      <c r="AS152" s="462"/>
      <c r="AT152" s="462"/>
      <c r="AU152" s="462"/>
      <c r="AV152" s="462"/>
      <c r="AW152" s="462"/>
      <c r="AX152" s="462"/>
      <c r="AY152" s="462"/>
    </row>
    <row r="153" spans="1:51" x14ac:dyDescent="0.45">
      <c r="A153" s="227"/>
      <c r="B153" s="308" t="s">
        <v>21</v>
      </c>
      <c r="C153" s="309"/>
      <c r="D153" s="310"/>
      <c r="R153" s="540"/>
      <c r="S153" s="540"/>
      <c r="T153" s="540"/>
      <c r="U153" s="540"/>
      <c r="V153" s="540"/>
      <c r="W153" s="540"/>
      <c r="X153" s="540"/>
      <c r="Y153" s="540"/>
      <c r="Z153" s="540"/>
      <c r="AA153" s="631"/>
      <c r="AB153" s="631"/>
      <c r="AC153" s="631"/>
      <c r="AD153" s="631"/>
      <c r="AE153" s="631"/>
      <c r="AF153" s="631"/>
      <c r="AG153" s="631"/>
      <c r="AH153" s="631"/>
      <c r="AI153" s="462"/>
      <c r="AJ153" s="462"/>
      <c r="AK153" s="462"/>
      <c r="AL153" s="462"/>
      <c r="AM153" s="462"/>
      <c r="AN153" s="462"/>
      <c r="AO153" s="462"/>
      <c r="AP153" s="462"/>
      <c r="AQ153" s="462"/>
      <c r="AR153" s="462"/>
      <c r="AS153" s="462"/>
      <c r="AT153" s="462"/>
      <c r="AU153" s="462"/>
      <c r="AV153" s="462"/>
      <c r="AW153" s="462"/>
      <c r="AX153" s="462"/>
      <c r="AY153" s="462"/>
    </row>
    <row r="154" spans="1:51" x14ac:dyDescent="0.45">
      <c r="A154" s="227"/>
      <c r="B154" s="311" t="s">
        <v>92</v>
      </c>
      <c r="C154" s="309">
        <f>0.15</f>
        <v>0.15</v>
      </c>
      <c r="D154" s="310" t="s">
        <v>23</v>
      </c>
      <c r="R154" s="540"/>
      <c r="S154" s="540"/>
      <c r="T154" s="540"/>
      <c r="U154" s="540"/>
      <c r="V154" s="540"/>
      <c r="W154" s="540"/>
      <c r="X154" s="540"/>
      <c r="Y154" s="540"/>
      <c r="Z154" s="540"/>
      <c r="AA154" s="631"/>
      <c r="AB154" s="631"/>
      <c r="AC154" s="631"/>
      <c r="AD154" s="631"/>
      <c r="AE154" s="631"/>
      <c r="AF154" s="631"/>
      <c r="AG154" s="631"/>
      <c r="AH154" s="631"/>
      <c r="AI154" s="462"/>
      <c r="AJ154" s="462"/>
      <c r="AK154" s="462"/>
      <c r="AL154" s="462"/>
      <c r="AM154" s="462"/>
      <c r="AN154" s="462"/>
      <c r="AO154" s="462"/>
      <c r="AP154" s="462"/>
      <c r="AQ154" s="462"/>
      <c r="AR154" s="462"/>
      <c r="AS154" s="462"/>
      <c r="AT154" s="462"/>
      <c r="AU154" s="462"/>
      <c r="AV154" s="462"/>
      <c r="AW154" s="462"/>
      <c r="AX154" s="462"/>
      <c r="AY154" s="462"/>
    </row>
    <row r="155" spans="1:51" x14ac:dyDescent="0.45">
      <c r="A155" s="227"/>
      <c r="B155" s="313" t="s">
        <v>21</v>
      </c>
      <c r="C155" s="312">
        <f>3*C154*C57</f>
        <v>0.88593977528089884</v>
      </c>
      <c r="D155" s="314" t="s">
        <v>98</v>
      </c>
      <c r="R155" s="540"/>
      <c r="S155" s="540"/>
      <c r="T155" s="540"/>
      <c r="U155" s="540"/>
      <c r="V155" s="540"/>
      <c r="W155" s="540"/>
      <c r="X155" s="540"/>
      <c r="Y155" s="540"/>
      <c r="Z155" s="540"/>
      <c r="AA155" s="631"/>
      <c r="AB155" s="631"/>
      <c r="AC155" s="631"/>
      <c r="AD155" s="631"/>
      <c r="AE155" s="631"/>
      <c r="AF155" s="631"/>
      <c r="AG155" s="631"/>
      <c r="AH155" s="631"/>
      <c r="AI155" s="462"/>
      <c r="AJ155" s="462"/>
      <c r="AK155" s="462"/>
      <c r="AL155" s="462"/>
      <c r="AM155" s="462"/>
      <c r="AN155" s="462"/>
      <c r="AO155" s="462"/>
      <c r="AP155" s="462"/>
      <c r="AQ155" s="462"/>
      <c r="AR155" s="462"/>
      <c r="AS155" s="462"/>
      <c r="AT155" s="462"/>
      <c r="AU155" s="462"/>
      <c r="AV155" s="462"/>
      <c r="AW155" s="462"/>
      <c r="AX155" s="462"/>
      <c r="AY155" s="462"/>
    </row>
    <row r="156" spans="1:51" x14ac:dyDescent="0.45">
      <c r="A156" s="227"/>
      <c r="B156" s="584" t="s">
        <v>344</v>
      </c>
      <c r="C156" s="777">
        <f>C155/C58</f>
        <v>2.1951219512195124E-3</v>
      </c>
      <c r="D156" s="779" t="s">
        <v>138</v>
      </c>
      <c r="R156" s="540"/>
      <c r="S156" s="540"/>
      <c r="T156" s="540"/>
      <c r="U156" s="540"/>
      <c r="V156" s="540"/>
      <c r="W156" s="540"/>
      <c r="X156" s="540"/>
      <c r="Y156" s="540"/>
      <c r="Z156" s="540"/>
      <c r="AA156" s="631"/>
      <c r="AB156" s="631"/>
      <c r="AC156" s="631"/>
      <c r="AD156" s="631"/>
      <c r="AE156" s="631"/>
      <c r="AF156" s="631"/>
      <c r="AG156" s="631"/>
      <c r="AH156" s="631"/>
      <c r="AI156" s="462"/>
      <c r="AJ156" s="462"/>
      <c r="AK156" s="462"/>
      <c r="AL156" s="462"/>
      <c r="AM156" s="462"/>
      <c r="AN156" s="462"/>
      <c r="AO156" s="462"/>
      <c r="AP156" s="462"/>
      <c r="AQ156" s="462"/>
      <c r="AR156" s="462"/>
      <c r="AS156" s="462"/>
      <c r="AT156" s="462"/>
      <c r="AU156" s="462"/>
      <c r="AV156" s="462"/>
      <c r="AW156" s="462"/>
      <c r="AX156" s="462"/>
      <c r="AY156" s="462"/>
    </row>
    <row r="157" spans="1:51" s="540" customFormat="1" x14ac:dyDescent="0.45">
      <c r="A157" s="545"/>
      <c r="B157" s="778" t="s">
        <v>339</v>
      </c>
      <c r="C157" s="777">
        <f>$C$150</f>
        <v>0.99</v>
      </c>
      <c r="D157" s="779" t="s">
        <v>22</v>
      </c>
      <c r="AA157" s="631"/>
      <c r="AB157" s="631"/>
      <c r="AC157" s="631"/>
      <c r="AD157" s="631"/>
      <c r="AE157" s="631"/>
      <c r="AF157" s="631"/>
      <c r="AG157" s="631"/>
      <c r="AH157" s="631"/>
      <c r="AI157" s="553"/>
      <c r="AJ157" s="553"/>
      <c r="AK157" s="553"/>
      <c r="AL157" s="553"/>
      <c r="AM157" s="553"/>
      <c r="AN157" s="553"/>
      <c r="AO157" s="553"/>
      <c r="AP157" s="553"/>
      <c r="AQ157" s="553"/>
      <c r="AR157" s="553"/>
      <c r="AS157" s="553"/>
      <c r="AT157" s="553"/>
      <c r="AU157" s="553"/>
      <c r="AV157" s="553"/>
      <c r="AW157" s="553"/>
      <c r="AX157" s="553"/>
      <c r="AY157" s="553"/>
    </row>
    <row r="158" spans="1:51" s="540" customFormat="1" x14ac:dyDescent="0.45">
      <c r="A158" s="545"/>
      <c r="B158" s="633" t="s">
        <v>99</v>
      </c>
      <c r="C158" s="634">
        <f>C156/C157</f>
        <v>2.2172949002217299E-3</v>
      </c>
      <c r="D158" s="635" t="s">
        <v>138</v>
      </c>
      <c r="AA158" s="631"/>
      <c r="AB158" s="631"/>
      <c r="AC158" s="631"/>
      <c r="AD158" s="631"/>
      <c r="AE158" s="631"/>
      <c r="AF158" s="631"/>
      <c r="AG158" s="631"/>
      <c r="AH158" s="631"/>
      <c r="AI158" s="553"/>
      <c r="AJ158" s="553"/>
      <c r="AK158" s="553"/>
      <c r="AL158" s="553"/>
      <c r="AM158" s="553"/>
      <c r="AN158" s="553"/>
      <c r="AO158" s="553"/>
      <c r="AP158" s="553"/>
      <c r="AQ158" s="553"/>
      <c r="AR158" s="553"/>
      <c r="AS158" s="553"/>
      <c r="AT158" s="553"/>
      <c r="AU158" s="553"/>
      <c r="AV158" s="553"/>
      <c r="AW158" s="553"/>
      <c r="AX158" s="553"/>
      <c r="AY158" s="553"/>
    </row>
    <row r="159" spans="1:51" x14ac:dyDescent="0.45">
      <c r="A159" s="227"/>
      <c r="B159" s="229"/>
      <c r="C159" s="295"/>
      <c r="D159" s="229"/>
      <c r="R159" s="540"/>
      <c r="S159" s="540"/>
      <c r="T159" s="540"/>
      <c r="U159" s="540"/>
      <c r="V159" s="540"/>
      <c r="W159" s="540"/>
      <c r="X159" s="540"/>
      <c r="Y159" s="540"/>
      <c r="Z159" s="540"/>
      <c r="AA159" s="631"/>
      <c r="AB159" s="631"/>
      <c r="AC159" s="631"/>
      <c r="AD159" s="631"/>
      <c r="AE159" s="631"/>
      <c r="AF159" s="631"/>
      <c r="AG159" s="631"/>
      <c r="AH159" s="631"/>
      <c r="AI159" s="462"/>
      <c r="AJ159" s="462"/>
      <c r="AK159" s="462"/>
      <c r="AL159" s="462"/>
      <c r="AM159" s="462"/>
      <c r="AN159" s="462"/>
      <c r="AO159" s="462"/>
      <c r="AP159" s="462"/>
      <c r="AQ159" s="462"/>
      <c r="AR159" s="462"/>
      <c r="AS159" s="462"/>
      <c r="AT159" s="462"/>
      <c r="AU159" s="462"/>
      <c r="AV159" s="462"/>
      <c r="AW159" s="462"/>
      <c r="AX159" s="462"/>
      <c r="AY159" s="462"/>
    </row>
    <row r="160" spans="1:51" x14ac:dyDescent="0.45">
      <c r="A160" s="227"/>
      <c r="B160" s="300" t="s">
        <v>29</v>
      </c>
      <c r="C160" s="301"/>
      <c r="D160" s="302"/>
      <c r="R160" s="540"/>
      <c r="S160" s="540"/>
      <c r="T160" s="540"/>
      <c r="U160" s="540"/>
      <c r="V160" s="540"/>
      <c r="W160" s="540"/>
      <c r="X160" s="540"/>
      <c r="Y160" s="540"/>
      <c r="Z160" s="540"/>
      <c r="AA160" s="631"/>
      <c r="AB160" s="631"/>
      <c r="AC160" s="631"/>
      <c r="AD160" s="631"/>
      <c r="AE160" s="631"/>
      <c r="AF160" s="631"/>
      <c r="AG160" s="631"/>
      <c r="AH160" s="631"/>
      <c r="AI160" s="462"/>
      <c r="AJ160" s="462"/>
      <c r="AK160" s="462"/>
      <c r="AL160" s="462"/>
      <c r="AM160" s="462"/>
      <c r="AN160" s="462"/>
      <c r="AO160" s="462"/>
      <c r="AP160" s="462"/>
      <c r="AQ160" s="462"/>
      <c r="AR160" s="462"/>
      <c r="AS160" s="462"/>
      <c r="AT160" s="462"/>
      <c r="AU160" s="462"/>
      <c r="AV160" s="462"/>
      <c r="AW160" s="462"/>
      <c r="AX160" s="462"/>
      <c r="AY160" s="462"/>
    </row>
    <row r="161" spans="1:51" x14ac:dyDescent="0.45">
      <c r="A161" s="227"/>
      <c r="B161" s="804" t="s">
        <v>285</v>
      </c>
      <c r="C161" s="876">
        <f>0.25*1100</f>
        <v>275</v>
      </c>
      <c r="D161" s="335" t="s">
        <v>12</v>
      </c>
      <c r="R161" s="540"/>
      <c r="S161" s="540"/>
      <c r="T161" s="540"/>
      <c r="U161" s="540"/>
      <c r="V161" s="540"/>
      <c r="W161" s="540"/>
      <c r="X161" s="540"/>
      <c r="Y161" s="540"/>
      <c r="Z161" s="540"/>
      <c r="AA161" s="631"/>
      <c r="AB161" s="631"/>
      <c r="AC161" s="631"/>
      <c r="AD161" s="631"/>
      <c r="AE161" s="631"/>
      <c r="AF161" s="631"/>
      <c r="AG161" s="631"/>
      <c r="AH161" s="631"/>
      <c r="AI161" s="462"/>
      <c r="AJ161" s="462"/>
      <c r="AK161" s="462"/>
      <c r="AL161" s="462"/>
      <c r="AM161" s="462"/>
      <c r="AN161" s="462"/>
      <c r="AO161" s="462"/>
      <c r="AP161" s="462"/>
      <c r="AQ161" s="462"/>
      <c r="AR161" s="462"/>
      <c r="AS161" s="462"/>
      <c r="AT161" s="462"/>
      <c r="AU161" s="462"/>
      <c r="AV161" s="462"/>
      <c r="AW161" s="462"/>
      <c r="AX161" s="462"/>
      <c r="AY161" s="462"/>
    </row>
    <row r="162" spans="1:51" x14ac:dyDescent="0.45">
      <c r="A162" s="227"/>
      <c r="B162" s="751" t="s">
        <v>286</v>
      </c>
      <c r="C162" s="803">
        <v>0.22500000000000001</v>
      </c>
      <c r="D162" s="331" t="s">
        <v>85</v>
      </c>
      <c r="R162" s="540"/>
      <c r="S162" s="540"/>
      <c r="T162" s="540"/>
      <c r="U162" s="540"/>
      <c r="V162" s="540"/>
      <c r="W162" s="540"/>
      <c r="X162" s="540"/>
      <c r="Y162" s="540"/>
      <c r="Z162" s="540"/>
      <c r="AA162" s="631"/>
      <c r="AB162" s="631"/>
      <c r="AC162" s="631"/>
      <c r="AD162" s="631"/>
      <c r="AE162" s="631"/>
      <c r="AF162" s="631"/>
      <c r="AG162" s="631"/>
      <c r="AH162" s="631"/>
      <c r="AI162" s="462"/>
      <c r="AJ162" s="462"/>
      <c r="AK162" s="462"/>
      <c r="AL162" s="462"/>
      <c r="AM162" s="462"/>
      <c r="AN162" s="462"/>
      <c r="AO162" s="462"/>
      <c r="AP162" s="462"/>
      <c r="AQ162" s="462"/>
      <c r="AR162" s="462"/>
      <c r="AS162" s="462"/>
      <c r="AT162" s="462"/>
      <c r="AU162" s="462"/>
      <c r="AV162" s="462"/>
      <c r="AW162" s="462"/>
      <c r="AX162" s="462"/>
      <c r="AY162" s="462"/>
    </row>
    <row r="163" spans="1:51" x14ac:dyDescent="0.45">
      <c r="A163" s="227"/>
      <c r="B163" s="972" t="s">
        <v>353</v>
      </c>
      <c r="C163" s="958">
        <f>C161*C162/1000</f>
        <v>6.1874999999999999E-2</v>
      </c>
      <c r="D163" s="799" t="s">
        <v>16</v>
      </c>
      <c r="R163" s="540"/>
      <c r="S163" s="540"/>
      <c r="T163" s="540"/>
      <c r="U163" s="540"/>
      <c r="V163" s="540"/>
      <c r="W163" s="540"/>
      <c r="X163" s="540"/>
      <c r="Y163" s="540"/>
      <c r="Z163" s="540"/>
      <c r="AA163" s="631"/>
      <c r="AB163" s="631"/>
      <c r="AC163" s="631"/>
      <c r="AD163" s="631"/>
      <c r="AE163" s="631"/>
      <c r="AF163" s="631"/>
      <c r="AG163" s="631"/>
      <c r="AH163" s="631"/>
      <c r="AI163" s="462"/>
      <c r="AJ163" s="462"/>
      <c r="AK163" s="462"/>
      <c r="AL163" s="462"/>
      <c r="AM163" s="462"/>
      <c r="AN163" s="462"/>
      <c r="AO163" s="462"/>
      <c r="AP163" s="462"/>
      <c r="AQ163" s="462"/>
      <c r="AR163" s="462"/>
      <c r="AS163" s="462"/>
      <c r="AT163" s="462"/>
      <c r="AU163" s="462"/>
      <c r="AV163" s="462"/>
      <c r="AW163" s="462"/>
      <c r="AX163" s="462"/>
      <c r="AY163" s="462"/>
    </row>
    <row r="164" spans="1:51" x14ac:dyDescent="0.45">
      <c r="A164" s="227"/>
      <c r="B164" s="972" t="s">
        <v>114</v>
      </c>
      <c r="C164" s="958">
        <v>50</v>
      </c>
      <c r="D164" s="799" t="s">
        <v>12</v>
      </c>
      <c r="R164" s="540"/>
      <c r="S164" s="540"/>
      <c r="T164" s="540"/>
      <c r="U164" s="540"/>
      <c r="V164" s="540"/>
      <c r="W164" s="540"/>
      <c r="X164" s="540"/>
      <c r="Y164" s="540"/>
      <c r="Z164" s="540"/>
      <c r="AA164" s="631"/>
      <c r="AB164" s="631"/>
      <c r="AC164" s="631"/>
      <c r="AD164" s="631"/>
      <c r="AE164" s="631"/>
      <c r="AF164" s="631"/>
      <c r="AG164" s="631"/>
      <c r="AH164" s="631"/>
      <c r="AI164" s="462"/>
      <c r="AJ164" s="462"/>
      <c r="AK164" s="462"/>
      <c r="AL164" s="462"/>
      <c r="AM164" s="462"/>
      <c r="AN164" s="462"/>
      <c r="AO164" s="462"/>
      <c r="AP164" s="462"/>
      <c r="AQ164" s="462"/>
      <c r="AR164" s="462"/>
      <c r="AS164" s="462"/>
      <c r="AT164" s="462"/>
      <c r="AU164" s="462"/>
      <c r="AV164" s="462"/>
      <c r="AW164" s="462"/>
      <c r="AX164" s="462"/>
      <c r="AY164" s="462"/>
    </row>
    <row r="165" spans="1:51" x14ac:dyDescent="0.45">
      <c r="A165" s="227"/>
      <c r="B165" s="972" t="s">
        <v>115</v>
      </c>
      <c r="C165" s="958">
        <v>1.4</v>
      </c>
      <c r="D165" s="799" t="s">
        <v>85</v>
      </c>
      <c r="R165" s="540"/>
      <c r="S165" s="540"/>
      <c r="T165" s="540"/>
      <c r="U165" s="540"/>
      <c r="V165" s="540"/>
      <c r="W165" s="540"/>
      <c r="X165" s="540"/>
      <c r="Y165" s="540"/>
      <c r="Z165" s="540"/>
      <c r="AA165" s="631"/>
      <c r="AB165" s="631"/>
      <c r="AC165" s="631"/>
      <c r="AD165" s="631"/>
      <c r="AE165" s="631"/>
      <c r="AF165" s="631"/>
      <c r="AG165" s="631"/>
      <c r="AH165" s="631"/>
      <c r="AI165" s="462"/>
      <c r="AJ165" s="462"/>
      <c r="AK165" s="462"/>
      <c r="AL165" s="462"/>
      <c r="AM165" s="462"/>
      <c r="AN165" s="462"/>
      <c r="AO165" s="462"/>
      <c r="AP165" s="462"/>
      <c r="AQ165" s="462"/>
      <c r="AR165" s="462"/>
      <c r="AS165" s="462"/>
      <c r="AT165" s="462"/>
      <c r="AU165" s="462"/>
      <c r="AV165" s="462"/>
      <c r="AW165" s="462"/>
      <c r="AX165" s="462"/>
      <c r="AY165" s="462"/>
    </row>
    <row r="166" spans="1:51" x14ac:dyDescent="0.45">
      <c r="A166" s="227"/>
      <c r="B166" s="972" t="s">
        <v>352</v>
      </c>
      <c r="C166" s="958">
        <f>C164*C165/1000</f>
        <v>7.0000000000000007E-2</v>
      </c>
      <c r="D166" s="799" t="s">
        <v>16</v>
      </c>
      <c r="R166" s="540"/>
      <c r="S166" s="540"/>
      <c r="T166" s="540"/>
      <c r="U166" s="540"/>
      <c r="V166" s="540"/>
      <c r="W166" s="540"/>
      <c r="X166" s="540"/>
      <c r="Y166" s="540"/>
      <c r="Z166" s="540"/>
      <c r="AA166" s="631"/>
      <c r="AB166" s="631"/>
      <c r="AC166" s="631"/>
      <c r="AD166" s="631"/>
      <c r="AE166" s="631"/>
      <c r="AF166" s="631"/>
      <c r="AG166" s="631"/>
      <c r="AH166" s="631"/>
      <c r="AI166" s="462"/>
      <c r="AJ166" s="462"/>
      <c r="AK166" s="462"/>
      <c r="AL166" s="462"/>
      <c r="AM166" s="462"/>
      <c r="AN166" s="462"/>
      <c r="AO166" s="462"/>
      <c r="AP166" s="462"/>
      <c r="AQ166" s="462"/>
      <c r="AR166" s="462"/>
      <c r="AS166" s="462"/>
      <c r="AT166" s="462"/>
      <c r="AU166" s="462"/>
      <c r="AV166" s="462"/>
      <c r="AW166" s="462"/>
      <c r="AX166" s="462"/>
      <c r="AY166" s="462"/>
    </row>
    <row r="167" spans="1:51" x14ac:dyDescent="0.45">
      <c r="A167" s="227"/>
      <c r="B167" s="751" t="s">
        <v>343</v>
      </c>
      <c r="C167" s="958">
        <f>C163+C166</f>
        <v>0.13187500000000002</v>
      </c>
      <c r="D167" s="799" t="s">
        <v>16</v>
      </c>
      <c r="R167" s="540"/>
      <c r="S167" s="540"/>
      <c r="T167" s="540"/>
      <c r="U167" s="540"/>
      <c r="V167" s="540"/>
      <c r="W167" s="540"/>
      <c r="X167" s="540"/>
      <c r="Y167" s="540"/>
      <c r="Z167" s="540"/>
      <c r="AA167" s="631"/>
      <c r="AB167" s="631"/>
      <c r="AC167" s="631"/>
      <c r="AD167" s="631"/>
      <c r="AE167" s="631"/>
      <c r="AF167" s="631"/>
      <c r="AG167" s="631"/>
      <c r="AH167" s="631"/>
      <c r="AI167" s="462"/>
      <c r="AJ167" s="462"/>
      <c r="AK167" s="462"/>
      <c r="AL167" s="462"/>
      <c r="AM167" s="462"/>
      <c r="AN167" s="462"/>
      <c r="AO167" s="462"/>
      <c r="AP167" s="462"/>
      <c r="AQ167" s="462"/>
      <c r="AR167" s="462"/>
      <c r="AS167" s="462"/>
      <c r="AT167" s="462"/>
      <c r="AU167" s="462"/>
      <c r="AV167" s="462"/>
      <c r="AW167" s="462"/>
      <c r="AX167" s="462"/>
      <c r="AY167" s="462"/>
    </row>
    <row r="168" spans="1:51" s="540" customFormat="1" x14ac:dyDescent="0.45">
      <c r="A168" s="545"/>
      <c r="B168" s="972" t="s">
        <v>339</v>
      </c>
      <c r="C168" s="749">
        <f>$C$149*$C$150</f>
        <v>0.97019999999999995</v>
      </c>
      <c r="D168" s="976" t="s">
        <v>22</v>
      </c>
      <c r="AA168" s="631"/>
      <c r="AB168" s="631"/>
      <c r="AC168" s="631"/>
      <c r="AD168" s="631"/>
      <c r="AE168" s="631"/>
      <c r="AF168" s="631"/>
      <c r="AG168" s="631"/>
      <c r="AH168" s="631"/>
      <c r="AI168" s="553"/>
      <c r="AJ168" s="553"/>
      <c r="AK168" s="553"/>
      <c r="AL168" s="553"/>
      <c r="AM168" s="553"/>
      <c r="AN168" s="553"/>
      <c r="AO168" s="553"/>
      <c r="AP168" s="553"/>
      <c r="AQ168" s="553"/>
      <c r="AR168" s="553"/>
      <c r="AS168" s="553"/>
      <c r="AT168" s="553"/>
      <c r="AU168" s="553"/>
      <c r="AV168" s="553"/>
      <c r="AW168" s="553"/>
      <c r="AX168" s="553"/>
      <c r="AY168" s="553"/>
    </row>
    <row r="169" spans="1:51" s="540" customFormat="1" x14ac:dyDescent="0.45">
      <c r="A169" s="545"/>
      <c r="B169" s="942" t="s">
        <v>86</v>
      </c>
      <c r="C169" s="943">
        <f>C167/C168</f>
        <v>0.13592558235415381</v>
      </c>
      <c r="D169" s="944" t="s">
        <v>16</v>
      </c>
      <c r="AA169" s="631"/>
      <c r="AB169" s="631"/>
      <c r="AC169" s="631"/>
      <c r="AD169" s="631"/>
      <c r="AE169" s="631"/>
      <c r="AF169" s="631"/>
      <c r="AG169" s="631"/>
      <c r="AH169" s="631"/>
      <c r="AI169" s="553"/>
      <c r="AJ169" s="553"/>
      <c r="AK169" s="553"/>
      <c r="AL169" s="553"/>
      <c r="AM169" s="553"/>
      <c r="AN169" s="553"/>
      <c r="AO169" s="553"/>
      <c r="AP169" s="553"/>
      <c r="AQ169" s="553"/>
      <c r="AR169" s="553"/>
      <c r="AS169" s="553"/>
      <c r="AT169" s="553"/>
      <c r="AU169" s="553"/>
      <c r="AV169" s="553"/>
      <c r="AW169" s="553"/>
      <c r="AX169" s="553"/>
      <c r="AY169" s="553"/>
    </row>
    <row r="170" spans="1:51" x14ac:dyDescent="0.45">
      <c r="A170" s="227"/>
      <c r="R170" s="462"/>
      <c r="S170" s="462"/>
      <c r="T170" s="462"/>
      <c r="U170" s="462"/>
      <c r="V170" s="462"/>
      <c r="W170" s="462"/>
      <c r="X170" s="462"/>
      <c r="Y170" s="462"/>
      <c r="Z170" s="462"/>
      <c r="AA170" s="462"/>
      <c r="AB170" s="462"/>
      <c r="AC170" s="462"/>
      <c r="AD170" s="462"/>
      <c r="AE170" s="462"/>
      <c r="AF170" s="462"/>
      <c r="AG170" s="462"/>
      <c r="AH170" s="462"/>
      <c r="AI170" s="462"/>
      <c r="AJ170" s="462"/>
      <c r="AK170" s="462"/>
      <c r="AL170" s="462"/>
      <c r="AM170" s="462"/>
      <c r="AN170" s="462"/>
      <c r="AO170" s="462"/>
      <c r="AP170" s="462"/>
      <c r="AQ170" s="462"/>
      <c r="AR170" s="462"/>
      <c r="AS170" s="462"/>
      <c r="AT170" s="462"/>
      <c r="AU170" s="462"/>
      <c r="AV170" s="462"/>
      <c r="AW170" s="462"/>
      <c r="AX170" s="462"/>
      <c r="AY170" s="462"/>
    </row>
    <row r="171" spans="1:51" x14ac:dyDescent="0.45">
      <c r="A171" s="227"/>
      <c r="B171" s="386" t="s">
        <v>162</v>
      </c>
      <c r="C171" s="387"/>
      <c r="D171" s="388"/>
      <c r="R171" s="462"/>
      <c r="S171" s="462"/>
      <c r="T171" s="462"/>
      <c r="U171" s="462"/>
      <c r="V171" s="462"/>
      <c r="W171" s="462"/>
      <c r="X171" s="462"/>
      <c r="Y171" s="462"/>
      <c r="Z171" s="462"/>
      <c r="AA171" s="462"/>
      <c r="AB171" s="462"/>
      <c r="AC171" s="462"/>
      <c r="AD171" s="462"/>
      <c r="AE171" s="462"/>
      <c r="AF171" s="462"/>
      <c r="AG171" s="462"/>
      <c r="AH171" s="462"/>
      <c r="AI171" s="462"/>
      <c r="AJ171" s="462"/>
      <c r="AK171" s="462"/>
      <c r="AL171" s="462"/>
      <c r="AM171" s="462"/>
      <c r="AN171" s="462"/>
      <c r="AO171" s="462"/>
      <c r="AP171" s="462"/>
      <c r="AQ171" s="462"/>
      <c r="AR171" s="462"/>
      <c r="AS171" s="462"/>
      <c r="AT171" s="462"/>
      <c r="AU171" s="462"/>
      <c r="AV171" s="462"/>
      <c r="AW171" s="462"/>
      <c r="AX171" s="462"/>
      <c r="AY171" s="462"/>
    </row>
    <row r="172" spans="1:51" x14ac:dyDescent="0.45">
      <c r="A172" s="227"/>
      <c r="B172" s="382" t="s">
        <v>104</v>
      </c>
      <c r="C172" s="389">
        <v>0</v>
      </c>
      <c r="D172" s="390" t="s">
        <v>108</v>
      </c>
      <c r="R172" s="462"/>
      <c r="S172" s="462"/>
      <c r="T172" s="462"/>
      <c r="U172" s="462"/>
      <c r="V172" s="462"/>
      <c r="W172" s="462"/>
      <c r="X172" s="462"/>
      <c r="Y172" s="462"/>
      <c r="Z172" s="462"/>
      <c r="AA172" s="462"/>
      <c r="AB172" s="462"/>
      <c r="AC172" s="462"/>
      <c r="AD172" s="462"/>
      <c r="AE172" s="462"/>
      <c r="AF172" s="462"/>
      <c r="AG172" s="462"/>
      <c r="AH172" s="462"/>
      <c r="AI172" s="462"/>
      <c r="AJ172" s="462"/>
      <c r="AK172" s="462"/>
      <c r="AL172" s="462"/>
      <c r="AM172" s="462"/>
      <c r="AN172" s="462"/>
      <c r="AO172" s="462"/>
      <c r="AP172" s="462"/>
      <c r="AQ172" s="462"/>
      <c r="AR172" s="462"/>
      <c r="AS172" s="462"/>
      <c r="AT172" s="462"/>
      <c r="AU172" s="462"/>
      <c r="AV172" s="462"/>
      <c r="AW172" s="462"/>
      <c r="AX172" s="462"/>
      <c r="AY172" s="462"/>
    </row>
    <row r="173" spans="1:51" x14ac:dyDescent="0.45">
      <c r="A173" s="227"/>
      <c r="B173" s="382" t="s">
        <v>105</v>
      </c>
      <c r="C173" s="389">
        <v>8000</v>
      </c>
      <c r="D173" s="390" t="s">
        <v>106</v>
      </c>
      <c r="R173" s="462"/>
      <c r="S173" s="462"/>
      <c r="T173" s="462"/>
      <c r="U173" s="462"/>
      <c r="V173" s="462"/>
      <c r="W173" s="462"/>
      <c r="X173" s="462"/>
      <c r="Y173" s="462"/>
      <c r="Z173" s="462"/>
      <c r="AA173" s="462"/>
      <c r="AB173" s="462"/>
      <c r="AC173" s="462"/>
      <c r="AD173" s="462"/>
      <c r="AE173" s="462"/>
      <c r="AF173" s="462"/>
      <c r="AG173" s="462"/>
      <c r="AH173" s="462"/>
      <c r="AI173" s="462"/>
      <c r="AJ173" s="462"/>
      <c r="AK173" s="462"/>
      <c r="AL173" s="462"/>
      <c r="AM173" s="462"/>
      <c r="AN173" s="462"/>
      <c r="AO173" s="462"/>
      <c r="AP173" s="462"/>
      <c r="AQ173" s="462"/>
      <c r="AR173" s="462"/>
      <c r="AS173" s="462"/>
      <c r="AT173" s="462"/>
      <c r="AU173" s="462"/>
      <c r="AV173" s="462"/>
      <c r="AW173" s="462"/>
      <c r="AX173" s="462"/>
      <c r="AY173" s="462"/>
    </row>
    <row r="174" spans="1:51" x14ac:dyDescent="0.45">
      <c r="A174" s="227"/>
      <c r="B174" s="382" t="s">
        <v>107</v>
      </c>
      <c r="C174" s="389">
        <v>0</v>
      </c>
      <c r="D174" s="390" t="s">
        <v>397</v>
      </c>
      <c r="R174" s="462"/>
      <c r="S174" s="462"/>
      <c r="T174" s="462"/>
      <c r="U174" s="462"/>
      <c r="V174" s="462"/>
      <c r="W174" s="462"/>
      <c r="X174" s="462"/>
      <c r="Y174" s="462"/>
      <c r="Z174" s="462"/>
      <c r="AA174" s="462"/>
      <c r="AB174" s="462"/>
      <c r="AC174" s="462"/>
      <c r="AD174" s="462"/>
      <c r="AE174" s="462"/>
      <c r="AF174" s="462"/>
      <c r="AG174" s="462"/>
      <c r="AH174" s="462"/>
      <c r="AI174" s="462"/>
      <c r="AJ174" s="462"/>
      <c r="AK174" s="462"/>
      <c r="AL174" s="462"/>
      <c r="AM174" s="462"/>
      <c r="AN174" s="462"/>
      <c r="AO174" s="462"/>
      <c r="AP174" s="462"/>
      <c r="AQ174" s="462"/>
      <c r="AR174" s="462"/>
      <c r="AS174" s="462"/>
      <c r="AT174" s="462"/>
      <c r="AU174" s="462"/>
      <c r="AV174" s="462"/>
      <c r="AW174" s="462"/>
      <c r="AX174" s="462"/>
      <c r="AY174" s="462"/>
    </row>
    <row r="175" spans="1:51" x14ac:dyDescent="0.45">
      <c r="A175" s="227"/>
      <c r="B175" s="382" t="s">
        <v>350</v>
      </c>
      <c r="C175" s="389">
        <f>C174*C172/C173</f>
        <v>0</v>
      </c>
      <c r="D175" s="390" t="s">
        <v>16</v>
      </c>
      <c r="N175" s="235"/>
      <c r="O175" s="235"/>
      <c r="P175" s="235"/>
      <c r="Q175" s="235"/>
      <c r="R175" s="462"/>
      <c r="S175" s="462"/>
      <c r="T175" s="462"/>
      <c r="U175" s="462"/>
      <c r="V175" s="462"/>
      <c r="W175" s="462"/>
      <c r="X175" s="462"/>
      <c r="Y175" s="462"/>
      <c r="Z175" s="462"/>
      <c r="AA175" s="462"/>
      <c r="AB175" s="462"/>
      <c r="AC175" s="462"/>
      <c r="AD175" s="462"/>
      <c r="AE175" s="462"/>
      <c r="AF175" s="462"/>
      <c r="AG175" s="462"/>
      <c r="AH175" s="462"/>
      <c r="AI175" s="462"/>
      <c r="AJ175" s="462"/>
      <c r="AK175" s="462"/>
      <c r="AL175" s="462"/>
      <c r="AM175" s="462"/>
      <c r="AN175" s="462"/>
      <c r="AO175" s="462"/>
      <c r="AP175" s="462"/>
      <c r="AQ175" s="462"/>
      <c r="AR175" s="462"/>
      <c r="AS175" s="462"/>
      <c r="AT175" s="462"/>
      <c r="AU175" s="462"/>
      <c r="AV175" s="462"/>
      <c r="AW175" s="462"/>
      <c r="AX175" s="462"/>
      <c r="AY175" s="462"/>
    </row>
    <row r="176" spans="1:51" s="540" customFormat="1" x14ac:dyDescent="0.45">
      <c r="A176" s="545"/>
      <c r="B176" s="969" t="s">
        <v>339</v>
      </c>
      <c r="C176" s="381">
        <f>$C$149*$C$150</f>
        <v>0.97019999999999995</v>
      </c>
      <c r="D176" s="390" t="s">
        <v>22</v>
      </c>
      <c r="N176" s="553"/>
      <c r="O176" s="553"/>
      <c r="P176" s="553"/>
      <c r="Q176" s="553"/>
      <c r="R176" s="553"/>
      <c r="S176" s="553"/>
      <c r="T176" s="553"/>
      <c r="U176" s="553"/>
      <c r="V176" s="553"/>
      <c r="W176" s="553"/>
      <c r="X176" s="553"/>
      <c r="Y176" s="553"/>
      <c r="Z176" s="553"/>
      <c r="AA176" s="553"/>
      <c r="AB176" s="553"/>
      <c r="AC176" s="553"/>
      <c r="AD176" s="553"/>
      <c r="AE176" s="553"/>
      <c r="AF176" s="553"/>
      <c r="AG176" s="553"/>
      <c r="AH176" s="553"/>
      <c r="AI176" s="553"/>
      <c r="AJ176" s="553"/>
      <c r="AK176" s="553"/>
      <c r="AL176" s="553"/>
      <c r="AM176" s="553"/>
      <c r="AN176" s="553"/>
      <c r="AO176" s="553"/>
      <c r="AP176" s="553"/>
      <c r="AQ176" s="553"/>
      <c r="AR176" s="553"/>
      <c r="AS176" s="553"/>
      <c r="AT176" s="553"/>
      <c r="AU176" s="553"/>
      <c r="AV176" s="553"/>
      <c r="AW176" s="553"/>
      <c r="AX176" s="553"/>
      <c r="AY176" s="553"/>
    </row>
    <row r="177" spans="1:51" s="540" customFormat="1" x14ac:dyDescent="0.45">
      <c r="A177" s="545"/>
      <c r="B177" s="962" t="s">
        <v>107</v>
      </c>
      <c r="C177" s="970">
        <f>C175/C176</f>
        <v>0</v>
      </c>
      <c r="D177" s="971" t="s">
        <v>16</v>
      </c>
      <c r="N177" s="553"/>
      <c r="O177" s="553"/>
      <c r="P177" s="553"/>
      <c r="Q177" s="553"/>
      <c r="R177" s="553"/>
      <c r="S177" s="553"/>
      <c r="T177" s="553"/>
      <c r="U177" s="553"/>
      <c r="V177" s="553"/>
      <c r="W177" s="553"/>
      <c r="X177" s="553"/>
      <c r="Y177" s="553"/>
      <c r="Z177" s="553"/>
      <c r="AA177" s="553"/>
      <c r="AB177" s="553"/>
      <c r="AC177" s="553"/>
      <c r="AD177" s="553"/>
      <c r="AE177" s="553"/>
      <c r="AF177" s="553"/>
      <c r="AG177" s="553"/>
      <c r="AH177" s="553"/>
      <c r="AI177" s="553"/>
      <c r="AJ177" s="553"/>
      <c r="AK177" s="553"/>
      <c r="AL177" s="553"/>
      <c r="AM177" s="553"/>
      <c r="AN177" s="553"/>
      <c r="AO177" s="553"/>
      <c r="AP177" s="553"/>
      <c r="AQ177" s="553"/>
      <c r="AR177" s="553"/>
      <c r="AS177" s="553"/>
      <c r="AT177" s="553"/>
      <c r="AU177" s="553"/>
      <c r="AV177" s="553"/>
      <c r="AW177" s="553"/>
      <c r="AX177" s="553"/>
      <c r="AY177" s="553"/>
    </row>
    <row r="178" spans="1:51" x14ac:dyDescent="0.45">
      <c r="A178" s="227"/>
      <c r="N178" s="235"/>
      <c r="O178" s="235"/>
      <c r="P178" s="235"/>
      <c r="Q178" s="235"/>
      <c r="R178" s="462"/>
      <c r="S178" s="462"/>
      <c r="T178" s="462"/>
      <c r="U178" s="462"/>
      <c r="V178" s="462"/>
      <c r="W178" s="462"/>
      <c r="X178" s="462"/>
      <c r="Y178" s="462"/>
      <c r="Z178" s="462"/>
      <c r="AA178" s="462"/>
      <c r="AB178" s="462"/>
      <c r="AC178" s="462"/>
      <c r="AD178" s="462"/>
      <c r="AE178" s="462"/>
      <c r="AF178" s="462"/>
      <c r="AG178" s="462"/>
      <c r="AH178" s="462"/>
      <c r="AI178" s="462"/>
      <c r="AJ178" s="462"/>
      <c r="AK178" s="462"/>
      <c r="AL178" s="462"/>
      <c r="AM178" s="462"/>
      <c r="AN178" s="462"/>
      <c r="AO178" s="462"/>
      <c r="AP178" s="462"/>
      <c r="AQ178" s="462"/>
      <c r="AR178" s="462"/>
      <c r="AS178" s="462"/>
      <c r="AT178" s="462"/>
      <c r="AU178" s="462"/>
      <c r="AV178" s="462"/>
      <c r="AW178" s="462"/>
      <c r="AX178" s="462"/>
      <c r="AY178" s="462"/>
    </row>
    <row r="179" spans="1:51" x14ac:dyDescent="0.45">
      <c r="A179" s="227"/>
      <c r="B179" s="623" t="s">
        <v>144</v>
      </c>
      <c r="C179" s="624"/>
      <c r="D179" s="624"/>
      <c r="E179" s="624"/>
      <c r="F179" s="267"/>
      <c r="G179" s="235"/>
      <c r="H179" s="235"/>
      <c r="I179" s="235"/>
      <c r="J179" s="235"/>
      <c r="N179" s="235"/>
      <c r="O179" s="235"/>
      <c r="P179" s="235"/>
      <c r="Q179" s="235"/>
      <c r="R179" s="235"/>
      <c r="S179" s="235"/>
      <c r="T179" s="235"/>
      <c r="U179" s="235"/>
      <c r="V179" s="235"/>
      <c r="W179" s="235"/>
      <c r="X179" s="235"/>
      <c r="Y179" s="235"/>
      <c r="AA179" s="268"/>
      <c r="AB179" s="268"/>
      <c r="AC179" s="268"/>
      <c r="AD179" s="268"/>
      <c r="AE179" s="268"/>
      <c r="AF179" s="268"/>
      <c r="AG179" s="268"/>
      <c r="AH179" s="268"/>
      <c r="AI179" s="268"/>
      <c r="AJ179" s="268"/>
      <c r="AK179" s="268"/>
      <c r="AL179" s="268"/>
      <c r="AM179" s="268"/>
      <c r="AN179" s="268"/>
    </row>
    <row r="180" spans="1:51" x14ac:dyDescent="0.45">
      <c r="A180" s="227"/>
      <c r="B180" s="618"/>
      <c r="C180" s="819" t="s">
        <v>161</v>
      </c>
      <c r="D180" s="620" t="s">
        <v>171</v>
      </c>
      <c r="E180" s="620" t="s">
        <v>342</v>
      </c>
      <c r="F180" s="979" t="s">
        <v>171</v>
      </c>
      <c r="G180" s="235"/>
      <c r="H180" s="235"/>
      <c r="I180" s="235"/>
      <c r="J180" s="235"/>
      <c r="N180" s="235"/>
      <c r="O180" s="235"/>
      <c r="P180" s="391"/>
      <c r="Q180" s="235"/>
      <c r="R180" s="235"/>
      <c r="S180" s="391"/>
      <c r="T180" s="235"/>
      <c r="U180" s="235"/>
      <c r="V180" s="392"/>
      <c r="W180" s="235"/>
      <c r="X180" s="235"/>
      <c r="Y180" s="235"/>
      <c r="Z180" s="268"/>
      <c r="AA180" s="268"/>
      <c r="AB180" s="268"/>
      <c r="AC180" s="268"/>
      <c r="AD180" s="268"/>
      <c r="AE180" s="268"/>
      <c r="AF180" s="268"/>
      <c r="AG180" s="268"/>
      <c r="AH180" s="268"/>
      <c r="AI180" s="268"/>
      <c r="AJ180" s="268"/>
      <c r="AK180" s="268"/>
      <c r="AL180" s="268"/>
      <c r="AM180" s="268"/>
      <c r="AN180" s="268"/>
    </row>
    <row r="181" spans="1:51" x14ac:dyDescent="0.45">
      <c r="A181" s="227"/>
      <c r="B181" s="618" t="s">
        <v>7</v>
      </c>
      <c r="C181" s="620">
        <v>2.8</v>
      </c>
      <c r="D181" s="616">
        <f>C181*(C57*2+2)/C58</f>
        <v>4.1192376289311876E-2</v>
      </c>
      <c r="E181" s="616">
        <f>$C$150</f>
        <v>0.99</v>
      </c>
      <c r="F181" s="980">
        <f>D181/E181</f>
        <v>4.1608460898294827E-2</v>
      </c>
      <c r="G181" s="235"/>
      <c r="H181" s="235"/>
      <c r="I181" s="235"/>
      <c r="J181" s="235"/>
      <c r="N181" s="235"/>
      <c r="O181" s="235"/>
      <c r="P181" s="393"/>
      <c r="Q181" s="235"/>
      <c r="R181" s="235"/>
      <c r="S181" s="393"/>
      <c r="T181" s="235"/>
      <c r="U181" s="235"/>
      <c r="V181" s="392"/>
      <c r="W181" s="235"/>
      <c r="X181" s="235"/>
      <c r="Y181" s="235"/>
      <c r="Z181" s="268"/>
      <c r="AA181" s="268"/>
      <c r="AB181" s="268"/>
      <c r="AC181" s="268"/>
      <c r="AD181" s="268"/>
      <c r="AE181" s="268"/>
      <c r="AF181" s="268"/>
      <c r="AG181" s="268"/>
      <c r="AH181" s="268"/>
      <c r="AI181" s="268"/>
      <c r="AJ181" s="268"/>
      <c r="AK181" s="268"/>
      <c r="AL181" s="268"/>
      <c r="AM181" s="268"/>
      <c r="AN181" s="268"/>
    </row>
    <row r="182" spans="1:51" x14ac:dyDescent="0.45">
      <c r="A182" s="227"/>
      <c r="B182" s="618"/>
      <c r="C182" s="819" t="s">
        <v>159</v>
      </c>
      <c r="D182" s="620" t="s">
        <v>171</v>
      </c>
      <c r="E182" s="616"/>
      <c r="F182" s="980" t="s">
        <v>171</v>
      </c>
      <c r="G182" s="235"/>
      <c r="H182" s="235"/>
      <c r="I182" s="235"/>
      <c r="J182" s="235"/>
      <c r="N182" s="235"/>
      <c r="O182" s="235"/>
      <c r="P182" s="393"/>
      <c r="Q182" s="235"/>
      <c r="R182" s="235"/>
      <c r="S182" s="393"/>
      <c r="T182" s="235"/>
      <c r="U182" s="235"/>
      <c r="V182" s="392"/>
      <c r="W182" s="235"/>
      <c r="X182" s="235"/>
      <c r="Y182" s="235"/>
      <c r="Z182" s="268"/>
      <c r="AA182" s="268"/>
      <c r="AB182" s="268"/>
      <c r="AC182" s="268"/>
      <c r="AD182" s="268"/>
      <c r="AE182" s="268"/>
      <c r="AF182" s="268"/>
      <c r="AG182" s="268"/>
      <c r="AH182" s="268"/>
      <c r="AI182" s="268"/>
      <c r="AJ182" s="268"/>
      <c r="AK182" s="268"/>
      <c r="AL182" s="268"/>
      <c r="AM182" s="268"/>
      <c r="AN182" s="268"/>
    </row>
    <row r="183" spans="1:51" x14ac:dyDescent="0.45">
      <c r="A183" s="227"/>
      <c r="B183" s="618" t="s">
        <v>87</v>
      </c>
      <c r="C183" s="620">
        <v>7</v>
      </c>
      <c r="D183" s="616">
        <f>C183*$C$57/$C$58</f>
        <v>3.4146341463414637E-2</v>
      </c>
      <c r="E183" s="616">
        <f>$C$150</f>
        <v>0.99</v>
      </c>
      <c r="F183" s="980">
        <f>D183/E183</f>
        <v>3.4491254003449129E-2</v>
      </c>
      <c r="G183" s="235"/>
      <c r="H183" s="235"/>
      <c r="I183" s="235"/>
      <c r="J183" s="235"/>
      <c r="L183" s="228"/>
      <c r="N183" s="235"/>
      <c r="O183" s="235"/>
      <c r="P183" s="393"/>
      <c r="Q183" s="235"/>
      <c r="R183" s="235"/>
      <c r="S183" s="393"/>
      <c r="T183" s="235"/>
      <c r="U183" s="235"/>
      <c r="V183" s="392"/>
      <c r="W183" s="235"/>
      <c r="X183" s="235"/>
      <c r="Y183" s="235"/>
      <c r="Z183" s="268"/>
      <c r="AA183" s="268"/>
      <c r="AB183" s="268"/>
      <c r="AC183" s="268"/>
      <c r="AD183" s="268"/>
      <c r="AE183" s="268"/>
      <c r="AF183" s="268"/>
      <c r="AG183" s="268"/>
      <c r="AH183" s="268"/>
      <c r="AI183" s="268"/>
      <c r="AJ183" s="268"/>
      <c r="AK183" s="268"/>
      <c r="AL183" s="268"/>
      <c r="AM183" s="268"/>
      <c r="AN183" s="268"/>
    </row>
    <row r="184" spans="1:51" x14ac:dyDescent="0.45">
      <c r="A184" s="227"/>
      <c r="B184" s="618" t="s">
        <v>6</v>
      </c>
      <c r="C184" s="620">
        <v>2.5</v>
      </c>
      <c r="D184" s="616">
        <f>C184*$C$57*2/$C$58</f>
        <v>2.4390243902439025E-2</v>
      </c>
      <c r="E184" s="616">
        <f>$C$150</f>
        <v>0.99</v>
      </c>
      <c r="F184" s="980">
        <f>D184/E184</f>
        <v>2.4636610002463661E-2</v>
      </c>
      <c r="G184" s="235"/>
      <c r="H184" s="235"/>
      <c r="I184" s="235"/>
      <c r="J184" s="235"/>
      <c r="L184" s="228"/>
      <c r="N184" s="235"/>
      <c r="O184" s="235"/>
      <c r="P184" s="393"/>
      <c r="Q184" s="235"/>
      <c r="R184" s="235"/>
      <c r="S184" s="393"/>
      <c r="T184" s="235"/>
      <c r="U184" s="235"/>
      <c r="V184" s="392"/>
      <c r="W184" s="235"/>
      <c r="X184" s="235"/>
      <c r="Y184" s="235"/>
      <c r="Z184" s="268"/>
      <c r="AA184" s="268"/>
      <c r="AB184" s="268"/>
      <c r="AC184" s="268"/>
      <c r="AD184" s="268"/>
      <c r="AE184" s="268"/>
      <c r="AF184" s="268"/>
      <c r="AG184" s="268"/>
      <c r="AH184" s="268"/>
      <c r="AI184" s="268"/>
      <c r="AJ184" s="268"/>
      <c r="AK184" s="268"/>
      <c r="AL184" s="268"/>
      <c r="AM184" s="268"/>
      <c r="AN184" s="268"/>
    </row>
    <row r="185" spans="1:51" x14ac:dyDescent="0.45">
      <c r="A185" s="227"/>
      <c r="B185" s="618" t="s">
        <v>10</v>
      </c>
      <c r="C185" s="620">
        <v>7.3</v>
      </c>
      <c r="D185" s="616">
        <f>C185*$C$57/$C$58</f>
        <v>3.5609756097560979E-2</v>
      </c>
      <c r="E185" s="616">
        <f>$C$150</f>
        <v>0.99</v>
      </c>
      <c r="F185" s="980">
        <f>D185/E185</f>
        <v>3.596945060359695E-2</v>
      </c>
      <c r="G185" s="235"/>
      <c r="H185" s="235"/>
      <c r="I185" s="235"/>
      <c r="J185" s="235"/>
      <c r="L185" s="228"/>
      <c r="N185" s="235"/>
      <c r="O185" s="235"/>
      <c r="P185" s="391"/>
      <c r="Q185" s="235"/>
      <c r="R185" s="235"/>
      <c r="S185" s="391"/>
      <c r="T185" s="235"/>
      <c r="U185" s="235"/>
      <c r="V185" s="392"/>
      <c r="W185" s="235"/>
      <c r="X185" s="235"/>
      <c r="Y185" s="235"/>
      <c r="Z185" s="268"/>
      <c r="AA185" s="268"/>
      <c r="AB185" s="268"/>
      <c r="AC185" s="268"/>
      <c r="AD185" s="268"/>
      <c r="AE185" s="268"/>
      <c r="AF185" s="268"/>
      <c r="AG185" s="268"/>
      <c r="AH185" s="268"/>
      <c r="AI185" s="268"/>
      <c r="AJ185" s="268"/>
      <c r="AK185" s="268"/>
      <c r="AL185" s="268"/>
      <c r="AM185" s="268"/>
      <c r="AN185" s="268"/>
    </row>
    <row r="186" spans="1:51" x14ac:dyDescent="0.45">
      <c r="A186" s="227"/>
      <c r="B186" s="618" t="s">
        <v>9</v>
      </c>
      <c r="C186" s="620">
        <v>4.7</v>
      </c>
      <c r="D186" s="616">
        <f>C186*$C$57/$C$58</f>
        <v>2.2926829268292686E-2</v>
      </c>
      <c r="E186" s="616">
        <f>$C$150</f>
        <v>0.99</v>
      </c>
      <c r="F186" s="980">
        <f>D186/E186</f>
        <v>2.3158413402315843E-2</v>
      </c>
      <c r="G186" s="235"/>
      <c r="H186" s="235"/>
      <c r="I186" s="230"/>
      <c r="J186" s="235"/>
      <c r="L186" s="228"/>
      <c r="N186" s="235"/>
      <c r="O186" s="235"/>
      <c r="P186" s="391"/>
      <c r="Q186" s="235"/>
      <c r="R186" s="235"/>
      <c r="S186" s="391"/>
      <c r="T186" s="235"/>
      <c r="U186" s="235"/>
      <c r="V186" s="392"/>
      <c r="W186" s="235"/>
      <c r="X186" s="235"/>
      <c r="Y186" s="235"/>
      <c r="Z186" s="268"/>
      <c r="AA186" s="268"/>
      <c r="AB186" s="268"/>
      <c r="AC186" s="268"/>
      <c r="AD186" s="268"/>
      <c r="AE186" s="268"/>
      <c r="AF186" s="268"/>
      <c r="AG186" s="268"/>
      <c r="AH186" s="268"/>
      <c r="AI186" s="268"/>
      <c r="AJ186" s="268"/>
      <c r="AK186" s="268"/>
      <c r="AL186" s="268"/>
      <c r="AM186" s="268"/>
      <c r="AN186" s="268"/>
    </row>
    <row r="187" spans="1:51" x14ac:dyDescent="0.45">
      <c r="A187" s="227"/>
      <c r="B187" s="618"/>
      <c r="C187" s="819" t="s">
        <v>160</v>
      </c>
      <c r="D187" s="620" t="s">
        <v>171</v>
      </c>
      <c r="E187" s="620"/>
      <c r="F187" s="980" t="s">
        <v>171</v>
      </c>
      <c r="G187" s="235"/>
      <c r="H187" s="235"/>
      <c r="I187" s="235"/>
      <c r="J187" s="235"/>
      <c r="L187" s="228"/>
      <c r="N187" s="235"/>
      <c r="O187" s="235"/>
      <c r="P187" s="393"/>
      <c r="Q187" s="235"/>
      <c r="R187" s="235"/>
      <c r="S187" s="393"/>
      <c r="T187" s="235"/>
      <c r="U187" s="235"/>
      <c r="V187" s="392"/>
      <c r="W187" s="235"/>
      <c r="X187" s="235"/>
      <c r="Y187" s="235"/>
      <c r="Z187" s="268"/>
      <c r="AA187" s="268"/>
      <c r="AB187" s="268"/>
      <c r="AC187" s="268"/>
      <c r="AD187" s="268"/>
      <c r="AE187" s="268"/>
      <c r="AF187" s="268"/>
      <c r="AG187" s="268"/>
      <c r="AH187" s="268"/>
      <c r="AI187" s="268"/>
      <c r="AJ187" s="268"/>
      <c r="AK187" s="268"/>
      <c r="AL187" s="268"/>
      <c r="AM187" s="268"/>
      <c r="AN187" s="268"/>
    </row>
    <row r="188" spans="1:51" x14ac:dyDescent="0.45">
      <c r="A188" s="227"/>
      <c r="B188" s="621" t="s">
        <v>8</v>
      </c>
      <c r="C188" s="622">
        <v>7.2</v>
      </c>
      <c r="D188" s="977">
        <f>C188/C58</f>
        <v>1.7839675438174503E-2</v>
      </c>
      <c r="E188" s="977">
        <f>$C$150</f>
        <v>0.99</v>
      </c>
      <c r="F188" s="981">
        <f>D188/E188</f>
        <v>1.8019874179974246E-2</v>
      </c>
      <c r="G188" s="235"/>
      <c r="H188" s="235"/>
      <c r="I188" s="235"/>
      <c r="J188" s="235"/>
      <c r="L188" s="228"/>
      <c r="N188" s="235"/>
      <c r="O188" s="235"/>
      <c r="P188" s="393"/>
      <c r="Q188" s="235"/>
      <c r="R188" s="235"/>
      <c r="S188" s="393"/>
      <c r="T188" s="235"/>
      <c r="U188" s="392"/>
      <c r="V188" s="392"/>
      <c r="W188" s="235"/>
      <c r="X188" s="235"/>
      <c r="Y188" s="235"/>
      <c r="Z188" s="268"/>
      <c r="AA188" s="268"/>
      <c r="AB188" s="268"/>
      <c r="AC188" s="268"/>
      <c r="AD188" s="268"/>
      <c r="AE188" s="268"/>
      <c r="AF188" s="268"/>
      <c r="AG188" s="268"/>
      <c r="AH188" s="268"/>
      <c r="AI188" s="268"/>
      <c r="AJ188" s="268"/>
      <c r="AK188" s="268"/>
      <c r="AL188" s="268"/>
      <c r="AM188" s="268"/>
      <c r="AN188" s="268"/>
    </row>
    <row r="189" spans="1:51" x14ac:dyDescent="0.45">
      <c r="A189" s="227"/>
      <c r="N189" s="235"/>
      <c r="O189" s="235"/>
      <c r="P189" s="235"/>
      <c r="Q189" s="235"/>
      <c r="R189" s="235"/>
      <c r="S189" s="235"/>
      <c r="T189" s="235"/>
      <c r="U189" s="235"/>
      <c r="V189" s="235"/>
      <c r="W189" s="235"/>
      <c r="X189" s="235"/>
      <c r="Y189" s="235"/>
      <c r="Z189" s="268"/>
      <c r="AA189" s="268"/>
      <c r="AB189" s="268"/>
      <c r="AC189" s="268"/>
      <c r="AD189" s="268"/>
      <c r="AE189" s="268"/>
      <c r="AF189" s="268"/>
      <c r="AG189" s="268"/>
      <c r="AH189" s="268"/>
      <c r="AI189" s="268"/>
      <c r="AJ189" s="268"/>
      <c r="AK189" s="268"/>
      <c r="AL189" s="268"/>
      <c r="AM189" s="268"/>
      <c r="AN189" s="268"/>
    </row>
    <row r="190" spans="1:51" x14ac:dyDescent="0.45">
      <c r="A190" s="227"/>
      <c r="B190" s="279" t="s">
        <v>43</v>
      </c>
      <c r="C190" s="280"/>
      <c r="D190" s="281"/>
      <c r="N190" s="235"/>
      <c r="O190" s="235"/>
      <c r="P190" s="235"/>
      <c r="Q190" s="235"/>
      <c r="R190" s="235"/>
      <c r="S190" s="235"/>
      <c r="T190" s="235"/>
      <c r="U190" s="235"/>
      <c r="V190" s="235"/>
      <c r="W190" s="235"/>
      <c r="X190" s="235"/>
      <c r="Y190" s="235"/>
      <c r="Z190" s="268"/>
      <c r="AA190" s="268"/>
      <c r="AB190" s="268"/>
      <c r="AC190" s="268"/>
      <c r="AD190" s="268"/>
      <c r="AE190" s="268"/>
      <c r="AF190" s="268"/>
      <c r="AG190" s="268"/>
      <c r="AH190" s="268"/>
      <c r="AI190" s="268"/>
      <c r="AJ190" s="268"/>
      <c r="AK190" s="268"/>
      <c r="AL190" s="268"/>
      <c r="AM190" s="268"/>
      <c r="AN190" s="268"/>
    </row>
    <row r="191" spans="1:51" x14ac:dyDescent="0.45">
      <c r="A191" s="227"/>
      <c r="B191" s="277" t="s">
        <v>46</v>
      </c>
      <c r="C191" s="658">
        <f>280*504*$C$8/14.4</f>
        <v>200900</v>
      </c>
      <c r="D191" s="282" t="s">
        <v>100</v>
      </c>
      <c r="N191" s="235"/>
      <c r="O191" s="235"/>
      <c r="P191" s="235"/>
      <c r="Q191" s="235"/>
      <c r="R191" s="235"/>
      <c r="S191" s="235"/>
      <c r="T191" s="235"/>
      <c r="U191" s="235"/>
      <c r="V191" s="235"/>
      <c r="W191" s="235"/>
      <c r="X191" s="235"/>
      <c r="Y191" s="235"/>
      <c r="Z191" s="268"/>
      <c r="AA191" s="268"/>
      <c r="AB191" s="268"/>
      <c r="AC191" s="268"/>
      <c r="AD191" s="268"/>
      <c r="AE191" s="268"/>
      <c r="AF191" s="268"/>
      <c r="AG191" s="268"/>
      <c r="AH191" s="268"/>
      <c r="AI191" s="268"/>
      <c r="AJ191" s="268"/>
      <c r="AK191" s="268"/>
      <c r="AL191" s="268"/>
      <c r="AM191" s="268"/>
      <c r="AN191" s="268"/>
    </row>
    <row r="192" spans="1:51" x14ac:dyDescent="0.45">
      <c r="A192" s="227"/>
      <c r="B192" s="277" t="s">
        <v>43</v>
      </c>
      <c r="C192" s="278">
        <f>C17</f>
        <v>0</v>
      </c>
      <c r="D192" s="282" t="s">
        <v>44</v>
      </c>
      <c r="Z192" s="268"/>
      <c r="AA192" s="268"/>
      <c r="AB192" s="268"/>
      <c r="AC192" s="268"/>
      <c r="AD192" s="268"/>
      <c r="AE192" s="268"/>
      <c r="AF192" s="268"/>
      <c r="AG192" s="268"/>
      <c r="AH192" s="268"/>
      <c r="AI192" s="268"/>
      <c r="AJ192" s="268"/>
      <c r="AK192" s="268"/>
      <c r="AL192" s="268"/>
      <c r="AM192" s="268"/>
      <c r="AN192" s="268"/>
    </row>
    <row r="193" spans="1:40" x14ac:dyDescent="0.45">
      <c r="A193" s="227"/>
      <c r="B193" s="283" t="s">
        <v>2</v>
      </c>
      <c r="C193" s="288">
        <f>C192/C191</f>
        <v>0</v>
      </c>
      <c r="D193" s="284" t="s">
        <v>138</v>
      </c>
      <c r="Z193" s="268"/>
      <c r="AA193" s="268"/>
      <c r="AB193" s="268"/>
      <c r="AC193" s="268"/>
      <c r="AD193" s="268"/>
      <c r="AE193" s="268"/>
      <c r="AF193" s="268"/>
      <c r="AG193" s="268"/>
      <c r="AH193" s="268"/>
      <c r="AI193" s="268"/>
      <c r="AJ193" s="268"/>
      <c r="AK193" s="268"/>
      <c r="AL193" s="268"/>
      <c r="AM193" s="268"/>
      <c r="AN193" s="268"/>
    </row>
    <row r="194" spans="1:40" x14ac:dyDescent="0.45">
      <c r="A194" s="227"/>
      <c r="Z194" s="268"/>
      <c r="AA194" s="268"/>
      <c r="AB194" s="268"/>
      <c r="AC194" s="268"/>
      <c r="AD194" s="268"/>
      <c r="AE194" s="268"/>
      <c r="AF194" s="268"/>
      <c r="AG194" s="268"/>
      <c r="AH194" s="268"/>
      <c r="AI194" s="268"/>
      <c r="AJ194" s="268"/>
      <c r="AK194" s="268"/>
      <c r="AL194" s="268"/>
      <c r="AM194" s="268"/>
      <c r="AN194" s="268"/>
    </row>
    <row r="195" spans="1:40" s="240" customFormat="1" ht="28.5" x14ac:dyDescent="0.85">
      <c r="A195" s="305"/>
      <c r="B195" s="273" t="s">
        <v>163</v>
      </c>
      <c r="G195" s="274"/>
    </row>
    <row r="196" spans="1:40" x14ac:dyDescent="0.45">
      <c r="A196" s="227"/>
      <c r="N196" s="268"/>
      <c r="Z196" s="268"/>
      <c r="AA196" s="268"/>
      <c r="AB196" s="268"/>
      <c r="AC196" s="268"/>
      <c r="AD196" s="268"/>
      <c r="AE196" s="268"/>
      <c r="AF196" s="268"/>
      <c r="AG196" s="268"/>
      <c r="AH196" s="268"/>
      <c r="AI196" s="268"/>
      <c r="AJ196" s="268"/>
      <c r="AK196" s="268"/>
      <c r="AL196" s="268"/>
      <c r="AM196" s="268"/>
      <c r="AN196" s="268"/>
    </row>
    <row r="197" spans="1:40" x14ac:dyDescent="0.45">
      <c r="A197" s="232"/>
      <c r="B197" s="1034" t="s">
        <v>127</v>
      </c>
      <c r="C197" s="350"/>
      <c r="D197" s="350"/>
      <c r="E197" s="350"/>
      <c r="F197" s="350"/>
      <c r="G197" s="350"/>
      <c r="H197" s="350"/>
      <c r="I197" s="350"/>
      <c r="J197" s="350"/>
      <c r="K197" s="350"/>
      <c r="L197" s="350"/>
      <c r="M197" s="350"/>
      <c r="N197" s="350"/>
      <c r="O197" s="350"/>
      <c r="P197" s="350"/>
      <c r="Q197" s="350"/>
      <c r="R197" s="350"/>
      <c r="S197" s="350"/>
      <c r="T197" s="350"/>
      <c r="U197" s="350"/>
      <c r="V197" s="350"/>
      <c r="W197" s="350"/>
      <c r="X197" s="1035"/>
    </row>
    <row r="198" spans="1:40" x14ac:dyDescent="0.45">
      <c r="A198" s="232"/>
      <c r="B198" s="344" t="s">
        <v>147</v>
      </c>
      <c r="C198" s="347">
        <f>C74</f>
        <v>553.2387154411764</v>
      </c>
      <c r="D198" s="345" t="s">
        <v>18</v>
      </c>
      <c r="E198" s="345"/>
      <c r="F198" s="345"/>
      <c r="G198" s="345"/>
      <c r="H198" s="345"/>
      <c r="I198" s="345"/>
      <c r="J198" s="345"/>
      <c r="K198" s="352"/>
      <c r="L198" s="345"/>
      <c r="M198" s="345"/>
      <c r="N198" s="345"/>
      <c r="O198" s="345"/>
      <c r="P198" s="345"/>
      <c r="Q198" s="345"/>
      <c r="R198" s="345"/>
      <c r="S198" s="345"/>
      <c r="T198" s="345"/>
      <c r="U198" s="345"/>
      <c r="V198" s="345"/>
      <c r="W198" s="345"/>
      <c r="X198" s="346"/>
    </row>
    <row r="199" spans="1:40" x14ac:dyDescent="0.45">
      <c r="A199" s="232"/>
      <c r="B199" s="344" t="s">
        <v>168</v>
      </c>
      <c r="C199" s="351">
        <v>2.1999999999999999E-2</v>
      </c>
      <c r="D199" s="345" t="s">
        <v>0</v>
      </c>
      <c r="E199" s="345"/>
      <c r="F199" s="345"/>
      <c r="G199" s="345"/>
      <c r="H199" s="345"/>
      <c r="I199" s="345"/>
      <c r="J199" s="345"/>
      <c r="K199" s="352"/>
      <c r="L199" s="345"/>
      <c r="M199" s="345"/>
      <c r="N199" s="345"/>
      <c r="O199" s="345"/>
      <c r="P199" s="345"/>
      <c r="Q199" s="345"/>
      <c r="R199" s="345"/>
      <c r="S199" s="345"/>
      <c r="T199" s="345"/>
      <c r="U199" s="345"/>
      <c r="V199" s="345"/>
      <c r="W199" s="345"/>
      <c r="X199" s="346"/>
    </row>
    <row r="200" spans="1:40" s="458" customFormat="1" x14ac:dyDescent="0.45">
      <c r="A200" s="460"/>
      <c r="B200" s="344" t="s">
        <v>167</v>
      </c>
      <c r="C200" s="351">
        <v>2.1999999999999999E-2</v>
      </c>
      <c r="D200" s="345" t="s">
        <v>0</v>
      </c>
      <c r="E200" s="345"/>
      <c r="F200" s="345"/>
      <c r="G200" s="345"/>
      <c r="H200" s="345"/>
      <c r="I200" s="345"/>
      <c r="J200" s="345"/>
      <c r="K200" s="352"/>
      <c r="L200" s="345"/>
      <c r="M200" s="345"/>
      <c r="N200" s="345"/>
      <c r="O200" s="345"/>
      <c r="P200" s="345"/>
      <c r="Q200" s="345"/>
      <c r="R200" s="345"/>
      <c r="S200" s="345"/>
      <c r="T200" s="345"/>
      <c r="U200" s="345"/>
      <c r="V200" s="345"/>
      <c r="W200" s="345"/>
      <c r="X200" s="346"/>
    </row>
    <row r="201" spans="1:40" x14ac:dyDescent="0.45">
      <c r="A201" s="232"/>
      <c r="B201" s="344" t="s">
        <v>154</v>
      </c>
      <c r="C201" s="371">
        <f>10%*1</f>
        <v>0.1</v>
      </c>
      <c r="D201" s="345" t="s">
        <v>0</v>
      </c>
      <c r="E201" s="345"/>
      <c r="F201" s="345"/>
      <c r="G201" s="345"/>
      <c r="H201" s="345"/>
      <c r="I201" s="345"/>
      <c r="J201" s="345"/>
      <c r="K201" s="345"/>
      <c r="L201" s="345"/>
      <c r="M201" s="345"/>
      <c r="N201" s="345"/>
      <c r="O201" s="345"/>
      <c r="P201" s="345"/>
      <c r="Q201" s="345"/>
      <c r="R201" s="345"/>
      <c r="S201" s="345"/>
      <c r="T201" s="345"/>
      <c r="U201" s="345"/>
      <c r="V201" s="345"/>
      <c r="W201" s="345"/>
      <c r="X201" s="346"/>
    </row>
    <row r="202" spans="1:40" x14ac:dyDescent="0.45">
      <c r="A202" s="232"/>
      <c r="B202" s="344" t="s">
        <v>148</v>
      </c>
      <c r="C202" s="351">
        <f>27.9%*1</f>
        <v>0.27899999999999997</v>
      </c>
      <c r="D202" s="345" t="s">
        <v>0</v>
      </c>
      <c r="E202" s="345"/>
      <c r="F202" s="345"/>
      <c r="G202" s="345"/>
      <c r="H202" s="345"/>
      <c r="I202" s="345"/>
      <c r="J202" s="345"/>
      <c r="K202" s="345"/>
      <c r="L202" s="345"/>
      <c r="M202" s="345"/>
      <c r="N202" s="345"/>
      <c r="O202" s="345"/>
      <c r="P202" s="345"/>
      <c r="Q202" s="345"/>
      <c r="R202" s="345"/>
      <c r="S202" s="345"/>
      <c r="T202" s="345"/>
      <c r="U202" s="345"/>
      <c r="V202" s="345"/>
      <c r="W202" s="345"/>
      <c r="X202" s="346"/>
    </row>
    <row r="203" spans="1:40" s="540" customFormat="1" x14ac:dyDescent="0.45">
      <c r="A203" s="550"/>
      <c r="B203" s="344" t="s">
        <v>145</v>
      </c>
      <c r="C203" s="371">
        <v>9.4E-2</v>
      </c>
      <c r="D203" s="345" t="s">
        <v>136</v>
      </c>
      <c r="E203" s="345"/>
      <c r="F203" s="345"/>
      <c r="G203" s="345"/>
      <c r="H203" s="345"/>
      <c r="I203" s="345"/>
      <c r="J203" s="345"/>
      <c r="K203" s="345"/>
      <c r="L203" s="345"/>
      <c r="M203" s="345"/>
      <c r="N203" s="345"/>
      <c r="O203" s="345"/>
      <c r="P203" s="345"/>
      <c r="Q203" s="345"/>
      <c r="R203" s="345"/>
      <c r="S203" s="345"/>
      <c r="T203" s="345"/>
      <c r="U203" s="345"/>
      <c r="V203" s="345"/>
      <c r="W203" s="345"/>
      <c r="X203" s="346"/>
    </row>
    <row r="204" spans="1:40" x14ac:dyDescent="0.45">
      <c r="A204" s="232"/>
      <c r="B204" s="344" t="s">
        <v>133</v>
      </c>
      <c r="C204" s="371">
        <v>1.0999999999999999E-2</v>
      </c>
      <c r="D204" s="345" t="s">
        <v>136</v>
      </c>
      <c r="E204" s="345"/>
      <c r="F204" s="345"/>
      <c r="G204" s="345"/>
      <c r="H204" s="345"/>
      <c r="I204" s="345"/>
      <c r="J204" s="345"/>
      <c r="K204" s="345"/>
      <c r="L204" s="345"/>
      <c r="M204" s="345"/>
      <c r="N204" s="345"/>
      <c r="O204" s="345"/>
      <c r="P204" s="345"/>
      <c r="Q204" s="345"/>
      <c r="R204" s="345"/>
      <c r="S204" s="345"/>
      <c r="T204" s="345"/>
      <c r="U204" s="345"/>
      <c r="V204" s="345"/>
      <c r="W204" s="345"/>
      <c r="X204" s="346"/>
    </row>
    <row r="205" spans="1:40" x14ac:dyDescent="0.45">
      <c r="A205" s="232"/>
      <c r="B205" s="344" t="s">
        <v>153</v>
      </c>
      <c r="C205" s="347">
        <v>3</v>
      </c>
      <c r="D205" s="345" t="s">
        <v>152</v>
      </c>
      <c r="E205" s="345"/>
      <c r="F205" s="345"/>
      <c r="G205" s="345"/>
      <c r="H205" s="376"/>
      <c r="I205" s="345"/>
      <c r="J205" s="345"/>
      <c r="K205" s="347"/>
      <c r="L205" s="345"/>
      <c r="M205" s="345"/>
      <c r="N205" s="345"/>
      <c r="O205" s="345"/>
      <c r="P205" s="345"/>
      <c r="Q205" s="345"/>
      <c r="R205" s="345"/>
      <c r="S205" s="345"/>
      <c r="T205" s="345"/>
      <c r="U205" s="345"/>
      <c r="V205" s="345"/>
      <c r="W205" s="345"/>
      <c r="X205" s="346"/>
    </row>
    <row r="206" spans="1:40" x14ac:dyDescent="0.45">
      <c r="A206" s="232"/>
      <c r="B206" s="357" t="s">
        <v>276</v>
      </c>
      <c r="C206" s="360">
        <f>SUM(C217,C246,C275,C304)</f>
        <v>0.50589456099653207</v>
      </c>
      <c r="D206" s="348" t="s">
        <v>138</v>
      </c>
      <c r="E206" s="345"/>
      <c r="F206" s="345"/>
      <c r="G206" s="345"/>
      <c r="H206" s="345"/>
      <c r="I206" s="345"/>
      <c r="J206" s="345"/>
      <c r="K206" s="347"/>
      <c r="L206" s="345"/>
      <c r="M206" s="345"/>
      <c r="N206" s="345"/>
      <c r="O206" s="345"/>
      <c r="P206" s="345"/>
      <c r="Q206" s="345"/>
      <c r="R206" s="345"/>
      <c r="S206" s="345"/>
      <c r="T206" s="345"/>
      <c r="U206" s="345"/>
      <c r="V206" s="345"/>
      <c r="W206" s="345"/>
      <c r="X206" s="346"/>
    </row>
    <row r="207" spans="1:40" x14ac:dyDescent="0.45">
      <c r="A207" s="232"/>
      <c r="B207" s="357" t="s">
        <v>390</v>
      </c>
      <c r="C207" s="989">
        <f>D378</f>
        <v>0.20309443273268607</v>
      </c>
      <c r="D207" s="348" t="s">
        <v>0</v>
      </c>
      <c r="E207" s="345"/>
      <c r="F207" s="345"/>
      <c r="G207" s="371"/>
      <c r="H207" s="345"/>
      <c r="I207" s="345"/>
      <c r="J207" s="345"/>
      <c r="K207" s="347"/>
      <c r="L207" s="345"/>
      <c r="M207" s="345"/>
      <c r="N207" s="345"/>
      <c r="O207" s="345"/>
      <c r="P207" s="345"/>
      <c r="Q207" s="345"/>
      <c r="R207" s="345"/>
      <c r="S207" s="345"/>
      <c r="T207" s="347"/>
      <c r="U207" s="345"/>
      <c r="V207" s="345"/>
      <c r="W207" s="345"/>
      <c r="X207" s="346"/>
    </row>
    <row r="208" spans="1:40" x14ac:dyDescent="0.45">
      <c r="A208" s="232"/>
      <c r="B208" s="357" t="s">
        <v>277</v>
      </c>
      <c r="C208" s="358">
        <f>D379</f>
        <v>5.6247835035644018E-2</v>
      </c>
      <c r="D208" s="348" t="s">
        <v>0</v>
      </c>
      <c r="E208" s="345"/>
      <c r="F208" s="345"/>
      <c r="G208" s="345"/>
      <c r="H208" s="345"/>
      <c r="I208" s="345"/>
      <c r="J208" s="345"/>
      <c r="K208" s="347"/>
      <c r="L208" s="345"/>
      <c r="M208" s="345"/>
      <c r="N208" s="345"/>
      <c r="O208" s="345"/>
      <c r="P208" s="345"/>
      <c r="Q208" s="345"/>
      <c r="R208" s="345"/>
      <c r="S208" s="345"/>
      <c r="T208" s="345"/>
      <c r="U208" s="345"/>
      <c r="V208" s="345"/>
      <c r="W208" s="345"/>
      <c r="X208" s="346"/>
    </row>
    <row r="209" spans="1:24" x14ac:dyDescent="0.45">
      <c r="A209" s="232"/>
      <c r="B209" s="357" t="s">
        <v>134</v>
      </c>
      <c r="C209" s="358">
        <f>X239</f>
        <v>0.43545668341242849</v>
      </c>
      <c r="D209" s="348" t="s">
        <v>0</v>
      </c>
      <c r="E209" s="345"/>
      <c r="F209" s="345"/>
      <c r="G209" s="345"/>
      <c r="H209" s="345"/>
      <c r="I209" s="345"/>
      <c r="J209" s="345"/>
      <c r="K209" s="345"/>
      <c r="L209" s="345"/>
      <c r="M209" s="345"/>
      <c r="N209" s="345"/>
      <c r="O209" s="345"/>
      <c r="P209" s="345"/>
      <c r="Q209" s="345"/>
      <c r="R209" s="345"/>
      <c r="S209" s="345"/>
      <c r="T209" s="345"/>
      <c r="U209" s="345"/>
      <c r="V209" s="345"/>
      <c r="W209" s="345"/>
      <c r="X209" s="346"/>
    </row>
    <row r="210" spans="1:24" x14ac:dyDescent="0.45">
      <c r="A210" s="232"/>
      <c r="B210" s="357" t="s">
        <v>146</v>
      </c>
      <c r="C210" s="349">
        <f>-1*SUM(U217,U246,U275,U304)</f>
        <v>312166635</v>
      </c>
      <c r="D210" s="348" t="s">
        <v>1</v>
      </c>
      <c r="E210" s="345"/>
      <c r="F210" s="345"/>
      <c r="G210" s="345"/>
      <c r="H210" s="345"/>
      <c r="I210" s="345"/>
      <c r="J210" s="345"/>
      <c r="K210" s="345"/>
      <c r="L210" s="345"/>
      <c r="M210" s="345"/>
      <c r="N210" s="345"/>
      <c r="O210" s="345"/>
      <c r="P210" s="345"/>
      <c r="Q210" s="345"/>
      <c r="R210" s="345"/>
      <c r="S210" s="345"/>
      <c r="T210" s="345"/>
      <c r="U210" s="376"/>
      <c r="V210" s="345"/>
      <c r="W210" s="345"/>
      <c r="X210" s="346"/>
    </row>
    <row r="211" spans="1:24" x14ac:dyDescent="0.45">
      <c r="A211" s="232"/>
      <c r="B211" s="357"/>
      <c r="C211" s="345"/>
      <c r="D211" s="358"/>
      <c r="E211" s="345"/>
      <c r="F211" s="348"/>
      <c r="G211" s="345"/>
      <c r="H211" s="345"/>
      <c r="I211" s="345"/>
      <c r="J211" s="345"/>
      <c r="K211" s="345"/>
      <c r="L211" s="345"/>
      <c r="M211" s="345"/>
      <c r="N211" s="345"/>
      <c r="O211" s="345"/>
      <c r="P211" s="345"/>
      <c r="Q211" s="345"/>
      <c r="R211" s="345"/>
      <c r="S211" s="345"/>
      <c r="T211" s="345"/>
      <c r="U211" s="345"/>
      <c r="V211" s="345"/>
      <c r="W211" s="345"/>
      <c r="X211" s="346"/>
    </row>
    <row r="212" spans="1:24" x14ac:dyDescent="0.45">
      <c r="A212" s="232"/>
      <c r="B212" s="357" t="s">
        <v>90</v>
      </c>
      <c r="C212" s="345"/>
      <c r="D212" s="358"/>
      <c r="E212" s="345"/>
      <c r="F212" s="348"/>
      <c r="G212" s="345"/>
      <c r="H212" s="345"/>
      <c r="I212" s="345"/>
      <c r="J212" s="345"/>
      <c r="K212" s="345"/>
      <c r="L212" s="345"/>
      <c r="M212" s="345"/>
      <c r="N212" s="345"/>
      <c r="O212" s="345"/>
      <c r="P212" s="345"/>
      <c r="Q212" s="345"/>
      <c r="R212" s="345"/>
      <c r="S212" s="345"/>
      <c r="T212" s="345"/>
      <c r="U212" s="345"/>
      <c r="V212" s="345"/>
      <c r="W212" s="345"/>
      <c r="X212" s="346"/>
    </row>
    <row r="213" spans="1:24" x14ac:dyDescent="0.45">
      <c r="A213" s="232"/>
      <c r="B213" s="344" t="s">
        <v>268</v>
      </c>
      <c r="C213" s="832">
        <f>$D$82*$C$75</f>
        <v>0</v>
      </c>
      <c r="D213" s="345" t="s">
        <v>1</v>
      </c>
      <c r="E213" s="345"/>
      <c r="F213" s="345"/>
      <c r="G213" s="345"/>
      <c r="H213" s="345"/>
      <c r="I213" s="345"/>
      <c r="J213" s="347"/>
      <c r="K213" s="345"/>
      <c r="L213" s="345"/>
      <c r="M213" s="345"/>
      <c r="N213" s="345"/>
      <c r="O213" s="345"/>
      <c r="P213" s="345"/>
      <c r="Q213" s="345"/>
      <c r="R213" s="345"/>
      <c r="S213" s="345"/>
      <c r="T213" s="345"/>
      <c r="U213" s="345"/>
      <c r="V213" s="345"/>
      <c r="W213" s="345"/>
      <c r="X213" s="346"/>
    </row>
    <row r="214" spans="1:24" x14ac:dyDescent="0.45">
      <c r="A214" s="232"/>
      <c r="B214" s="344" t="s">
        <v>269</v>
      </c>
      <c r="C214" s="832">
        <f>$E$82*$C$79</f>
        <v>0</v>
      </c>
      <c r="D214" s="345" t="s">
        <v>1</v>
      </c>
      <c r="E214" s="345"/>
      <c r="F214" s="345"/>
      <c r="G214" s="347"/>
      <c r="H214" s="345"/>
      <c r="I214" s="345"/>
      <c r="J214" s="345"/>
      <c r="K214" s="345"/>
      <c r="L214" s="345"/>
      <c r="M214" s="345"/>
      <c r="N214" s="345"/>
      <c r="O214" s="345"/>
      <c r="P214" s="345"/>
      <c r="Q214" s="345"/>
      <c r="R214" s="345"/>
      <c r="S214" s="345"/>
      <c r="T214" s="345"/>
      <c r="U214" s="345"/>
      <c r="V214" s="345"/>
      <c r="W214" s="345"/>
      <c r="X214" s="346"/>
    </row>
    <row r="215" spans="1:24" x14ac:dyDescent="0.45">
      <c r="A215" s="232"/>
      <c r="B215" s="829"/>
      <c r="C215" s="345"/>
      <c r="D215" s="358"/>
      <c r="E215" s="345"/>
      <c r="F215" s="348"/>
      <c r="G215" s="345"/>
      <c r="H215" s="345"/>
      <c r="I215" s="345"/>
      <c r="J215" s="345"/>
      <c r="K215" s="345"/>
      <c r="L215" s="345"/>
      <c r="M215" s="345"/>
      <c r="N215" s="345"/>
      <c r="O215" s="345"/>
      <c r="P215" s="345"/>
      <c r="Q215" s="345"/>
      <c r="R215" s="345"/>
      <c r="S215" s="345"/>
      <c r="T215" s="345"/>
      <c r="U215" s="345"/>
      <c r="V215" s="345"/>
      <c r="W215" s="345"/>
      <c r="X215" s="346"/>
    </row>
    <row r="216" spans="1:24" x14ac:dyDescent="0.45">
      <c r="A216" s="232"/>
      <c r="B216" s="354" t="s">
        <v>27</v>
      </c>
      <c r="C216" s="1040" t="s">
        <v>379</v>
      </c>
      <c r="D216" s="355" t="s">
        <v>128</v>
      </c>
      <c r="E216" s="355" t="s">
        <v>380</v>
      </c>
      <c r="F216" s="355" t="s">
        <v>245</v>
      </c>
      <c r="G216" s="355" t="s">
        <v>367</v>
      </c>
      <c r="H216" s="355" t="s">
        <v>368</v>
      </c>
      <c r="I216" s="355" t="s">
        <v>369</v>
      </c>
      <c r="J216" s="355" t="s">
        <v>370</v>
      </c>
      <c r="K216" s="355" t="s">
        <v>131</v>
      </c>
      <c r="L216" s="355" t="s">
        <v>130</v>
      </c>
      <c r="M216" s="355" t="s">
        <v>129</v>
      </c>
      <c r="N216" s="355" t="s">
        <v>374</v>
      </c>
      <c r="O216" s="355" t="s">
        <v>124</v>
      </c>
      <c r="P216" s="355" t="s">
        <v>125</v>
      </c>
      <c r="Q216" s="355" t="s">
        <v>126</v>
      </c>
      <c r="R216" s="355" t="s">
        <v>155</v>
      </c>
      <c r="S216" s="355" t="s">
        <v>157</v>
      </c>
      <c r="T216" s="355" t="s">
        <v>156</v>
      </c>
      <c r="U216" s="345" t="s">
        <v>280</v>
      </c>
      <c r="V216" s="355" t="s">
        <v>375</v>
      </c>
      <c r="W216" s="355" t="s">
        <v>373</v>
      </c>
      <c r="X216" s="835" t="s">
        <v>164</v>
      </c>
    </row>
    <row r="217" spans="1:24" x14ac:dyDescent="0.45">
      <c r="A217" s="232"/>
      <c r="B217" s="359">
        <v>0</v>
      </c>
      <c r="C217" s="1039">
        <v>2.1156841869801588E-2</v>
      </c>
      <c r="D217" s="375">
        <v>0</v>
      </c>
      <c r="E217" s="833">
        <f>SUM(I30,IF(C80=0,0,(D92+L32*D92/(D92+D93))*E32),(G100+L33*G100/(G100+G101))*E33,I36,(E141+L34*E141/(E141+E142))*E34)</f>
        <v>1.8935373473472419E-2</v>
      </c>
      <c r="F217" s="375">
        <v>0</v>
      </c>
      <c r="G217" s="345">
        <v>0</v>
      </c>
      <c r="H217" s="376">
        <f t="shared" ref="H217:H237" si="4">IF(D217&gt;0,-1*G217*$C$213,0)</f>
        <v>0</v>
      </c>
      <c r="I217" s="376">
        <v>0</v>
      </c>
      <c r="J217" s="376">
        <v>0</v>
      </c>
      <c r="K217" s="379">
        <f t="shared" ref="K217:K237" si="5">D217+F217+H217+J217</f>
        <v>0</v>
      </c>
      <c r="L217" s="375">
        <f t="shared" ref="L217:L237" si="6">IF(F217&lt;&gt;0,-1*($C$203+$C$204)*D217,0)</f>
        <v>0</v>
      </c>
      <c r="M217" s="375">
        <f t="shared" ref="M217:M237" si="7">K217+L217</f>
        <v>0</v>
      </c>
      <c r="N217" s="376">
        <f t="shared" ref="N217:N237" si="8">IF(V217&gt;0,V217-W217,0)</f>
        <v>0</v>
      </c>
      <c r="O217" s="347">
        <v>0</v>
      </c>
      <c r="P217" s="347">
        <v>0</v>
      </c>
      <c r="Q217" s="347">
        <v>0</v>
      </c>
      <c r="R217" s="376">
        <f>IF(M217&gt;0,-1*(M217+N217)*$C$202,0)</f>
        <v>0</v>
      </c>
      <c r="S217" s="375">
        <f t="shared" ref="S217:S237" si="9">IF(B217=$C$75,0,$C$205/12*(D218+F218+L218))</f>
        <v>5.8207660913467407E-11</v>
      </c>
      <c r="T217" s="375">
        <f>S217</f>
        <v>5.8207660913467407E-11</v>
      </c>
      <c r="U217" s="375">
        <f>-1*(C213+C214)</f>
        <v>0</v>
      </c>
      <c r="V217" s="376">
        <v>0</v>
      </c>
      <c r="W217" s="347">
        <f>IF(B217&gt;$C$75,0,$C$214+SUM($J$217:J217))</f>
        <v>0</v>
      </c>
      <c r="X217" s="836">
        <f>-T217+U217</f>
        <v>-5.8207660913467407E-11</v>
      </c>
    </row>
    <row r="218" spans="1:24" x14ac:dyDescent="0.45">
      <c r="A218" s="757"/>
      <c r="B218" s="344">
        <v>1</v>
      </c>
      <c r="C218" s="1038">
        <f t="shared" ref="C218:C237" si="10">IF(B218&gt;$C$75,0,$C$217*(1+$C$199)^B218)</f>
        <v>2.1622292390937221E-2</v>
      </c>
      <c r="D218" s="376">
        <f t="shared" ref="D218:D237" si="11">C218*$C$198*1000000</f>
        <v>11962289.26725563</v>
      </c>
      <c r="E218" s="1038">
        <f t="shared" ref="E218:E237" si="12">IF(B218&gt;$C$75,0,$E$217*(1+$C$200)^B218)</f>
        <v>1.9351951689888812E-2</v>
      </c>
      <c r="F218" s="376">
        <f t="shared" ref="F218:F237" si="13">-1*E218*$C$198*1000000</f>
        <v>-10706248.894193789</v>
      </c>
      <c r="G218" s="345">
        <v>0.1429</v>
      </c>
      <c r="H218" s="376">
        <f t="shared" si="4"/>
        <v>0</v>
      </c>
      <c r="I218" s="345">
        <v>1.391E-2</v>
      </c>
      <c r="J218" s="376">
        <f t="shared" ref="J218:J237" si="14">IF(D218&gt;0,-1*$C$214*I218,0)</f>
        <v>0</v>
      </c>
      <c r="K218" s="377">
        <f t="shared" si="5"/>
        <v>1256040.3730618414</v>
      </c>
      <c r="L218" s="376">
        <f t="shared" si="6"/>
        <v>-1256040.3730618411</v>
      </c>
      <c r="M218" s="376">
        <f t="shared" si="7"/>
        <v>0</v>
      </c>
      <c r="N218" s="376">
        <f t="shared" si="8"/>
        <v>0</v>
      </c>
      <c r="O218" s="347">
        <f t="shared" ref="O218:O237" si="15">IF(M218&lt;0,M218*-1,0)</f>
        <v>0</v>
      </c>
      <c r="P218" s="347">
        <f t="shared" ref="P218:P237" si="16">P217+O218-Q218</f>
        <v>0</v>
      </c>
      <c r="Q218" s="347">
        <f t="shared" ref="Q218:Q237" si="17">IF(B218=$C$75+1,O218,IF(AND(M218&gt;0, P217&gt;0), MIN(M218,P217),0))</f>
        <v>0</v>
      </c>
      <c r="R218" s="376">
        <f t="shared" ref="R218:R237" si="18">IF(M218&gt;0,-1*(M218+N218-Q218)*$C$202,0)</f>
        <v>0</v>
      </c>
      <c r="S218" s="376">
        <f t="shared" si="9"/>
        <v>1.7462298274040222E-10</v>
      </c>
      <c r="T218" s="376">
        <f t="shared" ref="T218:T237" si="19">(S218-S217)</f>
        <v>1.1641532182693481E-10</v>
      </c>
      <c r="U218" s="376"/>
      <c r="V218" s="376">
        <f t="shared" ref="V218:V237" si="20">IF(B218=$C$75,$C$214*(1-1/$C$79*B218),0)</f>
        <v>0</v>
      </c>
      <c r="W218" s="347">
        <f>IF(B218&gt;$C$75,0,$C$214+SUM($J$217:J218))</f>
        <v>0</v>
      </c>
      <c r="X218" s="378">
        <f t="shared" ref="X218:X237" si="21">M218+R218-1*(H218+J218)-T218+U218+V218</f>
        <v>-1.1641532182693481E-10</v>
      </c>
    </row>
    <row r="219" spans="1:24" x14ac:dyDescent="0.45">
      <c r="A219" s="232"/>
      <c r="B219" s="344">
        <v>2</v>
      </c>
      <c r="C219" s="1038">
        <f t="shared" si="10"/>
        <v>2.2097982823537841E-2</v>
      </c>
      <c r="D219" s="376">
        <f t="shared" si="11"/>
        <v>12225459.631135255</v>
      </c>
      <c r="E219" s="1038">
        <f t="shared" si="12"/>
        <v>1.9777694627066366E-2</v>
      </c>
      <c r="F219" s="376">
        <f t="shared" si="13"/>
        <v>-10941786.369866053</v>
      </c>
      <c r="G219" s="345">
        <v>0.24490000000000001</v>
      </c>
      <c r="H219" s="376">
        <f t="shared" si="4"/>
        <v>0</v>
      </c>
      <c r="I219" s="345">
        <v>2.564E-2</v>
      </c>
      <c r="J219" s="376">
        <f t="shared" si="14"/>
        <v>0</v>
      </c>
      <c r="K219" s="377">
        <f t="shared" si="5"/>
        <v>1283673.2612692025</v>
      </c>
      <c r="L219" s="376">
        <f t="shared" si="6"/>
        <v>-1283673.2612692018</v>
      </c>
      <c r="M219" s="376">
        <f t="shared" si="7"/>
        <v>0</v>
      </c>
      <c r="N219" s="376">
        <f t="shared" si="8"/>
        <v>0</v>
      </c>
      <c r="O219" s="347">
        <f t="shared" si="15"/>
        <v>0</v>
      </c>
      <c r="P219" s="347">
        <f t="shared" si="16"/>
        <v>0</v>
      </c>
      <c r="Q219" s="347">
        <f t="shared" si="17"/>
        <v>0</v>
      </c>
      <c r="R219" s="376">
        <f t="shared" si="18"/>
        <v>0</v>
      </c>
      <c r="S219" s="376">
        <f t="shared" si="9"/>
        <v>4.0745362639427185E-10</v>
      </c>
      <c r="T219" s="376">
        <f t="shared" si="19"/>
        <v>2.3283064365386963E-10</v>
      </c>
      <c r="U219" s="376"/>
      <c r="V219" s="376">
        <f t="shared" si="20"/>
        <v>0</v>
      </c>
      <c r="W219" s="347">
        <f>IF(B219&gt;$C$75,0,$C$214+SUM($J$217:J219))</f>
        <v>0</v>
      </c>
      <c r="X219" s="378">
        <f t="shared" si="21"/>
        <v>-2.3283064365386963E-10</v>
      </c>
    </row>
    <row r="220" spans="1:24" x14ac:dyDescent="0.45">
      <c r="A220" s="232"/>
      <c r="B220" s="344">
        <v>3</v>
      </c>
      <c r="C220" s="1038">
        <f t="shared" si="10"/>
        <v>2.2584138445655676E-2</v>
      </c>
      <c r="D220" s="376">
        <f t="shared" si="11"/>
        <v>12494419.743020233</v>
      </c>
      <c r="E220" s="1038">
        <f t="shared" si="12"/>
        <v>2.0212803908861827E-2</v>
      </c>
      <c r="F220" s="376">
        <f t="shared" si="13"/>
        <v>-11182505.670003107</v>
      </c>
      <c r="G220" s="345">
        <v>0.1749</v>
      </c>
      <c r="H220" s="376">
        <f t="shared" si="4"/>
        <v>0</v>
      </c>
      <c r="I220" s="345">
        <v>2.564E-2</v>
      </c>
      <c r="J220" s="376">
        <f t="shared" si="14"/>
        <v>0</v>
      </c>
      <c r="K220" s="377">
        <f t="shared" si="5"/>
        <v>1311914.0730171259</v>
      </c>
      <c r="L220" s="376">
        <f t="shared" si="6"/>
        <v>-1311914.0730171243</v>
      </c>
      <c r="M220" s="376">
        <f t="shared" si="7"/>
        <v>0</v>
      </c>
      <c r="N220" s="376">
        <f t="shared" si="8"/>
        <v>0</v>
      </c>
      <c r="O220" s="347">
        <f t="shared" si="15"/>
        <v>0</v>
      </c>
      <c r="P220" s="347">
        <f t="shared" si="16"/>
        <v>0</v>
      </c>
      <c r="Q220" s="347">
        <f t="shared" si="17"/>
        <v>0</v>
      </c>
      <c r="R220" s="376">
        <f t="shared" si="18"/>
        <v>0</v>
      </c>
      <c r="S220" s="376">
        <f t="shared" si="9"/>
        <v>-1.7462298274040222E-10</v>
      </c>
      <c r="T220" s="376">
        <f t="shared" si="19"/>
        <v>-5.8207660913467407E-10</v>
      </c>
      <c r="U220" s="376"/>
      <c r="V220" s="376">
        <f t="shared" si="20"/>
        <v>0</v>
      </c>
      <c r="W220" s="347">
        <f>IF(B220&gt;$C$75,0,$C$214+SUM($J$217:J220))</f>
        <v>0</v>
      </c>
      <c r="X220" s="378">
        <f t="shared" si="21"/>
        <v>5.8207660913467407E-10</v>
      </c>
    </row>
    <row r="221" spans="1:24" x14ac:dyDescent="0.45">
      <c r="A221" s="232"/>
      <c r="B221" s="344">
        <v>4</v>
      </c>
      <c r="C221" s="1038">
        <f t="shared" si="10"/>
        <v>2.3080989491460098E-2</v>
      </c>
      <c r="D221" s="376">
        <f t="shared" si="11"/>
        <v>12769296.977366675</v>
      </c>
      <c r="E221" s="1038">
        <f t="shared" si="12"/>
        <v>2.0657485594856789E-2</v>
      </c>
      <c r="F221" s="376">
        <f t="shared" si="13"/>
        <v>-11428520.794743175</v>
      </c>
      <c r="G221" s="345">
        <v>0.1249</v>
      </c>
      <c r="H221" s="376">
        <f t="shared" si="4"/>
        <v>0</v>
      </c>
      <c r="I221" s="345">
        <v>2.564E-2</v>
      </c>
      <c r="J221" s="376">
        <f t="shared" si="14"/>
        <v>0</v>
      </c>
      <c r="K221" s="377">
        <f t="shared" si="5"/>
        <v>1340776.1826235</v>
      </c>
      <c r="L221" s="376">
        <f t="shared" si="6"/>
        <v>-1340776.1826235007</v>
      </c>
      <c r="M221" s="376">
        <f t="shared" si="7"/>
        <v>0</v>
      </c>
      <c r="N221" s="376">
        <f t="shared" si="8"/>
        <v>0</v>
      </c>
      <c r="O221" s="347">
        <f t="shared" si="15"/>
        <v>0</v>
      </c>
      <c r="P221" s="347">
        <f t="shared" si="16"/>
        <v>0</v>
      </c>
      <c r="Q221" s="347">
        <f t="shared" si="17"/>
        <v>0</v>
      </c>
      <c r="R221" s="376">
        <f t="shared" si="18"/>
        <v>0</v>
      </c>
      <c r="S221" s="376">
        <f t="shared" si="9"/>
        <v>-2.9103830456733704E-10</v>
      </c>
      <c r="T221" s="376">
        <f t="shared" si="19"/>
        <v>-1.1641532182693481E-10</v>
      </c>
      <c r="U221" s="376"/>
      <c r="V221" s="376">
        <f t="shared" si="20"/>
        <v>0</v>
      </c>
      <c r="W221" s="347">
        <f>IF(B221&gt;$C$75,0,$C$214+SUM($J$217:J221))</f>
        <v>0</v>
      </c>
      <c r="X221" s="378">
        <f t="shared" si="21"/>
        <v>1.1641532182693481E-10</v>
      </c>
    </row>
    <row r="222" spans="1:24" x14ac:dyDescent="0.45">
      <c r="A222" s="232"/>
      <c r="B222" s="344">
        <v>5</v>
      </c>
      <c r="C222" s="1038">
        <f t="shared" si="10"/>
        <v>2.3588771260272222E-2</v>
      </c>
      <c r="D222" s="376">
        <f t="shared" si="11"/>
        <v>13050221.510868743</v>
      </c>
      <c r="E222" s="1038">
        <f t="shared" si="12"/>
        <v>2.1111950277943638E-2</v>
      </c>
      <c r="F222" s="376">
        <f t="shared" si="13"/>
        <v>-11679948.252227526</v>
      </c>
      <c r="G222" s="345">
        <v>8.9300000000000004E-2</v>
      </c>
      <c r="H222" s="376">
        <f t="shared" si="4"/>
        <v>0</v>
      </c>
      <c r="I222" s="345">
        <v>2.564E-2</v>
      </c>
      <c r="J222" s="376">
        <f t="shared" si="14"/>
        <v>0</v>
      </c>
      <c r="K222" s="377">
        <f t="shared" si="5"/>
        <v>1370273.2586412169</v>
      </c>
      <c r="L222" s="376">
        <f t="shared" si="6"/>
        <v>-1370273.2586412181</v>
      </c>
      <c r="M222" s="376">
        <f t="shared" si="7"/>
        <v>0</v>
      </c>
      <c r="N222" s="376">
        <f t="shared" si="8"/>
        <v>0</v>
      </c>
      <c r="O222" s="347">
        <f t="shared" si="15"/>
        <v>0</v>
      </c>
      <c r="P222" s="347">
        <f t="shared" si="16"/>
        <v>0</v>
      </c>
      <c r="Q222" s="347">
        <f t="shared" si="17"/>
        <v>0</v>
      </c>
      <c r="R222" s="376">
        <f t="shared" si="18"/>
        <v>0</v>
      </c>
      <c r="S222" s="376">
        <f t="shared" si="9"/>
        <v>1.1641532182693481E-10</v>
      </c>
      <c r="T222" s="376">
        <f t="shared" si="19"/>
        <v>4.0745362639427185E-10</v>
      </c>
      <c r="U222" s="376"/>
      <c r="V222" s="376">
        <f t="shared" si="20"/>
        <v>0</v>
      </c>
      <c r="W222" s="347">
        <f>IF(B222&gt;$C$75,0,$C$214+SUM($J$217:J222))</f>
        <v>0</v>
      </c>
      <c r="X222" s="378">
        <f t="shared" si="21"/>
        <v>-4.0745362639427185E-10</v>
      </c>
    </row>
    <row r="223" spans="1:24" x14ac:dyDescent="0.45">
      <c r="A223" s="232"/>
      <c r="B223" s="344">
        <v>6</v>
      </c>
      <c r="C223" s="1038">
        <f t="shared" si="10"/>
        <v>2.4107724227998208E-2</v>
      </c>
      <c r="D223" s="376">
        <f t="shared" si="11"/>
        <v>13337326.384107854</v>
      </c>
      <c r="E223" s="1038">
        <f t="shared" si="12"/>
        <v>2.1576413184058396E-2</v>
      </c>
      <c r="F223" s="376">
        <f t="shared" si="13"/>
        <v>-11936907.113776529</v>
      </c>
      <c r="G223" s="345">
        <v>8.9200000000000002E-2</v>
      </c>
      <c r="H223" s="376">
        <f t="shared" si="4"/>
        <v>0</v>
      </c>
      <c r="I223" s="345">
        <v>2.564E-2</v>
      </c>
      <c r="J223" s="376">
        <f t="shared" si="14"/>
        <v>0</v>
      </c>
      <c r="K223" s="377">
        <f t="shared" si="5"/>
        <v>1400419.270331325</v>
      </c>
      <c r="L223" s="376">
        <f t="shared" si="6"/>
        <v>-1400419.2703313245</v>
      </c>
      <c r="M223" s="376">
        <f t="shared" si="7"/>
        <v>0</v>
      </c>
      <c r="N223" s="376">
        <f t="shared" si="8"/>
        <v>0</v>
      </c>
      <c r="O223" s="347">
        <f t="shared" si="15"/>
        <v>0</v>
      </c>
      <c r="P223" s="347">
        <f t="shared" si="16"/>
        <v>0</v>
      </c>
      <c r="Q223" s="347">
        <f t="shared" si="17"/>
        <v>0</v>
      </c>
      <c r="R223" s="376">
        <f t="shared" si="18"/>
        <v>0</v>
      </c>
      <c r="S223" s="376">
        <f t="shared" si="9"/>
        <v>-5.8207660913467407E-11</v>
      </c>
      <c r="T223" s="376">
        <f t="shared" si="19"/>
        <v>-1.7462298274040222E-10</v>
      </c>
      <c r="U223" s="376"/>
      <c r="V223" s="376">
        <f t="shared" si="20"/>
        <v>0</v>
      </c>
      <c r="W223" s="347">
        <f>IF(B223&gt;$C$75,0,$C$214+SUM($J$217:J223))</f>
        <v>0</v>
      </c>
      <c r="X223" s="378">
        <f t="shared" si="21"/>
        <v>1.7462298274040222E-10</v>
      </c>
    </row>
    <row r="224" spans="1:24" x14ac:dyDescent="0.45">
      <c r="A224" s="232"/>
      <c r="B224" s="344">
        <v>7</v>
      </c>
      <c r="C224" s="1038">
        <f t="shared" si="10"/>
        <v>2.463809416101417E-2</v>
      </c>
      <c r="D224" s="376">
        <f t="shared" si="11"/>
        <v>13630747.564558227</v>
      </c>
      <c r="E224" s="1038">
        <f t="shared" si="12"/>
        <v>2.2051094274107681E-2</v>
      </c>
      <c r="F224" s="376">
        <f t="shared" si="13"/>
        <v>-12199519.070279613</v>
      </c>
      <c r="G224" s="345">
        <v>8.9300000000000004E-2</v>
      </c>
      <c r="H224" s="376">
        <f t="shared" si="4"/>
        <v>0</v>
      </c>
      <c r="I224" s="345">
        <v>2.564E-2</v>
      </c>
      <c r="J224" s="376">
        <f t="shared" si="14"/>
        <v>0</v>
      </c>
      <c r="K224" s="377">
        <f t="shared" si="5"/>
        <v>1431228.4942786135</v>
      </c>
      <c r="L224" s="376">
        <f t="shared" si="6"/>
        <v>-1431228.4942786137</v>
      </c>
      <c r="M224" s="376">
        <f t="shared" si="7"/>
        <v>0</v>
      </c>
      <c r="N224" s="376">
        <f t="shared" si="8"/>
        <v>0</v>
      </c>
      <c r="O224" s="347">
        <f t="shared" si="15"/>
        <v>0</v>
      </c>
      <c r="P224" s="347">
        <f t="shared" si="16"/>
        <v>0</v>
      </c>
      <c r="Q224" s="347">
        <f t="shared" si="17"/>
        <v>0</v>
      </c>
      <c r="R224" s="376">
        <f t="shared" si="18"/>
        <v>0</v>
      </c>
      <c r="S224" s="376">
        <f t="shared" si="9"/>
        <v>1.1641532182693481E-10</v>
      </c>
      <c r="T224" s="376">
        <f t="shared" si="19"/>
        <v>1.7462298274040222E-10</v>
      </c>
      <c r="U224" s="376"/>
      <c r="V224" s="376">
        <f t="shared" si="20"/>
        <v>0</v>
      </c>
      <c r="W224" s="347">
        <f>IF(B224&gt;$C$75,0,$C$214+SUM($J$217:J224))</f>
        <v>0</v>
      </c>
      <c r="X224" s="378">
        <f t="shared" si="21"/>
        <v>-1.7462298274040222E-10</v>
      </c>
    </row>
    <row r="225" spans="1:24" x14ac:dyDescent="0.45">
      <c r="A225" s="232"/>
      <c r="B225" s="344">
        <v>8</v>
      </c>
      <c r="C225" s="1038">
        <f t="shared" si="10"/>
        <v>2.5180132232556485E-2</v>
      </c>
      <c r="D225" s="376">
        <f t="shared" si="11"/>
        <v>13930624.010978511</v>
      </c>
      <c r="E225" s="1038">
        <f t="shared" si="12"/>
        <v>2.2536218348138053E-2</v>
      </c>
      <c r="F225" s="376">
        <f t="shared" si="13"/>
        <v>-12467908.489825767</v>
      </c>
      <c r="G225" s="345">
        <v>4.4600000000000001E-2</v>
      </c>
      <c r="H225" s="376">
        <f t="shared" si="4"/>
        <v>0</v>
      </c>
      <c r="I225" s="345">
        <v>2.564E-2</v>
      </c>
      <c r="J225" s="376">
        <f t="shared" si="14"/>
        <v>0</v>
      </c>
      <c r="K225" s="377">
        <f t="shared" si="5"/>
        <v>1462715.5211527441</v>
      </c>
      <c r="L225" s="376">
        <f t="shared" si="6"/>
        <v>-1462715.5211527436</v>
      </c>
      <c r="M225" s="376">
        <f t="shared" si="7"/>
        <v>0</v>
      </c>
      <c r="N225" s="376">
        <f t="shared" si="8"/>
        <v>0</v>
      </c>
      <c r="O225" s="347">
        <f t="shared" si="15"/>
        <v>0</v>
      </c>
      <c r="P225" s="347">
        <f t="shared" si="16"/>
        <v>0</v>
      </c>
      <c r="Q225" s="347">
        <f t="shared" si="17"/>
        <v>0</v>
      </c>
      <c r="R225" s="376">
        <f t="shared" si="18"/>
        <v>0</v>
      </c>
      <c r="S225" s="376">
        <f t="shared" si="9"/>
        <v>4.6566128730773926E-10</v>
      </c>
      <c r="T225" s="376">
        <f t="shared" si="19"/>
        <v>3.4924596548080444E-10</v>
      </c>
      <c r="U225" s="376"/>
      <c r="V225" s="376">
        <f t="shared" si="20"/>
        <v>0</v>
      </c>
      <c r="W225" s="347">
        <f>IF(B225&gt;$C$75,0,$C$214+SUM($J$217:J225))</f>
        <v>0</v>
      </c>
      <c r="X225" s="378">
        <f t="shared" si="21"/>
        <v>-3.4924596548080444E-10</v>
      </c>
    </row>
    <row r="226" spans="1:24" x14ac:dyDescent="0.45">
      <c r="A226" s="232"/>
      <c r="B226" s="344">
        <v>9</v>
      </c>
      <c r="C226" s="1038">
        <f t="shared" si="10"/>
        <v>2.5734095141672728E-2</v>
      </c>
      <c r="D226" s="376">
        <f t="shared" si="11"/>
        <v>14237097.739220038</v>
      </c>
      <c r="E226" s="1038">
        <f t="shared" si="12"/>
        <v>2.3032015151797088E-2</v>
      </c>
      <c r="F226" s="376">
        <f t="shared" si="13"/>
        <v>-12742202.476601932</v>
      </c>
      <c r="G226" s="345">
        <v>0</v>
      </c>
      <c r="H226" s="376">
        <f t="shared" si="4"/>
        <v>0</v>
      </c>
      <c r="I226" s="345">
        <v>2.564E-2</v>
      </c>
      <c r="J226" s="376">
        <f t="shared" si="14"/>
        <v>0</v>
      </c>
      <c r="K226" s="377">
        <f t="shared" si="5"/>
        <v>1494895.2626181059</v>
      </c>
      <c r="L226" s="376">
        <f t="shared" si="6"/>
        <v>-1494895.262618104</v>
      </c>
      <c r="M226" s="376">
        <f t="shared" si="7"/>
        <v>1.862645149230957E-9</v>
      </c>
      <c r="N226" s="376">
        <f t="shared" si="8"/>
        <v>0</v>
      </c>
      <c r="O226" s="347">
        <f t="shared" si="15"/>
        <v>0</v>
      </c>
      <c r="P226" s="347">
        <f t="shared" si="16"/>
        <v>0</v>
      </c>
      <c r="Q226" s="347">
        <f t="shared" si="17"/>
        <v>0</v>
      </c>
      <c r="R226" s="376">
        <f t="shared" si="18"/>
        <v>-5.1967799663543696E-10</v>
      </c>
      <c r="S226" s="376">
        <f t="shared" si="9"/>
        <v>5.8207660913467407E-10</v>
      </c>
      <c r="T226" s="376">
        <f t="shared" si="19"/>
        <v>1.1641532182693481E-10</v>
      </c>
      <c r="U226" s="376"/>
      <c r="V226" s="376">
        <f t="shared" si="20"/>
        <v>0</v>
      </c>
      <c r="W226" s="347">
        <f>IF(B226&gt;$C$75,0,$C$214+SUM($J$217:J226))</f>
        <v>0</v>
      </c>
      <c r="X226" s="378">
        <f t="shared" si="21"/>
        <v>1.2265518307685854E-9</v>
      </c>
    </row>
    <row r="227" spans="1:24" x14ac:dyDescent="0.45">
      <c r="A227" s="232"/>
      <c r="B227" s="344">
        <v>10</v>
      </c>
      <c r="C227" s="1038">
        <f t="shared" si="10"/>
        <v>2.6300245234789528E-2</v>
      </c>
      <c r="D227" s="376">
        <f t="shared" si="11"/>
        <v>14550313.88948288</v>
      </c>
      <c r="E227" s="1038">
        <f t="shared" si="12"/>
        <v>2.3538719485136625E-2</v>
      </c>
      <c r="F227" s="376">
        <f t="shared" si="13"/>
        <v>-13022530.931087175</v>
      </c>
      <c r="G227" s="345">
        <v>0</v>
      </c>
      <c r="H227" s="376">
        <f t="shared" si="4"/>
        <v>0</v>
      </c>
      <c r="I227" s="345">
        <v>2.564E-2</v>
      </c>
      <c r="J227" s="376">
        <f t="shared" si="14"/>
        <v>0</v>
      </c>
      <c r="K227" s="377">
        <f t="shared" si="5"/>
        <v>1527782.9583957046</v>
      </c>
      <c r="L227" s="376">
        <f t="shared" si="6"/>
        <v>-1527782.9583957023</v>
      </c>
      <c r="M227" s="376">
        <f t="shared" si="7"/>
        <v>2.3283064365386963E-9</v>
      </c>
      <c r="N227" s="376">
        <f t="shared" si="8"/>
        <v>0</v>
      </c>
      <c r="O227" s="347">
        <f t="shared" si="15"/>
        <v>0</v>
      </c>
      <c r="P227" s="347">
        <f t="shared" si="16"/>
        <v>0</v>
      </c>
      <c r="Q227" s="347">
        <f t="shared" si="17"/>
        <v>0</v>
      </c>
      <c r="R227" s="376">
        <f t="shared" si="18"/>
        <v>-6.4959749579429617E-10</v>
      </c>
      <c r="S227" s="376">
        <f t="shared" si="9"/>
        <v>0</v>
      </c>
      <c r="T227" s="376">
        <f t="shared" si="19"/>
        <v>-5.8207660913467407E-10</v>
      </c>
      <c r="U227" s="376"/>
      <c r="V227" s="376">
        <f t="shared" si="20"/>
        <v>0</v>
      </c>
      <c r="W227" s="347">
        <f>IF(B227&gt;$C$75,0,$C$214+SUM($J$217:J227))</f>
        <v>0</v>
      </c>
      <c r="X227" s="378">
        <f t="shared" si="21"/>
        <v>2.2607855498790743E-9</v>
      </c>
    </row>
    <row r="228" spans="1:24" x14ac:dyDescent="0.45">
      <c r="A228" s="232"/>
      <c r="B228" s="344">
        <v>11</v>
      </c>
      <c r="C228" s="1038">
        <f t="shared" si="10"/>
        <v>0</v>
      </c>
      <c r="D228" s="376">
        <f t="shared" si="11"/>
        <v>0</v>
      </c>
      <c r="E228" s="1038">
        <f t="shared" si="12"/>
        <v>0</v>
      </c>
      <c r="F228" s="376">
        <f t="shared" si="13"/>
        <v>0</v>
      </c>
      <c r="G228" s="345">
        <v>0</v>
      </c>
      <c r="H228" s="376">
        <f t="shared" si="4"/>
        <v>0</v>
      </c>
      <c r="I228" s="345">
        <v>2.564E-2</v>
      </c>
      <c r="J228" s="376">
        <f t="shared" si="14"/>
        <v>0</v>
      </c>
      <c r="K228" s="377">
        <f t="shared" si="5"/>
        <v>0</v>
      </c>
      <c r="L228" s="376">
        <f t="shared" si="6"/>
        <v>0</v>
      </c>
      <c r="M228" s="376">
        <f t="shared" si="7"/>
        <v>0</v>
      </c>
      <c r="N228" s="376">
        <f t="shared" si="8"/>
        <v>0</v>
      </c>
      <c r="O228" s="347">
        <f t="shared" si="15"/>
        <v>0</v>
      </c>
      <c r="P228" s="347">
        <f t="shared" si="16"/>
        <v>0</v>
      </c>
      <c r="Q228" s="347">
        <f t="shared" si="17"/>
        <v>0</v>
      </c>
      <c r="R228" s="376">
        <f t="shared" si="18"/>
        <v>0</v>
      </c>
      <c r="S228" s="376">
        <f t="shared" si="9"/>
        <v>0</v>
      </c>
      <c r="T228" s="376">
        <f t="shared" si="19"/>
        <v>0</v>
      </c>
      <c r="U228" s="376"/>
      <c r="V228" s="376">
        <f t="shared" si="20"/>
        <v>0</v>
      </c>
      <c r="W228" s="347">
        <f>IF(B228&gt;$C$75,0,$C$214+SUM($J$217:J228))</f>
        <v>0</v>
      </c>
      <c r="X228" s="378">
        <f t="shared" si="21"/>
        <v>0</v>
      </c>
    </row>
    <row r="229" spans="1:24" x14ac:dyDescent="0.45">
      <c r="A229" s="232"/>
      <c r="B229" s="344">
        <v>12</v>
      </c>
      <c r="C229" s="1038">
        <f t="shared" si="10"/>
        <v>0</v>
      </c>
      <c r="D229" s="376">
        <f t="shared" si="11"/>
        <v>0</v>
      </c>
      <c r="E229" s="1038">
        <f t="shared" si="12"/>
        <v>0</v>
      </c>
      <c r="F229" s="376">
        <f t="shared" si="13"/>
        <v>0</v>
      </c>
      <c r="G229" s="345">
        <v>0</v>
      </c>
      <c r="H229" s="376">
        <f t="shared" si="4"/>
        <v>0</v>
      </c>
      <c r="I229" s="345">
        <v>2.564E-2</v>
      </c>
      <c r="J229" s="376">
        <f t="shared" si="14"/>
        <v>0</v>
      </c>
      <c r="K229" s="377">
        <f t="shared" si="5"/>
        <v>0</v>
      </c>
      <c r="L229" s="376">
        <f t="shared" si="6"/>
        <v>0</v>
      </c>
      <c r="M229" s="376">
        <f t="shared" si="7"/>
        <v>0</v>
      </c>
      <c r="N229" s="376">
        <f t="shared" si="8"/>
        <v>0</v>
      </c>
      <c r="O229" s="347">
        <f t="shared" si="15"/>
        <v>0</v>
      </c>
      <c r="P229" s="347">
        <f t="shared" si="16"/>
        <v>0</v>
      </c>
      <c r="Q229" s="347">
        <f t="shared" si="17"/>
        <v>0</v>
      </c>
      <c r="R229" s="376">
        <f t="shared" si="18"/>
        <v>0</v>
      </c>
      <c r="S229" s="376">
        <f t="shared" si="9"/>
        <v>0</v>
      </c>
      <c r="T229" s="376">
        <f t="shared" si="19"/>
        <v>0</v>
      </c>
      <c r="U229" s="376"/>
      <c r="V229" s="376">
        <f t="shared" si="20"/>
        <v>0</v>
      </c>
      <c r="W229" s="347">
        <f>IF(B229&gt;$C$75,0,$C$214+SUM($J$217:J229))</f>
        <v>0</v>
      </c>
      <c r="X229" s="378">
        <f t="shared" si="21"/>
        <v>0</v>
      </c>
    </row>
    <row r="230" spans="1:24" x14ac:dyDescent="0.45">
      <c r="A230" s="232"/>
      <c r="B230" s="344">
        <v>13</v>
      </c>
      <c r="C230" s="1038">
        <f t="shared" si="10"/>
        <v>0</v>
      </c>
      <c r="D230" s="376">
        <f t="shared" si="11"/>
        <v>0</v>
      </c>
      <c r="E230" s="1038">
        <f t="shared" si="12"/>
        <v>0</v>
      </c>
      <c r="F230" s="376">
        <f t="shared" si="13"/>
        <v>0</v>
      </c>
      <c r="G230" s="345">
        <v>0</v>
      </c>
      <c r="H230" s="376">
        <f t="shared" si="4"/>
        <v>0</v>
      </c>
      <c r="I230" s="345">
        <v>2.564E-2</v>
      </c>
      <c r="J230" s="376">
        <f t="shared" si="14"/>
        <v>0</v>
      </c>
      <c r="K230" s="377">
        <f t="shared" si="5"/>
        <v>0</v>
      </c>
      <c r="L230" s="376">
        <f t="shared" si="6"/>
        <v>0</v>
      </c>
      <c r="M230" s="376">
        <f t="shared" si="7"/>
        <v>0</v>
      </c>
      <c r="N230" s="376">
        <f t="shared" si="8"/>
        <v>0</v>
      </c>
      <c r="O230" s="347">
        <f t="shared" si="15"/>
        <v>0</v>
      </c>
      <c r="P230" s="347">
        <f t="shared" si="16"/>
        <v>0</v>
      </c>
      <c r="Q230" s="347">
        <f t="shared" si="17"/>
        <v>0</v>
      </c>
      <c r="R230" s="376">
        <f t="shared" si="18"/>
        <v>0</v>
      </c>
      <c r="S230" s="376">
        <f t="shared" si="9"/>
        <v>0</v>
      </c>
      <c r="T230" s="376">
        <f t="shared" si="19"/>
        <v>0</v>
      </c>
      <c r="U230" s="376"/>
      <c r="V230" s="376">
        <f t="shared" si="20"/>
        <v>0</v>
      </c>
      <c r="W230" s="347">
        <f>IF(B230&gt;$C$75,0,$C$214+SUM($J$217:J230))</f>
        <v>0</v>
      </c>
      <c r="X230" s="378">
        <f t="shared" si="21"/>
        <v>0</v>
      </c>
    </row>
    <row r="231" spans="1:24" x14ac:dyDescent="0.45">
      <c r="A231" s="232"/>
      <c r="B231" s="344">
        <v>14</v>
      </c>
      <c r="C231" s="1038">
        <f t="shared" si="10"/>
        <v>0</v>
      </c>
      <c r="D231" s="376">
        <f t="shared" si="11"/>
        <v>0</v>
      </c>
      <c r="E231" s="1038">
        <f t="shared" si="12"/>
        <v>0</v>
      </c>
      <c r="F231" s="376">
        <f t="shared" si="13"/>
        <v>0</v>
      </c>
      <c r="G231" s="345">
        <v>0</v>
      </c>
      <c r="H231" s="376">
        <f t="shared" si="4"/>
        <v>0</v>
      </c>
      <c r="I231" s="345">
        <v>2.564E-2</v>
      </c>
      <c r="J231" s="376">
        <f t="shared" si="14"/>
        <v>0</v>
      </c>
      <c r="K231" s="377">
        <f t="shared" si="5"/>
        <v>0</v>
      </c>
      <c r="L231" s="376">
        <f t="shared" si="6"/>
        <v>0</v>
      </c>
      <c r="M231" s="376">
        <f t="shared" si="7"/>
        <v>0</v>
      </c>
      <c r="N231" s="376">
        <f t="shared" si="8"/>
        <v>0</v>
      </c>
      <c r="O231" s="347">
        <f t="shared" si="15"/>
        <v>0</v>
      </c>
      <c r="P231" s="347">
        <f t="shared" si="16"/>
        <v>0</v>
      </c>
      <c r="Q231" s="347">
        <f t="shared" si="17"/>
        <v>0</v>
      </c>
      <c r="R231" s="376">
        <f t="shared" si="18"/>
        <v>0</v>
      </c>
      <c r="S231" s="376">
        <f t="shared" si="9"/>
        <v>0</v>
      </c>
      <c r="T231" s="376">
        <f t="shared" si="19"/>
        <v>0</v>
      </c>
      <c r="U231" s="376"/>
      <c r="V231" s="376">
        <f t="shared" si="20"/>
        <v>0</v>
      </c>
      <c r="W231" s="347">
        <f>IF(B231&gt;$C$75,0,$C$214+SUM($J$217:J231))</f>
        <v>0</v>
      </c>
      <c r="X231" s="378">
        <f t="shared" si="21"/>
        <v>0</v>
      </c>
    </row>
    <row r="232" spans="1:24" x14ac:dyDescent="0.45">
      <c r="A232" s="232"/>
      <c r="B232" s="344">
        <v>15</v>
      </c>
      <c r="C232" s="1038">
        <f t="shared" si="10"/>
        <v>0</v>
      </c>
      <c r="D232" s="376">
        <f t="shared" si="11"/>
        <v>0</v>
      </c>
      <c r="E232" s="1038">
        <f t="shared" si="12"/>
        <v>0</v>
      </c>
      <c r="F232" s="376">
        <f t="shared" si="13"/>
        <v>0</v>
      </c>
      <c r="G232" s="345">
        <v>0</v>
      </c>
      <c r="H232" s="376">
        <f t="shared" si="4"/>
        <v>0</v>
      </c>
      <c r="I232" s="345">
        <v>2.564E-2</v>
      </c>
      <c r="J232" s="376">
        <f t="shared" si="14"/>
        <v>0</v>
      </c>
      <c r="K232" s="377">
        <f t="shared" si="5"/>
        <v>0</v>
      </c>
      <c r="L232" s="376">
        <f t="shared" si="6"/>
        <v>0</v>
      </c>
      <c r="M232" s="376">
        <f t="shared" si="7"/>
        <v>0</v>
      </c>
      <c r="N232" s="376">
        <f t="shared" si="8"/>
        <v>0</v>
      </c>
      <c r="O232" s="347">
        <f t="shared" si="15"/>
        <v>0</v>
      </c>
      <c r="P232" s="347">
        <f t="shared" si="16"/>
        <v>0</v>
      </c>
      <c r="Q232" s="347">
        <f t="shared" si="17"/>
        <v>0</v>
      </c>
      <c r="R232" s="376">
        <f t="shared" si="18"/>
        <v>0</v>
      </c>
      <c r="S232" s="376">
        <f t="shared" si="9"/>
        <v>0</v>
      </c>
      <c r="T232" s="376">
        <f t="shared" si="19"/>
        <v>0</v>
      </c>
      <c r="U232" s="376"/>
      <c r="V232" s="376">
        <f t="shared" si="20"/>
        <v>0</v>
      </c>
      <c r="W232" s="347">
        <f>IF(B232&gt;$C$75,0,$C$214+SUM($J$217:J232))</f>
        <v>0</v>
      </c>
      <c r="X232" s="378">
        <f t="shared" si="21"/>
        <v>0</v>
      </c>
    </row>
    <row r="233" spans="1:24" x14ac:dyDescent="0.45">
      <c r="A233" s="232"/>
      <c r="B233" s="344">
        <v>16</v>
      </c>
      <c r="C233" s="1038">
        <f t="shared" si="10"/>
        <v>0</v>
      </c>
      <c r="D233" s="376">
        <f t="shared" si="11"/>
        <v>0</v>
      </c>
      <c r="E233" s="1038">
        <f t="shared" si="12"/>
        <v>0</v>
      </c>
      <c r="F233" s="376">
        <f t="shared" si="13"/>
        <v>0</v>
      </c>
      <c r="G233" s="345">
        <v>0</v>
      </c>
      <c r="H233" s="376">
        <f t="shared" si="4"/>
        <v>0</v>
      </c>
      <c r="I233" s="345">
        <v>2.564E-2</v>
      </c>
      <c r="J233" s="376">
        <f t="shared" si="14"/>
        <v>0</v>
      </c>
      <c r="K233" s="377">
        <f t="shared" si="5"/>
        <v>0</v>
      </c>
      <c r="L233" s="376">
        <f t="shared" si="6"/>
        <v>0</v>
      </c>
      <c r="M233" s="376">
        <f t="shared" si="7"/>
        <v>0</v>
      </c>
      <c r="N233" s="376">
        <f t="shared" si="8"/>
        <v>0</v>
      </c>
      <c r="O233" s="347">
        <f t="shared" si="15"/>
        <v>0</v>
      </c>
      <c r="P233" s="347">
        <f t="shared" si="16"/>
        <v>0</v>
      </c>
      <c r="Q233" s="347">
        <f t="shared" si="17"/>
        <v>0</v>
      </c>
      <c r="R233" s="376">
        <f t="shared" si="18"/>
        <v>0</v>
      </c>
      <c r="S233" s="376">
        <f t="shared" si="9"/>
        <v>0</v>
      </c>
      <c r="T233" s="376">
        <f t="shared" si="19"/>
        <v>0</v>
      </c>
      <c r="U233" s="376"/>
      <c r="V233" s="376">
        <f t="shared" si="20"/>
        <v>0</v>
      </c>
      <c r="W233" s="347">
        <f>IF(B233&gt;$C$75,0,$C$214+SUM($J$217:J233))</f>
        <v>0</v>
      </c>
      <c r="X233" s="378">
        <f t="shared" si="21"/>
        <v>0</v>
      </c>
    </row>
    <row r="234" spans="1:24" x14ac:dyDescent="0.45">
      <c r="A234" s="232"/>
      <c r="B234" s="344">
        <v>17</v>
      </c>
      <c r="C234" s="1038">
        <f t="shared" si="10"/>
        <v>0</v>
      </c>
      <c r="D234" s="376">
        <f t="shared" si="11"/>
        <v>0</v>
      </c>
      <c r="E234" s="1038">
        <f t="shared" si="12"/>
        <v>0</v>
      </c>
      <c r="F234" s="376">
        <f t="shared" si="13"/>
        <v>0</v>
      </c>
      <c r="G234" s="345">
        <v>0</v>
      </c>
      <c r="H234" s="376">
        <f t="shared" si="4"/>
        <v>0</v>
      </c>
      <c r="I234" s="345">
        <v>2.564E-2</v>
      </c>
      <c r="J234" s="376">
        <f t="shared" si="14"/>
        <v>0</v>
      </c>
      <c r="K234" s="377">
        <f t="shared" si="5"/>
        <v>0</v>
      </c>
      <c r="L234" s="376">
        <f t="shared" si="6"/>
        <v>0</v>
      </c>
      <c r="M234" s="376">
        <f t="shared" si="7"/>
        <v>0</v>
      </c>
      <c r="N234" s="376">
        <f t="shared" si="8"/>
        <v>0</v>
      </c>
      <c r="O234" s="347">
        <f t="shared" si="15"/>
        <v>0</v>
      </c>
      <c r="P234" s="347">
        <f t="shared" si="16"/>
        <v>0</v>
      </c>
      <c r="Q234" s="347">
        <f t="shared" si="17"/>
        <v>0</v>
      </c>
      <c r="R234" s="376">
        <f t="shared" si="18"/>
        <v>0</v>
      </c>
      <c r="S234" s="376">
        <f t="shared" si="9"/>
        <v>0</v>
      </c>
      <c r="T234" s="376">
        <f t="shared" si="19"/>
        <v>0</v>
      </c>
      <c r="U234" s="376"/>
      <c r="V234" s="376">
        <f t="shared" si="20"/>
        <v>0</v>
      </c>
      <c r="W234" s="347">
        <f>IF(B234&gt;$C$75,0,$C$214+SUM($J$217:J234))</f>
        <v>0</v>
      </c>
      <c r="X234" s="378">
        <f t="shared" si="21"/>
        <v>0</v>
      </c>
    </row>
    <row r="235" spans="1:24" x14ac:dyDescent="0.45">
      <c r="A235" s="232"/>
      <c r="B235" s="344">
        <v>18</v>
      </c>
      <c r="C235" s="1038">
        <f t="shared" si="10"/>
        <v>0</v>
      </c>
      <c r="D235" s="376">
        <f t="shared" si="11"/>
        <v>0</v>
      </c>
      <c r="E235" s="1038">
        <f t="shared" si="12"/>
        <v>0</v>
      </c>
      <c r="F235" s="376">
        <f t="shared" si="13"/>
        <v>0</v>
      </c>
      <c r="G235" s="345">
        <v>0</v>
      </c>
      <c r="H235" s="376">
        <f t="shared" si="4"/>
        <v>0</v>
      </c>
      <c r="I235" s="345">
        <v>2.564E-2</v>
      </c>
      <c r="J235" s="376">
        <f t="shared" si="14"/>
        <v>0</v>
      </c>
      <c r="K235" s="377">
        <f t="shared" si="5"/>
        <v>0</v>
      </c>
      <c r="L235" s="376">
        <f t="shared" si="6"/>
        <v>0</v>
      </c>
      <c r="M235" s="376">
        <f t="shared" si="7"/>
        <v>0</v>
      </c>
      <c r="N235" s="376">
        <f t="shared" si="8"/>
        <v>0</v>
      </c>
      <c r="O235" s="347">
        <f t="shared" si="15"/>
        <v>0</v>
      </c>
      <c r="P235" s="347">
        <f t="shared" si="16"/>
        <v>0</v>
      </c>
      <c r="Q235" s="347">
        <f t="shared" si="17"/>
        <v>0</v>
      </c>
      <c r="R235" s="376">
        <f t="shared" si="18"/>
        <v>0</v>
      </c>
      <c r="S235" s="376">
        <f t="shared" si="9"/>
        <v>0</v>
      </c>
      <c r="T235" s="376">
        <f t="shared" si="19"/>
        <v>0</v>
      </c>
      <c r="U235" s="376"/>
      <c r="V235" s="376">
        <f t="shared" si="20"/>
        <v>0</v>
      </c>
      <c r="W235" s="347">
        <f>IF(B235&gt;$C$75,0,$C$214+SUM($J$217:J235))</f>
        <v>0</v>
      </c>
      <c r="X235" s="378">
        <f t="shared" si="21"/>
        <v>0</v>
      </c>
    </row>
    <row r="236" spans="1:24" x14ac:dyDescent="0.45">
      <c r="A236" s="232"/>
      <c r="B236" s="344">
        <v>19</v>
      </c>
      <c r="C236" s="1038">
        <f t="shared" si="10"/>
        <v>0</v>
      </c>
      <c r="D236" s="376">
        <f t="shared" si="11"/>
        <v>0</v>
      </c>
      <c r="E236" s="1038">
        <f t="shared" si="12"/>
        <v>0</v>
      </c>
      <c r="F236" s="376">
        <f t="shared" si="13"/>
        <v>0</v>
      </c>
      <c r="G236" s="345">
        <v>0</v>
      </c>
      <c r="H236" s="376">
        <f t="shared" si="4"/>
        <v>0</v>
      </c>
      <c r="I236" s="345">
        <v>2.564E-2</v>
      </c>
      <c r="J236" s="376">
        <f t="shared" si="14"/>
        <v>0</v>
      </c>
      <c r="K236" s="377">
        <f t="shared" si="5"/>
        <v>0</v>
      </c>
      <c r="L236" s="376">
        <f t="shared" si="6"/>
        <v>0</v>
      </c>
      <c r="M236" s="376">
        <f t="shared" si="7"/>
        <v>0</v>
      </c>
      <c r="N236" s="376">
        <f t="shared" si="8"/>
        <v>0</v>
      </c>
      <c r="O236" s="347">
        <f t="shared" si="15"/>
        <v>0</v>
      </c>
      <c r="P236" s="347">
        <f t="shared" si="16"/>
        <v>0</v>
      </c>
      <c r="Q236" s="347">
        <f t="shared" si="17"/>
        <v>0</v>
      </c>
      <c r="R236" s="376">
        <f t="shared" si="18"/>
        <v>0</v>
      </c>
      <c r="S236" s="376">
        <f t="shared" si="9"/>
        <v>0</v>
      </c>
      <c r="T236" s="376">
        <f t="shared" si="19"/>
        <v>0</v>
      </c>
      <c r="U236" s="376"/>
      <c r="V236" s="376">
        <f t="shared" si="20"/>
        <v>0</v>
      </c>
      <c r="W236" s="347">
        <f>IF(B236&gt;$C$75,0,$C$214+SUM($J$217:J236))</f>
        <v>0</v>
      </c>
      <c r="X236" s="378">
        <f t="shared" si="21"/>
        <v>0</v>
      </c>
    </row>
    <row r="237" spans="1:24" s="540" customFormat="1" x14ac:dyDescent="0.45">
      <c r="A237" s="550"/>
      <c r="B237" s="344">
        <v>20</v>
      </c>
      <c r="C237" s="1038">
        <f t="shared" si="10"/>
        <v>0</v>
      </c>
      <c r="D237" s="376">
        <f t="shared" si="11"/>
        <v>0</v>
      </c>
      <c r="E237" s="1038">
        <f t="shared" si="12"/>
        <v>0</v>
      </c>
      <c r="F237" s="376">
        <f t="shared" si="13"/>
        <v>0</v>
      </c>
      <c r="G237" s="345">
        <v>0</v>
      </c>
      <c r="H237" s="376">
        <f t="shared" si="4"/>
        <v>0</v>
      </c>
      <c r="I237" s="345">
        <v>2.564E-2</v>
      </c>
      <c r="J237" s="376">
        <f t="shared" si="14"/>
        <v>0</v>
      </c>
      <c r="K237" s="377">
        <f t="shared" si="5"/>
        <v>0</v>
      </c>
      <c r="L237" s="376">
        <f t="shared" si="6"/>
        <v>0</v>
      </c>
      <c r="M237" s="376">
        <f t="shared" si="7"/>
        <v>0</v>
      </c>
      <c r="N237" s="376">
        <f t="shared" si="8"/>
        <v>0</v>
      </c>
      <c r="O237" s="347">
        <f t="shared" si="15"/>
        <v>0</v>
      </c>
      <c r="P237" s="347">
        <f t="shared" si="16"/>
        <v>0</v>
      </c>
      <c r="Q237" s="347">
        <f t="shared" si="17"/>
        <v>0</v>
      </c>
      <c r="R237" s="376">
        <f t="shared" si="18"/>
        <v>0</v>
      </c>
      <c r="S237" s="376">
        <f t="shared" si="9"/>
        <v>0</v>
      </c>
      <c r="T237" s="376">
        <f t="shared" si="19"/>
        <v>0</v>
      </c>
      <c r="U237" s="376"/>
      <c r="V237" s="376">
        <f t="shared" si="20"/>
        <v>0</v>
      </c>
      <c r="W237" s="347">
        <f>IF(B237&gt;$C$75,0,$C$214+SUM($J$217:J237))</f>
        <v>0</v>
      </c>
      <c r="X237" s="378">
        <f t="shared" si="21"/>
        <v>0</v>
      </c>
    </row>
    <row r="238" spans="1:24" s="540" customFormat="1" x14ac:dyDescent="0.45">
      <c r="A238" s="550"/>
      <c r="B238" s="344"/>
      <c r="C238" s="1038"/>
      <c r="D238" s="349"/>
      <c r="E238" s="345"/>
      <c r="F238" s="349"/>
      <c r="G238" s="345"/>
      <c r="H238" s="349"/>
      <c r="I238" s="345"/>
      <c r="J238" s="349"/>
      <c r="K238" s="349"/>
      <c r="L238" s="349"/>
      <c r="M238" s="349"/>
      <c r="N238" s="345"/>
      <c r="O238" s="345"/>
      <c r="P238" s="345"/>
      <c r="Q238" s="345"/>
      <c r="R238" s="349"/>
      <c r="S238" s="349"/>
      <c r="T238" s="345"/>
      <c r="U238" s="345"/>
      <c r="V238" s="345"/>
      <c r="W238" s="348" t="s">
        <v>158</v>
      </c>
      <c r="X238" s="353">
        <f>NPV($C$201,X218:X237)+X217</f>
        <v>1.1452210744715925E-9</v>
      </c>
    </row>
    <row r="239" spans="1:24" s="540" customFormat="1" x14ac:dyDescent="0.45">
      <c r="A239" s="550"/>
      <c r="B239" s="344"/>
      <c r="C239" s="1038"/>
      <c r="D239" s="360"/>
      <c r="E239" s="345"/>
      <c r="F239" s="360"/>
      <c r="G239" s="345"/>
      <c r="H239" s="360"/>
      <c r="I239" s="345"/>
      <c r="J239" s="360"/>
      <c r="K239" s="360"/>
      <c r="L239" s="360"/>
      <c r="M239" s="360"/>
      <c r="N239" s="345"/>
      <c r="O239" s="345"/>
      <c r="P239" s="345"/>
      <c r="Q239" s="345"/>
      <c r="R239" s="360"/>
      <c r="S239" s="360"/>
      <c r="T239" s="345"/>
      <c r="U239" s="345"/>
      <c r="V239" s="345"/>
      <c r="W239" s="348" t="s">
        <v>134</v>
      </c>
      <c r="X239" s="837">
        <f>IRR(X217:X237,0.1)</f>
        <v>0.43545668341242849</v>
      </c>
    </row>
    <row r="240" spans="1:24" s="540" customFormat="1" x14ac:dyDescent="0.45">
      <c r="A240" s="550"/>
      <c r="B240" s="344"/>
      <c r="C240" s="1038"/>
      <c r="D240" s="828"/>
      <c r="E240" s="345"/>
      <c r="F240" s="345"/>
      <c r="G240" s="345"/>
      <c r="H240" s="345"/>
      <c r="I240" s="345"/>
      <c r="J240" s="345"/>
      <c r="K240" s="348"/>
      <c r="L240" s="345"/>
      <c r="M240" s="345"/>
      <c r="N240" s="345"/>
      <c r="O240" s="345"/>
      <c r="P240" s="345"/>
      <c r="Q240" s="345"/>
      <c r="R240" s="345"/>
      <c r="S240" s="345"/>
      <c r="T240" s="345"/>
      <c r="U240" s="345"/>
      <c r="V240" s="345"/>
      <c r="W240" s="345"/>
      <c r="X240" s="346"/>
    </row>
    <row r="241" spans="1:24" s="540" customFormat="1" x14ac:dyDescent="0.45">
      <c r="A241" s="550"/>
      <c r="B241" s="357" t="s">
        <v>30</v>
      </c>
      <c r="C241" s="1038"/>
      <c r="D241" s="358"/>
      <c r="E241" s="345"/>
      <c r="F241" s="348"/>
      <c r="G241" s="345"/>
      <c r="H241" s="345"/>
      <c r="I241" s="345"/>
      <c r="J241" s="345"/>
      <c r="K241" s="345"/>
      <c r="L241" s="345"/>
      <c r="M241" s="345"/>
      <c r="N241" s="345"/>
      <c r="O241" s="345"/>
      <c r="P241" s="345"/>
      <c r="Q241" s="345"/>
      <c r="R241" s="345"/>
      <c r="S241" s="345"/>
      <c r="T241" s="345"/>
      <c r="U241" s="345"/>
      <c r="V241" s="345"/>
      <c r="W241" s="345"/>
      <c r="X241" s="346"/>
    </row>
    <row r="242" spans="1:24" s="540" customFormat="1" x14ac:dyDescent="0.45">
      <c r="A242" s="550"/>
      <c r="B242" s="344" t="s">
        <v>270</v>
      </c>
      <c r="C242" s="832">
        <f>$D$83*$C$76</f>
        <v>155372943</v>
      </c>
      <c r="D242" s="345" t="s">
        <v>1</v>
      </c>
      <c r="E242" s="345"/>
      <c r="F242" s="345"/>
      <c r="G242" s="345"/>
      <c r="H242" s="345"/>
      <c r="I242" s="345"/>
      <c r="J242" s="345"/>
      <c r="K242" s="345"/>
      <c r="L242" s="345"/>
      <c r="M242" s="345"/>
      <c r="N242" s="345"/>
      <c r="O242" s="345"/>
      <c r="P242" s="345"/>
      <c r="Q242" s="345"/>
      <c r="R242" s="345"/>
      <c r="S242" s="345"/>
      <c r="T242" s="345"/>
      <c r="U242" s="345"/>
      <c r="V242" s="345"/>
      <c r="W242" s="345"/>
      <c r="X242" s="346"/>
    </row>
    <row r="243" spans="1:24" s="540" customFormat="1" x14ac:dyDescent="0.45">
      <c r="A243" s="550"/>
      <c r="B243" s="344" t="s">
        <v>271</v>
      </c>
      <c r="C243" s="832">
        <f>$E$83*$C$79</f>
        <v>19194780</v>
      </c>
      <c r="D243" s="345" t="s">
        <v>1</v>
      </c>
      <c r="E243" s="345"/>
      <c r="F243" s="345"/>
      <c r="G243" s="347"/>
      <c r="H243" s="345"/>
      <c r="I243" s="345"/>
      <c r="J243" s="345"/>
      <c r="K243" s="345"/>
      <c r="L243" s="345"/>
      <c r="M243" s="345"/>
      <c r="N243" s="345"/>
      <c r="O243" s="345"/>
      <c r="P243" s="345"/>
      <c r="Q243" s="345"/>
      <c r="R243" s="345"/>
      <c r="S243" s="345"/>
      <c r="T243" s="345"/>
      <c r="U243" s="345"/>
      <c r="V243" s="345"/>
      <c r="W243" s="345"/>
      <c r="X243" s="346"/>
    </row>
    <row r="244" spans="1:24" s="540" customFormat="1" x14ac:dyDescent="0.45">
      <c r="A244" s="550"/>
      <c r="B244" s="829"/>
      <c r="C244" s="1038"/>
      <c r="D244" s="358"/>
      <c r="E244" s="345"/>
      <c r="F244" s="348"/>
      <c r="G244" s="345"/>
      <c r="H244" s="345"/>
      <c r="I244" s="345"/>
      <c r="J244" s="345"/>
      <c r="K244" s="345"/>
      <c r="L244" s="345"/>
      <c r="M244" s="345"/>
      <c r="N244" s="345"/>
      <c r="O244" s="345"/>
      <c r="P244" s="345"/>
      <c r="Q244" s="345"/>
      <c r="R244" s="345"/>
      <c r="S244" s="345"/>
      <c r="T244" s="345"/>
      <c r="U244" s="345"/>
      <c r="V244" s="345"/>
      <c r="W244" s="345"/>
      <c r="X244" s="346"/>
    </row>
    <row r="245" spans="1:24" s="540" customFormat="1" x14ac:dyDescent="0.45">
      <c r="A245" s="550"/>
      <c r="B245" s="354" t="s">
        <v>27</v>
      </c>
      <c r="C245" s="1040" t="s">
        <v>379</v>
      </c>
      <c r="D245" s="355" t="s">
        <v>128</v>
      </c>
      <c r="E245" s="355" t="s">
        <v>380</v>
      </c>
      <c r="F245" s="355" t="s">
        <v>245</v>
      </c>
      <c r="G245" s="355" t="s">
        <v>367</v>
      </c>
      <c r="H245" s="355" t="s">
        <v>368</v>
      </c>
      <c r="I245" s="355" t="s">
        <v>369</v>
      </c>
      <c r="J245" s="355" t="s">
        <v>370</v>
      </c>
      <c r="K245" s="355" t="s">
        <v>131</v>
      </c>
      <c r="L245" s="355" t="s">
        <v>130</v>
      </c>
      <c r="M245" s="355" t="s">
        <v>129</v>
      </c>
      <c r="N245" s="355" t="s">
        <v>374</v>
      </c>
      <c r="O245" s="355" t="s">
        <v>124</v>
      </c>
      <c r="P245" s="355" t="s">
        <v>125</v>
      </c>
      <c r="Q245" s="355" t="s">
        <v>126</v>
      </c>
      <c r="R245" s="355" t="s">
        <v>155</v>
      </c>
      <c r="S245" s="355" t="s">
        <v>157</v>
      </c>
      <c r="T245" s="355" t="s">
        <v>156</v>
      </c>
      <c r="U245" s="345" t="s">
        <v>280</v>
      </c>
      <c r="V245" s="355" t="s">
        <v>375</v>
      </c>
      <c r="W245" s="355" t="s">
        <v>373</v>
      </c>
      <c r="X245" s="835" t="s">
        <v>164</v>
      </c>
    </row>
    <row r="246" spans="1:24" s="540" customFormat="1" x14ac:dyDescent="0.45">
      <c r="A246" s="550"/>
      <c r="B246" s="359">
        <v>0</v>
      </c>
      <c r="C246" s="1039">
        <v>0.11976671930820107</v>
      </c>
      <c r="D246" s="375">
        <v>0</v>
      </c>
      <c r="E246" s="833">
        <f>SUM(I37,I38,IF(C80=0,0,((D93+L32*D93/(D92+D93))*E32)),(G101+L33*G101/(G100+G101))*E33,(E142+L34*E142/(E141+E142))*E34)</f>
        <v>4.0112562363679931E-2</v>
      </c>
      <c r="F246" s="375">
        <v>0</v>
      </c>
      <c r="G246" s="345">
        <v>0</v>
      </c>
      <c r="H246" s="376">
        <f t="shared" ref="H246:H266" si="22">IF(D246&gt;0,-1*G246*$C$242,0)</f>
        <v>0</v>
      </c>
      <c r="I246" s="376">
        <v>0</v>
      </c>
      <c r="J246" s="376">
        <v>0</v>
      </c>
      <c r="K246" s="379">
        <f t="shared" ref="K246:K266" si="23">D246+F246+H246+J246</f>
        <v>0</v>
      </c>
      <c r="L246" s="375">
        <f t="shared" ref="L246:L266" si="24">IF(F246&lt;&gt;0,-1*($C$203+$C$204)*D246,0)</f>
        <v>0</v>
      </c>
      <c r="M246" s="375">
        <f t="shared" ref="M246:M266" si="25">K246+L246</f>
        <v>0</v>
      </c>
      <c r="N246" s="376">
        <f t="shared" ref="N246:N266" si="26">IF(V246&gt;0,V246-W246,0)</f>
        <v>0</v>
      </c>
      <c r="O246" s="347">
        <v>0</v>
      </c>
      <c r="P246" s="347">
        <v>0</v>
      </c>
      <c r="Q246" s="347">
        <v>0</v>
      </c>
      <c r="R246" s="376">
        <f>IF(M246&gt;0,-1*(M246+N246)*$C$202,0)</f>
        <v>0</v>
      </c>
      <c r="S246" s="375">
        <f t="shared" ref="S246:S266" si="27">IF(B246=$C$76,0,$C$205/12*(D247+F247+L247))</f>
        <v>9481734.5240785722</v>
      </c>
      <c r="T246" s="375">
        <f>S246</f>
        <v>9481734.5240785722</v>
      </c>
      <c r="U246" s="375">
        <f>-1*(C242+C243)</f>
        <v>-174567723</v>
      </c>
      <c r="V246" s="376">
        <v>0</v>
      </c>
      <c r="W246" s="347">
        <f>IF(B246&gt;$C$76,0,$C$243+SUM($J$246:J246))</f>
        <v>19194780</v>
      </c>
      <c r="X246" s="836">
        <f>-T246+U246</f>
        <v>-184049457.52407858</v>
      </c>
    </row>
    <row r="247" spans="1:24" s="540" customFormat="1" x14ac:dyDescent="0.45">
      <c r="A247" s="757"/>
      <c r="B247" s="344">
        <v>1</v>
      </c>
      <c r="C247" s="1038">
        <f t="shared" ref="C247:C266" si="28">IF(B247&gt;$C$76,0,$C$246*(1+$C$199)^B247)</f>
        <v>0.12240158713298149</v>
      </c>
      <c r="D247" s="376">
        <f t="shared" ref="D247:D266" si="29">C247*$C$198*1000000</f>
        <v>67717296.833411902</v>
      </c>
      <c r="E247" s="1038">
        <f t="shared" ref="E247:E266" si="30">IF(B247&gt;$C$76,0,$E$246*(1+$C$200)^B247)</f>
        <v>4.0995038735680889E-2</v>
      </c>
      <c r="F247" s="376">
        <f t="shared" ref="F247:F266" si="31">-1*E247*$C$198*1000000</f>
        <v>-22680042.569589365</v>
      </c>
      <c r="G247" s="345">
        <v>0.1429</v>
      </c>
      <c r="H247" s="376">
        <f t="shared" si="22"/>
        <v>-22202793.554699998</v>
      </c>
      <c r="I247" s="345">
        <v>1.391E-2</v>
      </c>
      <c r="J247" s="376">
        <f t="shared" ref="J247:J266" si="32">IF(D247&gt;0,-1*$C$243*I247,0)</f>
        <v>-266999.3898</v>
      </c>
      <c r="K247" s="377">
        <f t="shared" si="23"/>
        <v>22567461.319322541</v>
      </c>
      <c r="L247" s="376">
        <f t="shared" si="24"/>
        <v>-7110316.1675082492</v>
      </c>
      <c r="M247" s="376">
        <f t="shared" si="25"/>
        <v>15457145.151814293</v>
      </c>
      <c r="N247" s="376">
        <f t="shared" si="26"/>
        <v>0</v>
      </c>
      <c r="O247" s="347">
        <f t="shared" ref="O247:O266" si="33">IF(M247&lt;0,M247*-1,0)</f>
        <v>0</v>
      </c>
      <c r="P247" s="347">
        <f t="shared" ref="P247:P266" si="34">P246+O247-Q247</f>
        <v>0</v>
      </c>
      <c r="Q247" s="347">
        <f t="shared" ref="Q247:Q266" si="35">IF(B247=$C$76+1,O247,IF(AND(M247&gt;0, P246&gt;0), MIN(M247,P246),0))</f>
        <v>0</v>
      </c>
      <c r="R247" s="376">
        <f t="shared" ref="R247:R266" si="36">IF(M247&gt;0,-1*(M247+N247-Q247)*$C$202,0)</f>
        <v>-4312543.4973561876</v>
      </c>
      <c r="S247" s="376">
        <f t="shared" si="27"/>
        <v>9690332.6836083047</v>
      </c>
      <c r="T247" s="376">
        <f t="shared" ref="T247:T266" si="37">(S247-S246)</f>
        <v>208598.15952973254</v>
      </c>
      <c r="U247" s="376"/>
      <c r="V247" s="376">
        <f t="shared" ref="V247:V266" si="38">IF(B247=$C$76,$C$243*(1-1/$C$79*B247),0)</f>
        <v>0</v>
      </c>
      <c r="W247" s="347">
        <f>IF(B247&gt;$C$76,0,$C$243+SUM($J$246:J247))</f>
        <v>18927780.610199999</v>
      </c>
      <c r="X247" s="378">
        <f t="shared" ref="X247:X266" si="39">M247+R247-1*(H247+J247)-T247+U247+V247</f>
        <v>33405796.439428374</v>
      </c>
    </row>
    <row r="248" spans="1:24" s="540" customFormat="1" x14ac:dyDescent="0.45">
      <c r="A248" s="550"/>
      <c r="B248" s="344">
        <v>2</v>
      </c>
      <c r="C248" s="1038">
        <f t="shared" si="28"/>
        <v>0.12509442204990709</v>
      </c>
      <c r="D248" s="376">
        <f t="shared" si="29"/>
        <v>69207077.363746971</v>
      </c>
      <c r="E248" s="1038">
        <f t="shared" si="30"/>
        <v>4.1896929587865867E-2</v>
      </c>
      <c r="F248" s="376">
        <f t="shared" si="31"/>
        <v>-23179003.506120328</v>
      </c>
      <c r="G248" s="345">
        <v>0.24490000000000001</v>
      </c>
      <c r="H248" s="376">
        <f t="shared" si="22"/>
        <v>-38050833.740699999</v>
      </c>
      <c r="I248" s="345">
        <v>2.564E-2</v>
      </c>
      <c r="J248" s="376">
        <f t="shared" si="32"/>
        <v>-492154.15919999999</v>
      </c>
      <c r="K248" s="377">
        <f t="shared" si="23"/>
        <v>7485085.9577266481</v>
      </c>
      <c r="L248" s="376">
        <f t="shared" si="24"/>
        <v>-7266743.1231934316</v>
      </c>
      <c r="M248" s="376">
        <f t="shared" si="25"/>
        <v>218342.83453321643</v>
      </c>
      <c r="N248" s="376">
        <f t="shared" si="26"/>
        <v>0</v>
      </c>
      <c r="O248" s="347">
        <f t="shared" si="33"/>
        <v>0</v>
      </c>
      <c r="P248" s="347">
        <f t="shared" si="34"/>
        <v>0</v>
      </c>
      <c r="Q248" s="347">
        <f t="shared" si="35"/>
        <v>0</v>
      </c>
      <c r="R248" s="376">
        <f t="shared" si="36"/>
        <v>-60917.650834767381</v>
      </c>
      <c r="S248" s="376">
        <f t="shared" si="27"/>
        <v>9903520.0026476849</v>
      </c>
      <c r="T248" s="376">
        <f t="shared" si="37"/>
        <v>213187.31903938018</v>
      </c>
      <c r="U248" s="376"/>
      <c r="V248" s="376">
        <f t="shared" si="38"/>
        <v>0</v>
      </c>
      <c r="W248" s="347">
        <f>IF(B248&gt;$C$76,0,$C$243+SUM($J$246:J248))</f>
        <v>18435626.451000001</v>
      </c>
      <c r="X248" s="378">
        <f t="shared" si="39"/>
        <v>38487225.76455906</v>
      </c>
    </row>
    <row r="249" spans="1:24" s="540" customFormat="1" x14ac:dyDescent="0.45">
      <c r="A249" s="550"/>
      <c r="B249" s="344">
        <v>3</v>
      </c>
      <c r="C249" s="1038">
        <f t="shared" si="28"/>
        <v>0.12784649933500505</v>
      </c>
      <c r="D249" s="376">
        <f t="shared" si="29"/>
        <v>70729633.065749407</v>
      </c>
      <c r="E249" s="1038">
        <f t="shared" si="30"/>
        <v>4.2818662038798916E-2</v>
      </c>
      <c r="F249" s="376">
        <f t="shared" si="31"/>
        <v>-23688941.583254978</v>
      </c>
      <c r="G249" s="345">
        <v>0.1749</v>
      </c>
      <c r="H249" s="376">
        <f t="shared" si="22"/>
        <v>-27174727.730700001</v>
      </c>
      <c r="I249" s="345">
        <v>2.564E-2</v>
      </c>
      <c r="J249" s="376">
        <f t="shared" si="32"/>
        <v>-492154.15919999999</v>
      </c>
      <c r="K249" s="377">
        <f t="shared" si="23"/>
        <v>19373809.592594426</v>
      </c>
      <c r="L249" s="376">
        <f t="shared" si="24"/>
        <v>-7426611.4719036873</v>
      </c>
      <c r="M249" s="376">
        <f t="shared" si="25"/>
        <v>11947198.120690739</v>
      </c>
      <c r="N249" s="376">
        <f t="shared" si="26"/>
        <v>0</v>
      </c>
      <c r="O249" s="347">
        <f t="shared" si="33"/>
        <v>0</v>
      </c>
      <c r="P249" s="347">
        <f t="shared" si="34"/>
        <v>0</v>
      </c>
      <c r="Q249" s="347">
        <f t="shared" si="35"/>
        <v>0</v>
      </c>
      <c r="R249" s="376">
        <f t="shared" si="36"/>
        <v>-3333268.2756727156</v>
      </c>
      <c r="S249" s="376">
        <f t="shared" si="27"/>
        <v>10121397.442705935</v>
      </c>
      <c r="T249" s="376">
        <f t="shared" si="37"/>
        <v>217877.44005824998</v>
      </c>
      <c r="U249" s="376"/>
      <c r="V249" s="376">
        <f t="shared" si="38"/>
        <v>0</v>
      </c>
      <c r="W249" s="347">
        <f>IF(B249&gt;$C$76,0,$C$243+SUM($J$246:J249))</f>
        <v>17943472.2918</v>
      </c>
      <c r="X249" s="378">
        <f t="shared" si="39"/>
        <v>36062934.294859782</v>
      </c>
    </row>
    <row r="250" spans="1:24" s="540" customFormat="1" x14ac:dyDescent="0.45">
      <c r="A250" s="550"/>
      <c r="B250" s="344">
        <v>4</v>
      </c>
      <c r="C250" s="1038">
        <f t="shared" si="28"/>
        <v>0.13065912232037516</v>
      </c>
      <c r="D250" s="376">
        <f t="shared" si="29"/>
        <v>72285684.993195891</v>
      </c>
      <c r="E250" s="1038">
        <f t="shared" si="30"/>
        <v>4.3760672603652497E-2</v>
      </c>
      <c r="F250" s="376">
        <f t="shared" si="31"/>
        <v>-24210098.298086587</v>
      </c>
      <c r="G250" s="345">
        <v>0.1249</v>
      </c>
      <c r="H250" s="376">
        <f t="shared" si="22"/>
        <v>-19406080.580699999</v>
      </c>
      <c r="I250" s="345">
        <v>2.564E-2</v>
      </c>
      <c r="J250" s="376">
        <f t="shared" si="32"/>
        <v>-492154.15919999999</v>
      </c>
      <c r="K250" s="377">
        <f t="shared" si="23"/>
        <v>28177351.955209307</v>
      </c>
      <c r="L250" s="376">
        <f t="shared" si="24"/>
        <v>-7589996.9242855683</v>
      </c>
      <c r="M250" s="376">
        <f t="shared" si="25"/>
        <v>20587355.030923739</v>
      </c>
      <c r="N250" s="376">
        <f t="shared" si="26"/>
        <v>0</v>
      </c>
      <c r="O250" s="347">
        <f t="shared" si="33"/>
        <v>0</v>
      </c>
      <c r="P250" s="347">
        <f t="shared" si="34"/>
        <v>0</v>
      </c>
      <c r="Q250" s="347">
        <f t="shared" si="35"/>
        <v>0</v>
      </c>
      <c r="R250" s="376">
        <f t="shared" si="36"/>
        <v>-5743872.0536277229</v>
      </c>
      <c r="S250" s="376">
        <f t="shared" si="27"/>
        <v>10344068.186445465</v>
      </c>
      <c r="T250" s="376">
        <f t="shared" si="37"/>
        <v>222670.74373953044</v>
      </c>
      <c r="U250" s="376"/>
      <c r="V250" s="376">
        <f t="shared" si="38"/>
        <v>0</v>
      </c>
      <c r="W250" s="347">
        <f>IF(B250&gt;$C$76,0,$C$243+SUM($J$246:J250))</f>
        <v>17451318.132600002</v>
      </c>
      <c r="X250" s="378">
        <f t="shared" si="39"/>
        <v>34519046.973456487</v>
      </c>
    </row>
    <row r="251" spans="1:24" s="540" customFormat="1" x14ac:dyDescent="0.45">
      <c r="A251" s="550"/>
      <c r="B251" s="344">
        <v>5</v>
      </c>
      <c r="C251" s="1038">
        <f t="shared" si="28"/>
        <v>0.13353362301142341</v>
      </c>
      <c r="D251" s="376">
        <f t="shared" si="29"/>
        <v>73875970.063046202</v>
      </c>
      <c r="E251" s="1038">
        <f t="shared" si="30"/>
        <v>4.4723407400932849E-2</v>
      </c>
      <c r="F251" s="376">
        <f t="shared" si="31"/>
        <v>-24742720.460644491</v>
      </c>
      <c r="G251" s="345">
        <v>8.9300000000000004E-2</v>
      </c>
      <c r="H251" s="376">
        <f t="shared" si="22"/>
        <v>-13874803.809900001</v>
      </c>
      <c r="I251" s="345">
        <v>2.564E-2</v>
      </c>
      <c r="J251" s="376">
        <f t="shared" si="32"/>
        <v>-492154.15919999999</v>
      </c>
      <c r="K251" s="377">
        <f t="shared" si="23"/>
        <v>34766291.633301713</v>
      </c>
      <c r="L251" s="376">
        <f t="shared" si="24"/>
        <v>-7756976.8566198507</v>
      </c>
      <c r="M251" s="376">
        <f t="shared" si="25"/>
        <v>27009314.776681863</v>
      </c>
      <c r="N251" s="376">
        <f t="shared" si="26"/>
        <v>0</v>
      </c>
      <c r="O251" s="347">
        <f t="shared" si="33"/>
        <v>0</v>
      </c>
      <c r="P251" s="347">
        <f t="shared" si="34"/>
        <v>0</v>
      </c>
      <c r="Q251" s="347">
        <f t="shared" si="35"/>
        <v>0</v>
      </c>
      <c r="R251" s="376">
        <f t="shared" si="36"/>
        <v>-7535598.8226942392</v>
      </c>
      <c r="S251" s="376">
        <f t="shared" si="27"/>
        <v>10571637.686547264</v>
      </c>
      <c r="T251" s="376">
        <f t="shared" si="37"/>
        <v>227569.50010179915</v>
      </c>
      <c r="U251" s="376"/>
      <c r="V251" s="376">
        <f t="shared" si="38"/>
        <v>0</v>
      </c>
      <c r="W251" s="347">
        <f>IF(B251&gt;$C$76,0,$C$243+SUM($J$246:J251))</f>
        <v>16959163.9734</v>
      </c>
      <c r="X251" s="378">
        <f t="shared" si="39"/>
        <v>33613104.422985829</v>
      </c>
    </row>
    <row r="252" spans="1:24" s="540" customFormat="1" x14ac:dyDescent="0.45">
      <c r="A252" s="550"/>
      <c r="B252" s="344">
        <v>6</v>
      </c>
      <c r="C252" s="1038">
        <f t="shared" si="28"/>
        <v>0.13647136271767471</v>
      </c>
      <c r="D252" s="376">
        <f t="shared" si="29"/>
        <v>75501241.404433206</v>
      </c>
      <c r="E252" s="1038">
        <f t="shared" si="30"/>
        <v>4.5707322363753369E-2</v>
      </c>
      <c r="F252" s="376">
        <f t="shared" si="31"/>
        <v>-25287060.310778666</v>
      </c>
      <c r="G252" s="345">
        <v>8.9200000000000002E-2</v>
      </c>
      <c r="H252" s="376">
        <f t="shared" si="22"/>
        <v>-13859266.5156</v>
      </c>
      <c r="I252" s="345">
        <v>2.564E-2</v>
      </c>
      <c r="J252" s="376">
        <f t="shared" si="32"/>
        <v>-492154.15919999999</v>
      </c>
      <c r="K252" s="377">
        <f t="shared" si="23"/>
        <v>35862760.41885455</v>
      </c>
      <c r="L252" s="376">
        <f t="shared" si="24"/>
        <v>-7927630.3474654863</v>
      </c>
      <c r="M252" s="376">
        <f t="shared" si="25"/>
        <v>27935130.071389064</v>
      </c>
      <c r="N252" s="376">
        <f t="shared" si="26"/>
        <v>0</v>
      </c>
      <c r="O252" s="347">
        <f t="shared" si="33"/>
        <v>0</v>
      </c>
      <c r="P252" s="347">
        <f t="shared" si="34"/>
        <v>0</v>
      </c>
      <c r="Q252" s="347">
        <f t="shared" si="35"/>
        <v>0</v>
      </c>
      <c r="R252" s="376">
        <f t="shared" si="36"/>
        <v>-7793901.2899175482</v>
      </c>
      <c r="S252" s="376">
        <f t="shared" si="27"/>
        <v>10804213.715651305</v>
      </c>
      <c r="T252" s="376">
        <f t="shared" si="37"/>
        <v>232576.02910404094</v>
      </c>
      <c r="U252" s="376"/>
      <c r="V252" s="376">
        <f t="shared" si="38"/>
        <v>0</v>
      </c>
      <c r="W252" s="347">
        <f>IF(B252&gt;$C$76,0,$C$243+SUM($J$246:J252))</f>
        <v>16467009.814199999</v>
      </c>
      <c r="X252" s="378">
        <f t="shared" si="39"/>
        <v>34260073.427167475</v>
      </c>
    </row>
    <row r="253" spans="1:24" s="540" customFormat="1" x14ac:dyDescent="0.45">
      <c r="A253" s="550"/>
      <c r="B253" s="344">
        <v>7</v>
      </c>
      <c r="C253" s="1038">
        <f t="shared" si="28"/>
        <v>0.13947373269746358</v>
      </c>
      <c r="D253" s="376">
        <f t="shared" si="29"/>
        <v>77162268.71533075</v>
      </c>
      <c r="E253" s="1038">
        <f t="shared" si="30"/>
        <v>4.6712883455755944E-2</v>
      </c>
      <c r="F253" s="376">
        <f t="shared" si="31"/>
        <v>-25843375.6376158</v>
      </c>
      <c r="G253" s="345">
        <v>8.9300000000000004E-2</v>
      </c>
      <c r="H253" s="376">
        <f t="shared" si="22"/>
        <v>-13874803.809900001</v>
      </c>
      <c r="I253" s="345">
        <v>2.564E-2</v>
      </c>
      <c r="J253" s="376">
        <f t="shared" si="32"/>
        <v>-492154.15919999999</v>
      </c>
      <c r="K253" s="377">
        <f t="shared" si="23"/>
        <v>36951935.108614951</v>
      </c>
      <c r="L253" s="376">
        <f t="shared" si="24"/>
        <v>-8102038.2151097283</v>
      </c>
      <c r="M253" s="376">
        <f t="shared" si="25"/>
        <v>28849896.893505223</v>
      </c>
      <c r="N253" s="376">
        <f t="shared" si="26"/>
        <v>-2154614.0549999997</v>
      </c>
      <c r="O253" s="347">
        <f t="shared" si="33"/>
        <v>0</v>
      </c>
      <c r="P253" s="347">
        <f t="shared" si="34"/>
        <v>0</v>
      </c>
      <c r="Q253" s="347">
        <f t="shared" si="35"/>
        <v>0</v>
      </c>
      <c r="R253" s="376">
        <f t="shared" si="36"/>
        <v>-7447983.911942957</v>
      </c>
      <c r="S253" s="376">
        <f t="shared" si="27"/>
        <v>0</v>
      </c>
      <c r="T253" s="376">
        <f t="shared" si="37"/>
        <v>-10804213.715651305</v>
      </c>
      <c r="U253" s="376"/>
      <c r="V253" s="376">
        <f t="shared" si="38"/>
        <v>13820241.6</v>
      </c>
      <c r="W253" s="347">
        <f>IF(B253&gt;$C$76,0,$C$243+SUM($J$246:J253))</f>
        <v>15974855.654999999</v>
      </c>
      <c r="X253" s="378">
        <f t="shared" si="39"/>
        <v>60393326.266313568</v>
      </c>
    </row>
    <row r="254" spans="1:24" s="540" customFormat="1" x14ac:dyDescent="0.45">
      <c r="A254" s="550"/>
      <c r="B254" s="344">
        <v>8</v>
      </c>
      <c r="C254" s="1038">
        <f t="shared" si="28"/>
        <v>0</v>
      </c>
      <c r="D254" s="376">
        <f t="shared" si="29"/>
        <v>0</v>
      </c>
      <c r="E254" s="1038">
        <f t="shared" si="30"/>
        <v>0</v>
      </c>
      <c r="F254" s="376">
        <f t="shared" si="31"/>
        <v>0</v>
      </c>
      <c r="G254" s="345">
        <v>4.4600000000000001E-2</v>
      </c>
      <c r="H254" s="376">
        <f t="shared" si="22"/>
        <v>0</v>
      </c>
      <c r="I254" s="345">
        <v>2.564E-2</v>
      </c>
      <c r="J254" s="376">
        <f t="shared" si="32"/>
        <v>0</v>
      </c>
      <c r="K254" s="377">
        <f t="shared" si="23"/>
        <v>0</v>
      </c>
      <c r="L254" s="376">
        <f t="shared" si="24"/>
        <v>0</v>
      </c>
      <c r="M254" s="376">
        <f t="shared" si="25"/>
        <v>0</v>
      </c>
      <c r="N254" s="376">
        <f t="shared" si="26"/>
        <v>0</v>
      </c>
      <c r="O254" s="347">
        <f t="shared" si="33"/>
        <v>0</v>
      </c>
      <c r="P254" s="347">
        <f t="shared" si="34"/>
        <v>0</v>
      </c>
      <c r="Q254" s="347">
        <f t="shared" si="35"/>
        <v>0</v>
      </c>
      <c r="R254" s="376">
        <f t="shared" si="36"/>
        <v>0</v>
      </c>
      <c r="S254" s="376">
        <f t="shared" si="27"/>
        <v>0</v>
      </c>
      <c r="T254" s="376">
        <f t="shared" si="37"/>
        <v>0</v>
      </c>
      <c r="U254" s="376"/>
      <c r="V254" s="376">
        <f t="shared" si="38"/>
        <v>0</v>
      </c>
      <c r="W254" s="347">
        <f>IF(B254&gt;$C$76,0,$C$243+SUM($J$246:J254))</f>
        <v>0</v>
      </c>
      <c r="X254" s="378">
        <f t="shared" si="39"/>
        <v>0</v>
      </c>
    </row>
    <row r="255" spans="1:24" s="540" customFormat="1" x14ac:dyDescent="0.45">
      <c r="A255" s="550"/>
      <c r="B255" s="344">
        <v>9</v>
      </c>
      <c r="C255" s="1038">
        <f t="shared" si="28"/>
        <v>0</v>
      </c>
      <c r="D255" s="376">
        <f t="shared" si="29"/>
        <v>0</v>
      </c>
      <c r="E255" s="1038">
        <f t="shared" si="30"/>
        <v>0</v>
      </c>
      <c r="F255" s="376">
        <f t="shared" si="31"/>
        <v>0</v>
      </c>
      <c r="G255" s="345">
        <v>0</v>
      </c>
      <c r="H255" s="376">
        <f t="shared" si="22"/>
        <v>0</v>
      </c>
      <c r="I255" s="345">
        <v>2.564E-2</v>
      </c>
      <c r="J255" s="376">
        <f t="shared" si="32"/>
        <v>0</v>
      </c>
      <c r="K255" s="377">
        <f t="shared" si="23"/>
        <v>0</v>
      </c>
      <c r="L255" s="376">
        <f t="shared" si="24"/>
        <v>0</v>
      </c>
      <c r="M255" s="376">
        <f t="shared" si="25"/>
        <v>0</v>
      </c>
      <c r="N255" s="376">
        <f t="shared" si="26"/>
        <v>0</v>
      </c>
      <c r="O255" s="347">
        <f t="shared" si="33"/>
        <v>0</v>
      </c>
      <c r="P255" s="347">
        <f t="shared" si="34"/>
        <v>0</v>
      </c>
      <c r="Q255" s="347">
        <f t="shared" si="35"/>
        <v>0</v>
      </c>
      <c r="R255" s="376">
        <f t="shared" si="36"/>
        <v>0</v>
      </c>
      <c r="S255" s="376">
        <f t="shared" si="27"/>
        <v>0</v>
      </c>
      <c r="T255" s="376">
        <f t="shared" si="37"/>
        <v>0</v>
      </c>
      <c r="U255" s="376"/>
      <c r="V255" s="376">
        <f t="shared" si="38"/>
        <v>0</v>
      </c>
      <c r="W255" s="347">
        <f>IF(B255&gt;$C$76,0,$C$243+SUM($J$246:J255))</f>
        <v>0</v>
      </c>
      <c r="X255" s="378">
        <f t="shared" si="39"/>
        <v>0</v>
      </c>
    </row>
    <row r="256" spans="1:24" s="540" customFormat="1" x14ac:dyDescent="0.45">
      <c r="A256" s="550"/>
      <c r="B256" s="344">
        <v>10</v>
      </c>
      <c r="C256" s="1038">
        <f t="shared" si="28"/>
        <v>0</v>
      </c>
      <c r="D256" s="376">
        <f t="shared" si="29"/>
        <v>0</v>
      </c>
      <c r="E256" s="1038">
        <f t="shared" si="30"/>
        <v>0</v>
      </c>
      <c r="F256" s="376">
        <f t="shared" si="31"/>
        <v>0</v>
      </c>
      <c r="G256" s="345">
        <v>0</v>
      </c>
      <c r="H256" s="376">
        <f t="shared" si="22"/>
        <v>0</v>
      </c>
      <c r="I256" s="345">
        <v>2.564E-2</v>
      </c>
      <c r="J256" s="376">
        <f t="shared" si="32"/>
        <v>0</v>
      </c>
      <c r="K256" s="377">
        <f t="shared" si="23"/>
        <v>0</v>
      </c>
      <c r="L256" s="376">
        <f t="shared" si="24"/>
        <v>0</v>
      </c>
      <c r="M256" s="376">
        <f t="shared" si="25"/>
        <v>0</v>
      </c>
      <c r="N256" s="376">
        <f t="shared" si="26"/>
        <v>0</v>
      </c>
      <c r="O256" s="347">
        <f t="shared" si="33"/>
        <v>0</v>
      </c>
      <c r="P256" s="347">
        <f t="shared" si="34"/>
        <v>0</v>
      </c>
      <c r="Q256" s="347">
        <f t="shared" si="35"/>
        <v>0</v>
      </c>
      <c r="R256" s="376">
        <f t="shared" si="36"/>
        <v>0</v>
      </c>
      <c r="S256" s="376">
        <f t="shared" si="27"/>
        <v>0</v>
      </c>
      <c r="T256" s="376">
        <f t="shared" si="37"/>
        <v>0</v>
      </c>
      <c r="U256" s="376"/>
      <c r="V256" s="376">
        <f t="shared" si="38"/>
        <v>0</v>
      </c>
      <c r="W256" s="347">
        <f>IF(B256&gt;$C$76,0,$C$243+SUM($J$246:J256))</f>
        <v>0</v>
      </c>
      <c r="X256" s="378">
        <f t="shared" si="39"/>
        <v>0</v>
      </c>
    </row>
    <row r="257" spans="1:24" s="540" customFormat="1" x14ac:dyDescent="0.45">
      <c r="A257" s="550"/>
      <c r="B257" s="344">
        <v>11</v>
      </c>
      <c r="C257" s="1038">
        <f t="shared" si="28"/>
        <v>0</v>
      </c>
      <c r="D257" s="376">
        <f t="shared" si="29"/>
        <v>0</v>
      </c>
      <c r="E257" s="1038">
        <f t="shared" si="30"/>
        <v>0</v>
      </c>
      <c r="F257" s="376">
        <f t="shared" si="31"/>
        <v>0</v>
      </c>
      <c r="G257" s="345">
        <v>0</v>
      </c>
      <c r="H257" s="376">
        <f t="shared" si="22"/>
        <v>0</v>
      </c>
      <c r="I257" s="345">
        <v>2.564E-2</v>
      </c>
      <c r="J257" s="376">
        <f t="shared" si="32"/>
        <v>0</v>
      </c>
      <c r="K257" s="377">
        <f t="shared" si="23"/>
        <v>0</v>
      </c>
      <c r="L257" s="376">
        <f t="shared" si="24"/>
        <v>0</v>
      </c>
      <c r="M257" s="376">
        <f t="shared" si="25"/>
        <v>0</v>
      </c>
      <c r="N257" s="376">
        <f t="shared" si="26"/>
        <v>0</v>
      </c>
      <c r="O257" s="347">
        <f t="shared" si="33"/>
        <v>0</v>
      </c>
      <c r="P257" s="347">
        <f t="shared" si="34"/>
        <v>0</v>
      </c>
      <c r="Q257" s="347">
        <f t="shared" si="35"/>
        <v>0</v>
      </c>
      <c r="R257" s="376">
        <f t="shared" si="36"/>
        <v>0</v>
      </c>
      <c r="S257" s="376">
        <f t="shared" si="27"/>
        <v>0</v>
      </c>
      <c r="T257" s="376">
        <f t="shared" si="37"/>
        <v>0</v>
      </c>
      <c r="U257" s="376"/>
      <c r="V257" s="376">
        <f t="shared" si="38"/>
        <v>0</v>
      </c>
      <c r="W257" s="347">
        <f>IF(B257&gt;$C$76,0,$C$243+SUM($J$246:J257))</f>
        <v>0</v>
      </c>
      <c r="X257" s="378">
        <f t="shared" si="39"/>
        <v>0</v>
      </c>
    </row>
    <row r="258" spans="1:24" s="540" customFormat="1" x14ac:dyDescent="0.45">
      <c r="A258" s="550"/>
      <c r="B258" s="344">
        <v>12</v>
      </c>
      <c r="C258" s="1038">
        <f t="shared" si="28"/>
        <v>0</v>
      </c>
      <c r="D258" s="376">
        <f t="shared" si="29"/>
        <v>0</v>
      </c>
      <c r="E258" s="1038">
        <f t="shared" si="30"/>
        <v>0</v>
      </c>
      <c r="F258" s="376">
        <f t="shared" si="31"/>
        <v>0</v>
      </c>
      <c r="G258" s="345">
        <v>0</v>
      </c>
      <c r="H258" s="376">
        <f t="shared" si="22"/>
        <v>0</v>
      </c>
      <c r="I258" s="345">
        <v>2.564E-2</v>
      </c>
      <c r="J258" s="376">
        <f t="shared" si="32"/>
        <v>0</v>
      </c>
      <c r="K258" s="377">
        <f t="shared" si="23"/>
        <v>0</v>
      </c>
      <c r="L258" s="376">
        <f t="shared" si="24"/>
        <v>0</v>
      </c>
      <c r="M258" s="376">
        <f t="shared" si="25"/>
        <v>0</v>
      </c>
      <c r="N258" s="376">
        <f t="shared" si="26"/>
        <v>0</v>
      </c>
      <c r="O258" s="347">
        <f t="shared" si="33"/>
        <v>0</v>
      </c>
      <c r="P258" s="347">
        <f t="shared" si="34"/>
        <v>0</v>
      </c>
      <c r="Q258" s="347">
        <f t="shared" si="35"/>
        <v>0</v>
      </c>
      <c r="R258" s="376">
        <f t="shared" si="36"/>
        <v>0</v>
      </c>
      <c r="S258" s="376">
        <f t="shared" si="27"/>
        <v>0</v>
      </c>
      <c r="T258" s="376">
        <f t="shared" si="37"/>
        <v>0</v>
      </c>
      <c r="U258" s="376"/>
      <c r="V258" s="376">
        <f t="shared" si="38"/>
        <v>0</v>
      </c>
      <c r="W258" s="347">
        <f>IF(B258&gt;$C$76,0,$C$243+SUM($J$246:J258))</f>
        <v>0</v>
      </c>
      <c r="X258" s="378">
        <f t="shared" si="39"/>
        <v>0</v>
      </c>
    </row>
    <row r="259" spans="1:24" s="540" customFormat="1" x14ac:dyDescent="0.45">
      <c r="A259" s="550"/>
      <c r="B259" s="344">
        <v>13</v>
      </c>
      <c r="C259" s="1038">
        <f t="shared" si="28"/>
        <v>0</v>
      </c>
      <c r="D259" s="376">
        <f t="shared" si="29"/>
        <v>0</v>
      </c>
      <c r="E259" s="1038">
        <f t="shared" si="30"/>
        <v>0</v>
      </c>
      <c r="F259" s="376">
        <f t="shared" si="31"/>
        <v>0</v>
      </c>
      <c r="G259" s="345">
        <v>0</v>
      </c>
      <c r="H259" s="376">
        <f t="shared" si="22"/>
        <v>0</v>
      </c>
      <c r="I259" s="345">
        <v>2.564E-2</v>
      </c>
      <c r="J259" s="376">
        <f t="shared" si="32"/>
        <v>0</v>
      </c>
      <c r="K259" s="377">
        <f t="shared" si="23"/>
        <v>0</v>
      </c>
      <c r="L259" s="376">
        <f t="shared" si="24"/>
        <v>0</v>
      </c>
      <c r="M259" s="376">
        <f t="shared" si="25"/>
        <v>0</v>
      </c>
      <c r="N259" s="376">
        <f t="shared" si="26"/>
        <v>0</v>
      </c>
      <c r="O259" s="347">
        <f t="shared" si="33"/>
        <v>0</v>
      </c>
      <c r="P259" s="347">
        <f t="shared" si="34"/>
        <v>0</v>
      </c>
      <c r="Q259" s="347">
        <f t="shared" si="35"/>
        <v>0</v>
      </c>
      <c r="R259" s="376">
        <f t="shared" si="36"/>
        <v>0</v>
      </c>
      <c r="S259" s="376">
        <f t="shared" si="27"/>
        <v>0</v>
      </c>
      <c r="T259" s="376">
        <f t="shared" si="37"/>
        <v>0</v>
      </c>
      <c r="U259" s="376"/>
      <c r="V259" s="376">
        <f t="shared" si="38"/>
        <v>0</v>
      </c>
      <c r="W259" s="347">
        <f>IF(B259&gt;$C$76,0,$C$243+SUM($J$246:J259))</f>
        <v>0</v>
      </c>
      <c r="X259" s="378">
        <f t="shared" si="39"/>
        <v>0</v>
      </c>
    </row>
    <row r="260" spans="1:24" s="540" customFormat="1" x14ac:dyDescent="0.45">
      <c r="A260" s="550"/>
      <c r="B260" s="344">
        <v>14</v>
      </c>
      <c r="C260" s="1038">
        <f t="shared" si="28"/>
        <v>0</v>
      </c>
      <c r="D260" s="376">
        <f t="shared" si="29"/>
        <v>0</v>
      </c>
      <c r="E260" s="1038">
        <f t="shared" si="30"/>
        <v>0</v>
      </c>
      <c r="F260" s="376">
        <f t="shared" si="31"/>
        <v>0</v>
      </c>
      <c r="G260" s="345">
        <v>0</v>
      </c>
      <c r="H260" s="376">
        <f t="shared" si="22"/>
        <v>0</v>
      </c>
      <c r="I260" s="345">
        <v>2.564E-2</v>
      </c>
      <c r="J260" s="376">
        <f t="shared" si="32"/>
        <v>0</v>
      </c>
      <c r="K260" s="377">
        <f t="shared" si="23"/>
        <v>0</v>
      </c>
      <c r="L260" s="376">
        <f t="shared" si="24"/>
        <v>0</v>
      </c>
      <c r="M260" s="376">
        <f t="shared" si="25"/>
        <v>0</v>
      </c>
      <c r="N260" s="376">
        <f t="shared" si="26"/>
        <v>0</v>
      </c>
      <c r="O260" s="347">
        <f t="shared" si="33"/>
        <v>0</v>
      </c>
      <c r="P260" s="347">
        <f t="shared" si="34"/>
        <v>0</v>
      </c>
      <c r="Q260" s="347">
        <f t="shared" si="35"/>
        <v>0</v>
      </c>
      <c r="R260" s="376">
        <f t="shared" si="36"/>
        <v>0</v>
      </c>
      <c r="S260" s="376">
        <f t="shared" si="27"/>
        <v>0</v>
      </c>
      <c r="T260" s="376">
        <f t="shared" si="37"/>
        <v>0</v>
      </c>
      <c r="U260" s="376"/>
      <c r="V260" s="376">
        <f t="shared" si="38"/>
        <v>0</v>
      </c>
      <c r="W260" s="347">
        <f>IF(B260&gt;$C$76,0,$C$243+SUM($J$246:J260))</f>
        <v>0</v>
      </c>
      <c r="X260" s="378">
        <f t="shared" si="39"/>
        <v>0</v>
      </c>
    </row>
    <row r="261" spans="1:24" s="540" customFormat="1" x14ac:dyDescent="0.45">
      <c r="A261" s="550"/>
      <c r="B261" s="344">
        <v>15</v>
      </c>
      <c r="C261" s="1038">
        <f t="shared" si="28"/>
        <v>0</v>
      </c>
      <c r="D261" s="376">
        <f t="shared" si="29"/>
        <v>0</v>
      </c>
      <c r="E261" s="1038">
        <f t="shared" si="30"/>
        <v>0</v>
      </c>
      <c r="F261" s="376">
        <f t="shared" si="31"/>
        <v>0</v>
      </c>
      <c r="G261" s="345">
        <v>0</v>
      </c>
      <c r="H261" s="376">
        <f t="shared" si="22"/>
        <v>0</v>
      </c>
      <c r="I261" s="345">
        <v>2.564E-2</v>
      </c>
      <c r="J261" s="376">
        <f t="shared" si="32"/>
        <v>0</v>
      </c>
      <c r="K261" s="377">
        <f t="shared" si="23"/>
        <v>0</v>
      </c>
      <c r="L261" s="376">
        <f t="shared" si="24"/>
        <v>0</v>
      </c>
      <c r="M261" s="376">
        <f t="shared" si="25"/>
        <v>0</v>
      </c>
      <c r="N261" s="376">
        <f t="shared" si="26"/>
        <v>0</v>
      </c>
      <c r="O261" s="347">
        <f t="shared" si="33"/>
        <v>0</v>
      </c>
      <c r="P261" s="347">
        <f t="shared" si="34"/>
        <v>0</v>
      </c>
      <c r="Q261" s="347">
        <f t="shared" si="35"/>
        <v>0</v>
      </c>
      <c r="R261" s="376">
        <f t="shared" si="36"/>
        <v>0</v>
      </c>
      <c r="S261" s="376">
        <f t="shared" si="27"/>
        <v>0</v>
      </c>
      <c r="T261" s="376">
        <f t="shared" si="37"/>
        <v>0</v>
      </c>
      <c r="U261" s="376"/>
      <c r="V261" s="376">
        <f t="shared" si="38"/>
        <v>0</v>
      </c>
      <c r="W261" s="347">
        <f>IF(B261&gt;$C$76,0,$C$243+SUM($J$246:J261))</f>
        <v>0</v>
      </c>
      <c r="X261" s="378">
        <f t="shared" si="39"/>
        <v>0</v>
      </c>
    </row>
    <row r="262" spans="1:24" s="540" customFormat="1" x14ac:dyDescent="0.45">
      <c r="A262" s="550"/>
      <c r="B262" s="344">
        <v>16</v>
      </c>
      <c r="C262" s="1038">
        <f t="shared" si="28"/>
        <v>0</v>
      </c>
      <c r="D262" s="376">
        <f t="shared" si="29"/>
        <v>0</v>
      </c>
      <c r="E262" s="1038">
        <f t="shared" si="30"/>
        <v>0</v>
      </c>
      <c r="F262" s="376">
        <f t="shared" si="31"/>
        <v>0</v>
      </c>
      <c r="G262" s="345">
        <v>0</v>
      </c>
      <c r="H262" s="376">
        <f t="shared" si="22"/>
        <v>0</v>
      </c>
      <c r="I262" s="345">
        <v>2.564E-2</v>
      </c>
      <c r="J262" s="376">
        <f t="shared" si="32"/>
        <v>0</v>
      </c>
      <c r="K262" s="377">
        <f t="shared" si="23"/>
        <v>0</v>
      </c>
      <c r="L262" s="376">
        <f t="shared" si="24"/>
        <v>0</v>
      </c>
      <c r="M262" s="376">
        <f t="shared" si="25"/>
        <v>0</v>
      </c>
      <c r="N262" s="376">
        <f t="shared" si="26"/>
        <v>0</v>
      </c>
      <c r="O262" s="347">
        <f t="shared" si="33"/>
        <v>0</v>
      </c>
      <c r="P262" s="347">
        <f t="shared" si="34"/>
        <v>0</v>
      </c>
      <c r="Q262" s="347">
        <f t="shared" si="35"/>
        <v>0</v>
      </c>
      <c r="R262" s="376">
        <f t="shared" si="36"/>
        <v>0</v>
      </c>
      <c r="S262" s="376">
        <f t="shared" si="27"/>
        <v>0</v>
      </c>
      <c r="T262" s="376">
        <f t="shared" si="37"/>
        <v>0</v>
      </c>
      <c r="U262" s="376"/>
      <c r="V262" s="376">
        <f t="shared" si="38"/>
        <v>0</v>
      </c>
      <c r="W262" s="347">
        <f>IF(B262&gt;$C$76,0,$C$243+SUM($J$246:J262))</f>
        <v>0</v>
      </c>
      <c r="X262" s="378">
        <f t="shared" si="39"/>
        <v>0</v>
      </c>
    </row>
    <row r="263" spans="1:24" s="540" customFormat="1" x14ac:dyDescent="0.45">
      <c r="A263" s="550"/>
      <c r="B263" s="344">
        <v>17</v>
      </c>
      <c r="C263" s="1038">
        <f t="shared" si="28"/>
        <v>0</v>
      </c>
      <c r="D263" s="376">
        <f t="shared" si="29"/>
        <v>0</v>
      </c>
      <c r="E263" s="1038">
        <f t="shared" si="30"/>
        <v>0</v>
      </c>
      <c r="F263" s="376">
        <f t="shared" si="31"/>
        <v>0</v>
      </c>
      <c r="G263" s="345">
        <v>0</v>
      </c>
      <c r="H263" s="376">
        <f t="shared" si="22"/>
        <v>0</v>
      </c>
      <c r="I263" s="345">
        <v>2.564E-2</v>
      </c>
      <c r="J263" s="376">
        <f t="shared" si="32"/>
        <v>0</v>
      </c>
      <c r="K263" s="377">
        <f t="shared" si="23"/>
        <v>0</v>
      </c>
      <c r="L263" s="376">
        <f t="shared" si="24"/>
        <v>0</v>
      </c>
      <c r="M263" s="376">
        <f t="shared" si="25"/>
        <v>0</v>
      </c>
      <c r="N263" s="376">
        <f t="shared" si="26"/>
        <v>0</v>
      </c>
      <c r="O263" s="347">
        <f t="shared" si="33"/>
        <v>0</v>
      </c>
      <c r="P263" s="347">
        <f t="shared" si="34"/>
        <v>0</v>
      </c>
      <c r="Q263" s="347">
        <f t="shared" si="35"/>
        <v>0</v>
      </c>
      <c r="R263" s="376">
        <f t="shared" si="36"/>
        <v>0</v>
      </c>
      <c r="S263" s="376">
        <f t="shared" si="27"/>
        <v>0</v>
      </c>
      <c r="T263" s="376">
        <f t="shared" si="37"/>
        <v>0</v>
      </c>
      <c r="U263" s="376"/>
      <c r="V263" s="376">
        <f t="shared" si="38"/>
        <v>0</v>
      </c>
      <c r="W263" s="347">
        <f>IF(B263&gt;$C$76,0,$C$243+SUM($J$246:J263))</f>
        <v>0</v>
      </c>
      <c r="X263" s="378">
        <f t="shared" si="39"/>
        <v>0</v>
      </c>
    </row>
    <row r="264" spans="1:24" s="540" customFormat="1" x14ac:dyDescent="0.45">
      <c r="A264" s="550"/>
      <c r="B264" s="344">
        <v>18</v>
      </c>
      <c r="C264" s="1038">
        <f t="shared" si="28"/>
        <v>0</v>
      </c>
      <c r="D264" s="376">
        <f t="shared" si="29"/>
        <v>0</v>
      </c>
      <c r="E264" s="1038">
        <f t="shared" si="30"/>
        <v>0</v>
      </c>
      <c r="F264" s="376">
        <f t="shared" si="31"/>
        <v>0</v>
      </c>
      <c r="G264" s="345">
        <v>0</v>
      </c>
      <c r="H264" s="376">
        <f t="shared" si="22"/>
        <v>0</v>
      </c>
      <c r="I264" s="345">
        <v>2.564E-2</v>
      </c>
      <c r="J264" s="376">
        <f t="shared" si="32"/>
        <v>0</v>
      </c>
      <c r="K264" s="377">
        <f t="shared" si="23"/>
        <v>0</v>
      </c>
      <c r="L264" s="376">
        <f t="shared" si="24"/>
        <v>0</v>
      </c>
      <c r="M264" s="376">
        <f t="shared" si="25"/>
        <v>0</v>
      </c>
      <c r="N264" s="376">
        <f t="shared" si="26"/>
        <v>0</v>
      </c>
      <c r="O264" s="347">
        <f t="shared" si="33"/>
        <v>0</v>
      </c>
      <c r="P264" s="347">
        <f t="shared" si="34"/>
        <v>0</v>
      </c>
      <c r="Q264" s="347">
        <f t="shared" si="35"/>
        <v>0</v>
      </c>
      <c r="R264" s="376">
        <f t="shared" si="36"/>
        <v>0</v>
      </c>
      <c r="S264" s="376">
        <f t="shared" si="27"/>
        <v>0</v>
      </c>
      <c r="T264" s="376">
        <f t="shared" si="37"/>
        <v>0</v>
      </c>
      <c r="U264" s="376"/>
      <c r="V264" s="376">
        <f t="shared" si="38"/>
        <v>0</v>
      </c>
      <c r="W264" s="347">
        <f>IF(B264&gt;$C$76,0,$C$243+SUM($J$246:J264))</f>
        <v>0</v>
      </c>
      <c r="X264" s="378">
        <f t="shared" si="39"/>
        <v>0</v>
      </c>
    </row>
    <row r="265" spans="1:24" s="540" customFormat="1" x14ac:dyDescent="0.45">
      <c r="A265" s="550"/>
      <c r="B265" s="344">
        <v>19</v>
      </c>
      <c r="C265" s="1038">
        <f t="shared" si="28"/>
        <v>0</v>
      </c>
      <c r="D265" s="376">
        <f t="shared" si="29"/>
        <v>0</v>
      </c>
      <c r="E265" s="1038">
        <f t="shared" si="30"/>
        <v>0</v>
      </c>
      <c r="F265" s="376">
        <f t="shared" si="31"/>
        <v>0</v>
      </c>
      <c r="G265" s="345">
        <v>0</v>
      </c>
      <c r="H265" s="376">
        <f t="shared" si="22"/>
        <v>0</v>
      </c>
      <c r="I265" s="345">
        <v>2.564E-2</v>
      </c>
      <c r="J265" s="376">
        <f t="shared" si="32"/>
        <v>0</v>
      </c>
      <c r="K265" s="377">
        <f t="shared" si="23"/>
        <v>0</v>
      </c>
      <c r="L265" s="376">
        <f t="shared" si="24"/>
        <v>0</v>
      </c>
      <c r="M265" s="376">
        <f t="shared" si="25"/>
        <v>0</v>
      </c>
      <c r="N265" s="376">
        <f t="shared" si="26"/>
        <v>0</v>
      </c>
      <c r="O265" s="347">
        <f t="shared" si="33"/>
        <v>0</v>
      </c>
      <c r="P265" s="347">
        <f t="shared" si="34"/>
        <v>0</v>
      </c>
      <c r="Q265" s="347">
        <f t="shared" si="35"/>
        <v>0</v>
      </c>
      <c r="R265" s="376">
        <f t="shared" si="36"/>
        <v>0</v>
      </c>
      <c r="S265" s="376">
        <f t="shared" si="27"/>
        <v>0</v>
      </c>
      <c r="T265" s="376">
        <f t="shared" si="37"/>
        <v>0</v>
      </c>
      <c r="U265" s="376"/>
      <c r="V265" s="376">
        <f t="shared" si="38"/>
        <v>0</v>
      </c>
      <c r="W265" s="347">
        <f>IF(B265&gt;$C$76,0,$C$243+SUM($J$246:J265))</f>
        <v>0</v>
      </c>
      <c r="X265" s="378">
        <f t="shared" si="39"/>
        <v>0</v>
      </c>
    </row>
    <row r="266" spans="1:24" s="540" customFormat="1" x14ac:dyDescent="0.45">
      <c r="A266" s="550"/>
      <c r="B266" s="344">
        <v>20</v>
      </c>
      <c r="C266" s="1038">
        <f t="shared" si="28"/>
        <v>0</v>
      </c>
      <c r="D266" s="376">
        <f t="shared" si="29"/>
        <v>0</v>
      </c>
      <c r="E266" s="1038">
        <f t="shared" si="30"/>
        <v>0</v>
      </c>
      <c r="F266" s="376">
        <f t="shared" si="31"/>
        <v>0</v>
      </c>
      <c r="G266" s="345">
        <v>0</v>
      </c>
      <c r="H266" s="376">
        <f t="shared" si="22"/>
        <v>0</v>
      </c>
      <c r="I266" s="345">
        <v>2.564E-2</v>
      </c>
      <c r="J266" s="376">
        <f t="shared" si="32"/>
        <v>0</v>
      </c>
      <c r="K266" s="377">
        <f t="shared" si="23"/>
        <v>0</v>
      </c>
      <c r="L266" s="376">
        <f t="shared" si="24"/>
        <v>0</v>
      </c>
      <c r="M266" s="376">
        <f t="shared" si="25"/>
        <v>0</v>
      </c>
      <c r="N266" s="376">
        <f t="shared" si="26"/>
        <v>0</v>
      </c>
      <c r="O266" s="347">
        <f t="shared" si="33"/>
        <v>0</v>
      </c>
      <c r="P266" s="347">
        <f t="shared" si="34"/>
        <v>0</v>
      </c>
      <c r="Q266" s="347">
        <f t="shared" si="35"/>
        <v>0</v>
      </c>
      <c r="R266" s="376">
        <f t="shared" si="36"/>
        <v>0</v>
      </c>
      <c r="S266" s="376">
        <f t="shared" si="27"/>
        <v>0</v>
      </c>
      <c r="T266" s="376">
        <f t="shared" si="37"/>
        <v>0</v>
      </c>
      <c r="U266" s="376"/>
      <c r="V266" s="376">
        <f t="shared" si="38"/>
        <v>0</v>
      </c>
      <c r="W266" s="347">
        <f>IF(B266&gt;$C$76,0,$C$243+SUM($J$246:J266))</f>
        <v>0</v>
      </c>
      <c r="X266" s="378">
        <f t="shared" si="39"/>
        <v>0</v>
      </c>
    </row>
    <row r="267" spans="1:24" s="540" customFormat="1" x14ac:dyDescent="0.45">
      <c r="A267" s="550"/>
      <c r="B267" s="344"/>
      <c r="C267" s="1038"/>
      <c r="D267" s="349"/>
      <c r="E267" s="345"/>
      <c r="F267" s="349"/>
      <c r="G267" s="345"/>
      <c r="H267" s="349"/>
      <c r="I267" s="345"/>
      <c r="J267" s="349"/>
      <c r="K267" s="349"/>
      <c r="L267" s="349"/>
      <c r="M267" s="349"/>
      <c r="N267" s="345"/>
      <c r="O267" s="345"/>
      <c r="P267" s="345"/>
      <c r="Q267" s="345"/>
      <c r="R267" s="349"/>
      <c r="S267" s="349"/>
      <c r="T267" s="345"/>
      <c r="U267" s="345"/>
      <c r="V267" s="345"/>
      <c r="W267" s="348" t="s">
        <v>158</v>
      </c>
      <c r="X267" s="353">
        <f>NPV($C$201,X247:X266)+X246</f>
        <v>0</v>
      </c>
    </row>
    <row r="268" spans="1:24" s="540" customFormat="1" x14ac:dyDescent="0.45">
      <c r="A268" s="550"/>
      <c r="B268" s="344"/>
      <c r="C268" s="1038"/>
      <c r="D268" s="360"/>
      <c r="E268" s="345"/>
      <c r="F268" s="360"/>
      <c r="G268" s="345"/>
      <c r="H268" s="360"/>
      <c r="I268" s="345"/>
      <c r="J268" s="360"/>
      <c r="K268" s="360"/>
      <c r="L268" s="360"/>
      <c r="M268" s="360"/>
      <c r="N268" s="345"/>
      <c r="O268" s="345"/>
      <c r="P268" s="345"/>
      <c r="Q268" s="345"/>
      <c r="R268" s="360"/>
      <c r="S268" s="360"/>
      <c r="T268" s="345"/>
      <c r="U268" s="345"/>
      <c r="V268" s="345"/>
      <c r="W268" s="348" t="s">
        <v>134</v>
      </c>
      <c r="X268" s="837">
        <f>IRR(X246:X266,0.1)</f>
        <v>0.10000000000000009</v>
      </c>
    </row>
    <row r="269" spans="1:24" s="540" customFormat="1" x14ac:dyDescent="0.45">
      <c r="A269" s="550"/>
      <c r="B269" s="344"/>
      <c r="C269" s="1038"/>
      <c r="D269" s="828"/>
      <c r="E269" s="345"/>
      <c r="F269" s="345"/>
      <c r="G269" s="345"/>
      <c r="H269" s="345"/>
      <c r="I269" s="345"/>
      <c r="J269" s="348"/>
      <c r="K269" s="345"/>
      <c r="L269" s="345"/>
      <c r="M269" s="345"/>
      <c r="N269" s="345"/>
      <c r="O269" s="345"/>
      <c r="P269" s="345"/>
      <c r="Q269" s="345"/>
      <c r="R269" s="345"/>
      <c r="S269" s="345"/>
      <c r="T269" s="345"/>
      <c r="U269" s="345"/>
      <c r="V269" s="345"/>
      <c r="W269" s="345"/>
      <c r="X269" s="346"/>
    </row>
    <row r="270" spans="1:24" s="540" customFormat="1" x14ac:dyDescent="0.45">
      <c r="A270" s="550"/>
      <c r="B270" s="357" t="s">
        <v>31</v>
      </c>
      <c r="C270" s="1038"/>
      <c r="D270" s="358"/>
      <c r="E270" s="345"/>
      <c r="F270" s="348"/>
      <c r="G270" s="345"/>
      <c r="H270" s="345"/>
      <c r="I270" s="345"/>
      <c r="J270" s="345"/>
      <c r="K270" s="345"/>
      <c r="L270" s="345"/>
      <c r="M270" s="345"/>
      <c r="N270" s="345"/>
      <c r="O270" s="345"/>
      <c r="P270" s="345"/>
      <c r="Q270" s="345"/>
      <c r="R270" s="345"/>
      <c r="S270" s="345"/>
      <c r="T270" s="345"/>
      <c r="U270" s="345"/>
      <c r="V270" s="345"/>
      <c r="W270" s="345"/>
      <c r="X270" s="346"/>
    </row>
    <row r="271" spans="1:24" s="540" customFormat="1" x14ac:dyDescent="0.45">
      <c r="A271" s="550"/>
      <c r="B271" s="344" t="s">
        <v>272</v>
      </c>
      <c r="C271" s="832">
        <f>$D$84*$C$77</f>
        <v>82981800</v>
      </c>
      <c r="D271" s="345" t="s">
        <v>1</v>
      </c>
      <c r="E271" s="345"/>
      <c r="F271" s="345"/>
      <c r="G271" s="345"/>
      <c r="H271" s="345"/>
      <c r="I271" s="345"/>
      <c r="J271" s="345"/>
      <c r="K271" s="345"/>
      <c r="L271" s="345"/>
      <c r="M271" s="345"/>
      <c r="N271" s="345"/>
      <c r="O271" s="345"/>
      <c r="P271" s="345"/>
      <c r="Q271" s="345"/>
      <c r="R271" s="345"/>
      <c r="S271" s="345"/>
      <c r="T271" s="345"/>
      <c r="U271" s="345"/>
      <c r="V271" s="345"/>
      <c r="W271" s="345"/>
      <c r="X271" s="346"/>
    </row>
    <row r="272" spans="1:24" s="540" customFormat="1" x14ac:dyDescent="0.45">
      <c r="A272" s="550"/>
      <c r="B272" s="344" t="s">
        <v>273</v>
      </c>
      <c r="C272" s="832">
        <f>$E$84*$C$79</f>
        <v>12296394</v>
      </c>
      <c r="D272" s="345" t="s">
        <v>1</v>
      </c>
      <c r="E272" s="345"/>
      <c r="F272" s="345"/>
      <c r="G272" s="347"/>
      <c r="H272" s="345"/>
      <c r="I272" s="345"/>
      <c r="J272" s="345"/>
      <c r="K272" s="345"/>
      <c r="L272" s="345"/>
      <c r="M272" s="345"/>
      <c r="N272" s="345"/>
      <c r="O272" s="345"/>
      <c r="P272" s="345"/>
      <c r="Q272" s="345"/>
      <c r="R272" s="345"/>
      <c r="S272" s="345"/>
      <c r="T272" s="345"/>
      <c r="U272" s="345"/>
      <c r="V272" s="345"/>
      <c r="W272" s="345"/>
      <c r="X272" s="346"/>
    </row>
    <row r="273" spans="1:24" s="540" customFormat="1" x14ac:dyDescent="0.45">
      <c r="A273" s="550"/>
      <c r="B273" s="829"/>
      <c r="C273" s="1038"/>
      <c r="D273" s="358"/>
      <c r="E273" s="345"/>
      <c r="F273" s="348"/>
      <c r="G273" s="345"/>
      <c r="H273" s="345"/>
      <c r="I273" s="345"/>
      <c r="J273" s="345"/>
      <c r="K273" s="345"/>
      <c r="L273" s="345"/>
      <c r="M273" s="345"/>
      <c r="N273" s="345"/>
      <c r="O273" s="345"/>
      <c r="P273" s="345"/>
      <c r="Q273" s="345"/>
      <c r="R273" s="345"/>
      <c r="S273" s="345"/>
      <c r="T273" s="345"/>
      <c r="U273" s="345"/>
      <c r="V273" s="345"/>
      <c r="W273" s="345"/>
      <c r="X273" s="346"/>
    </row>
    <row r="274" spans="1:24" s="540" customFormat="1" x14ac:dyDescent="0.45">
      <c r="A274" s="550"/>
      <c r="B274" s="354" t="s">
        <v>27</v>
      </c>
      <c r="C274" s="1040" t="s">
        <v>379</v>
      </c>
      <c r="D274" s="355" t="s">
        <v>128</v>
      </c>
      <c r="E274" s="355" t="s">
        <v>380</v>
      </c>
      <c r="F274" s="355" t="s">
        <v>245</v>
      </c>
      <c r="G274" s="355" t="s">
        <v>367</v>
      </c>
      <c r="H274" s="355" t="s">
        <v>368</v>
      </c>
      <c r="I274" s="355" t="s">
        <v>369</v>
      </c>
      <c r="J274" s="355" t="s">
        <v>370</v>
      </c>
      <c r="K274" s="355" t="s">
        <v>131</v>
      </c>
      <c r="L274" s="355" t="s">
        <v>130</v>
      </c>
      <c r="M274" s="355" t="s">
        <v>129</v>
      </c>
      <c r="N274" s="355" t="s">
        <v>374</v>
      </c>
      <c r="O274" s="355" t="s">
        <v>124</v>
      </c>
      <c r="P274" s="355" t="s">
        <v>125</v>
      </c>
      <c r="Q274" s="355" t="s">
        <v>126</v>
      </c>
      <c r="R274" s="355" t="s">
        <v>155</v>
      </c>
      <c r="S274" s="355" t="s">
        <v>157</v>
      </c>
      <c r="T274" s="355" t="s">
        <v>156</v>
      </c>
      <c r="U274" s="345" t="s">
        <v>280</v>
      </c>
      <c r="V274" s="355" t="s">
        <v>375</v>
      </c>
      <c r="W274" s="355" t="s">
        <v>373</v>
      </c>
      <c r="X274" s="835" t="s">
        <v>164</v>
      </c>
    </row>
    <row r="275" spans="1:24" s="540" customFormat="1" x14ac:dyDescent="0.45">
      <c r="A275" s="550"/>
      <c r="B275" s="359">
        <v>0</v>
      </c>
      <c r="C275" s="1039">
        <v>0.12809002567787831</v>
      </c>
      <c r="D275" s="375">
        <v>0</v>
      </c>
      <c r="E275" s="833">
        <f>SUM(J32:J48)</f>
        <v>7.8228315994023412E-2</v>
      </c>
      <c r="F275" s="375">
        <v>0</v>
      </c>
      <c r="G275" s="345">
        <v>0</v>
      </c>
      <c r="H275" s="376">
        <f t="shared" ref="H275:H295" si="40">IF(D275&gt;0,-1*G275*$C$271,0)</f>
        <v>0</v>
      </c>
      <c r="I275" s="376">
        <v>0</v>
      </c>
      <c r="J275" s="376">
        <v>0</v>
      </c>
      <c r="K275" s="379">
        <f t="shared" ref="K275:K295" si="41">D275+F275+H275+J275</f>
        <v>0</v>
      </c>
      <c r="L275" s="375">
        <f t="shared" ref="L275:L295" si="42">IF(F275&lt;&gt;0,-1*($C$203+$C$204)*D275,0)</f>
        <v>0</v>
      </c>
      <c r="M275" s="375">
        <f t="shared" ref="M275:M295" si="43">K275+L275</f>
        <v>0</v>
      </c>
      <c r="N275" s="376">
        <f t="shared" ref="N275:N295" si="44">IF(V275&gt;0,V275-W275,0)</f>
        <v>0</v>
      </c>
      <c r="O275" s="347">
        <v>0</v>
      </c>
      <c r="P275" s="347">
        <v>0</v>
      </c>
      <c r="Q275" s="347">
        <v>0</v>
      </c>
      <c r="R275" s="376">
        <f>IF(M275&gt;0,-1*(M275+N275)*$C$202,0)</f>
        <v>0</v>
      </c>
      <c r="S275" s="375">
        <f t="shared" ref="S275:S295" si="45">IF(B275=$C$77,0,$C$205/12*(D276+F276+L276))</f>
        <v>5146963.2570961742</v>
      </c>
      <c r="T275" s="375">
        <f>S275</f>
        <v>5146963.2570961742</v>
      </c>
      <c r="U275" s="375">
        <f>-1*(C271+C272)</f>
        <v>-95278194</v>
      </c>
      <c r="V275" s="376">
        <f>IF(B275=$C$77+1,$C$272+SUM($J274:J$276)+$C$271+SUM($H274:H$276),0)</f>
        <v>0</v>
      </c>
      <c r="W275" s="347">
        <f>IF(B275&gt;$C$77,0,$C$272+SUM($J$275:J275))</f>
        <v>12296394</v>
      </c>
      <c r="X275" s="836">
        <f>-T275+U275</f>
        <v>-100425157.25709617</v>
      </c>
    </row>
    <row r="276" spans="1:24" s="540" customFormat="1" x14ac:dyDescent="0.45">
      <c r="A276" s="757"/>
      <c r="B276" s="344">
        <v>1</v>
      </c>
      <c r="C276" s="1038">
        <f t="shared" ref="C276:C295" si="46">IF(B276&gt;$C$77,0,$C$275*(1+$C$199)^B276)</f>
        <v>0.13090800624279164</v>
      </c>
      <c r="D276" s="376">
        <f t="shared" ref="D276:D295" si="47">C276*$C$198*1000000</f>
        <v>72423377.214727551</v>
      </c>
      <c r="E276" s="1038">
        <f t="shared" ref="E276:E295" si="48">IF(B276&gt;$C$77,0,$E$275*(1+$C$200)^B276)</f>
        <v>7.9949338945891929E-2</v>
      </c>
      <c r="F276" s="376">
        <f t="shared" ref="F276:F295" si="49">-1*E276*$C$198*1000000</f>
        <v>-44231069.578796461</v>
      </c>
      <c r="G276" s="345">
        <v>0.1429</v>
      </c>
      <c r="H276" s="376">
        <f t="shared" si="40"/>
        <v>-11858099.220000001</v>
      </c>
      <c r="I276" s="345">
        <v>1.391E-2</v>
      </c>
      <c r="J276" s="376">
        <f t="shared" ref="J276:J295" si="50">IF(D276&gt;0,-1*$C$272*I276,0)</f>
        <v>-171042.84054</v>
      </c>
      <c r="K276" s="377">
        <f t="shared" si="41"/>
        <v>16163165.57539109</v>
      </c>
      <c r="L276" s="376">
        <f t="shared" si="42"/>
        <v>-7604454.6075463928</v>
      </c>
      <c r="M276" s="376">
        <f t="shared" si="43"/>
        <v>8558710.9678446967</v>
      </c>
      <c r="N276" s="376">
        <f t="shared" si="44"/>
        <v>0</v>
      </c>
      <c r="O276" s="347">
        <f t="shared" ref="O276:O295" si="51">IF(M276&lt;0,M276*-1,0)</f>
        <v>0</v>
      </c>
      <c r="P276" s="347">
        <f t="shared" ref="P276:P295" si="52">P275+O276-Q276</f>
        <v>0</v>
      </c>
      <c r="Q276" s="347">
        <f t="shared" ref="Q276:Q295" si="53">IF(B276=$C$77+1,O276,IF(AND(M276&gt;0, P275&gt;0), MIN(M276,P275),0))</f>
        <v>0</v>
      </c>
      <c r="R276" s="376">
        <f t="shared" ref="R276:R295" si="54">IF(M276&gt;0,-1*(M276+N276-Q276)*$C$202,0)</f>
        <v>-2387880.3600286702</v>
      </c>
      <c r="S276" s="376">
        <f t="shared" si="45"/>
        <v>5260196.4487522868</v>
      </c>
      <c r="T276" s="376">
        <f t="shared" ref="T276:T295" si="55">(S276-S275)</f>
        <v>113233.19165611267</v>
      </c>
      <c r="U276" s="376"/>
      <c r="V276" s="376">
        <f t="shared" ref="V276:V295" si="56">IF(B276=$C$77,$C$272*(1-1/$C$79*B276),0)</f>
        <v>0</v>
      </c>
      <c r="W276" s="347">
        <f>IF(B276&gt;$C$77,0,$C$272+SUM($J$275:J276))</f>
        <v>12125351.159460001</v>
      </c>
      <c r="X276" s="378">
        <f t="shared" ref="X276:X295" si="57">M276+R276-1*(H276+J276)-T276+U276+V276</f>
        <v>18086739.476699915</v>
      </c>
    </row>
    <row r="277" spans="1:24" s="540" customFormat="1" x14ac:dyDescent="0.45">
      <c r="A277" s="550"/>
      <c r="B277" s="344">
        <v>2</v>
      </c>
      <c r="C277" s="1038">
        <f t="shared" si="46"/>
        <v>0.13378798238013304</v>
      </c>
      <c r="D277" s="376">
        <f t="shared" si="47"/>
        <v>74016691.513451546</v>
      </c>
      <c r="E277" s="1038">
        <f t="shared" si="48"/>
        <v>8.1708224402701549E-2</v>
      </c>
      <c r="F277" s="376">
        <f t="shared" si="49"/>
        <v>-45204153.109529987</v>
      </c>
      <c r="G277" s="345">
        <v>0.24490000000000001</v>
      </c>
      <c r="H277" s="376">
        <f t="shared" si="40"/>
        <v>-20322242.82</v>
      </c>
      <c r="I277" s="345">
        <v>2.564E-2</v>
      </c>
      <c r="J277" s="376">
        <f t="shared" si="50"/>
        <v>-315279.54216000001</v>
      </c>
      <c r="K277" s="377">
        <f t="shared" si="41"/>
        <v>8175016.0417615594</v>
      </c>
      <c r="L277" s="376">
        <f t="shared" si="42"/>
        <v>-7771752.6089124121</v>
      </c>
      <c r="M277" s="376">
        <f t="shared" si="43"/>
        <v>403263.43284914736</v>
      </c>
      <c r="N277" s="376">
        <f t="shared" si="44"/>
        <v>0</v>
      </c>
      <c r="O277" s="347">
        <f t="shared" si="51"/>
        <v>0</v>
      </c>
      <c r="P277" s="347">
        <f t="shared" si="52"/>
        <v>0</v>
      </c>
      <c r="Q277" s="347">
        <f t="shared" si="53"/>
        <v>0</v>
      </c>
      <c r="R277" s="376">
        <f t="shared" si="54"/>
        <v>-112510.4977649121</v>
      </c>
      <c r="S277" s="376">
        <f t="shared" si="45"/>
        <v>5375920.7706248388</v>
      </c>
      <c r="T277" s="376">
        <f t="shared" si="55"/>
        <v>115724.32187255193</v>
      </c>
      <c r="U277" s="376"/>
      <c r="V277" s="376">
        <f t="shared" si="56"/>
        <v>0</v>
      </c>
      <c r="W277" s="347">
        <f>IF(B277&gt;$C$77,0,$C$272+SUM($J$275:J277))</f>
        <v>11810071.6173</v>
      </c>
      <c r="X277" s="378">
        <f t="shared" si="57"/>
        <v>20812550.975371685</v>
      </c>
    </row>
    <row r="278" spans="1:24" s="540" customFormat="1" x14ac:dyDescent="0.45">
      <c r="A278" s="550"/>
      <c r="B278" s="344">
        <v>3</v>
      </c>
      <c r="C278" s="1038">
        <f t="shared" si="46"/>
        <v>0.13673131799249597</v>
      </c>
      <c r="D278" s="376">
        <f t="shared" si="47"/>
        <v>75645058.726747483</v>
      </c>
      <c r="E278" s="1038">
        <f t="shared" si="48"/>
        <v>8.3505805339560979E-2</v>
      </c>
      <c r="F278" s="376">
        <f t="shared" si="49"/>
        <v>-46198644.477939643</v>
      </c>
      <c r="G278" s="345">
        <v>0.1749</v>
      </c>
      <c r="H278" s="376">
        <f t="shared" si="40"/>
        <v>-14513516.82</v>
      </c>
      <c r="I278" s="345">
        <v>2.564E-2</v>
      </c>
      <c r="J278" s="376">
        <f t="shared" si="50"/>
        <v>-315279.54216000001</v>
      </c>
      <c r="K278" s="377">
        <f t="shared" si="41"/>
        <v>14617617.886647839</v>
      </c>
      <c r="L278" s="376">
        <f t="shared" si="42"/>
        <v>-7942731.166308485</v>
      </c>
      <c r="M278" s="376">
        <f t="shared" si="43"/>
        <v>6674886.7203393541</v>
      </c>
      <c r="N278" s="376">
        <f t="shared" si="44"/>
        <v>0</v>
      </c>
      <c r="O278" s="347">
        <f t="shared" si="51"/>
        <v>0</v>
      </c>
      <c r="P278" s="347">
        <f t="shared" si="52"/>
        <v>0</v>
      </c>
      <c r="Q278" s="347">
        <f t="shared" si="53"/>
        <v>0</v>
      </c>
      <c r="R278" s="376">
        <f t="shared" si="54"/>
        <v>-1862293.3949746797</v>
      </c>
      <c r="S278" s="376">
        <f t="shared" si="45"/>
        <v>5494191.027578583</v>
      </c>
      <c r="T278" s="376">
        <f t="shared" si="55"/>
        <v>118270.25695374422</v>
      </c>
      <c r="U278" s="376"/>
      <c r="V278" s="376">
        <f t="shared" si="56"/>
        <v>0</v>
      </c>
      <c r="W278" s="347">
        <f>IF(B278&gt;$C$77,0,$C$272+SUM($J$275:J278))</f>
        <v>11494792.075139999</v>
      </c>
      <c r="X278" s="378">
        <f t="shared" si="57"/>
        <v>19523119.43057093</v>
      </c>
    </row>
    <row r="279" spans="1:24" s="540" customFormat="1" x14ac:dyDescent="0.45">
      <c r="A279" s="550"/>
      <c r="B279" s="344">
        <v>4</v>
      </c>
      <c r="C279" s="1038">
        <f t="shared" si="46"/>
        <v>0.1397394069883309</v>
      </c>
      <c r="D279" s="376">
        <f t="shared" si="47"/>
        <v>77309250.01873593</v>
      </c>
      <c r="E279" s="1038">
        <f t="shared" si="48"/>
        <v>8.5342933057031334E-2</v>
      </c>
      <c r="F279" s="376">
        <f t="shared" si="49"/>
        <v>-47215014.656454325</v>
      </c>
      <c r="G279" s="345">
        <v>0.1249</v>
      </c>
      <c r="H279" s="376">
        <f t="shared" si="40"/>
        <v>-10364426.82</v>
      </c>
      <c r="I279" s="345">
        <v>2.564E-2</v>
      </c>
      <c r="J279" s="376">
        <f t="shared" si="50"/>
        <v>-315279.54216000001</v>
      </c>
      <c r="K279" s="377">
        <f t="shared" si="41"/>
        <v>19414529.000121605</v>
      </c>
      <c r="L279" s="376">
        <f t="shared" si="42"/>
        <v>-8117471.2519672727</v>
      </c>
      <c r="M279" s="376">
        <f t="shared" si="43"/>
        <v>11297057.748154331</v>
      </c>
      <c r="N279" s="376">
        <f t="shared" si="44"/>
        <v>0</v>
      </c>
      <c r="O279" s="347">
        <f t="shared" si="51"/>
        <v>0</v>
      </c>
      <c r="P279" s="347">
        <f t="shared" si="52"/>
        <v>0</v>
      </c>
      <c r="Q279" s="347">
        <f t="shared" si="53"/>
        <v>0</v>
      </c>
      <c r="R279" s="376">
        <f t="shared" si="54"/>
        <v>-3151879.111735058</v>
      </c>
      <c r="S279" s="376">
        <f t="shared" si="45"/>
        <v>5615063.2301853122</v>
      </c>
      <c r="T279" s="376">
        <f t="shared" si="55"/>
        <v>120872.20260672923</v>
      </c>
      <c r="U279" s="376"/>
      <c r="V279" s="376">
        <f t="shared" si="56"/>
        <v>0</v>
      </c>
      <c r="W279" s="347">
        <f>IF(B279&gt;$C$77,0,$C$272+SUM($J$275:J279))</f>
        <v>11179512.532980001</v>
      </c>
      <c r="X279" s="378">
        <f t="shared" si="57"/>
        <v>18704012.795972545</v>
      </c>
    </row>
    <row r="280" spans="1:24" s="540" customFormat="1" x14ac:dyDescent="0.45">
      <c r="A280" s="550"/>
      <c r="B280" s="344">
        <v>5</v>
      </c>
      <c r="C280" s="1038">
        <f t="shared" si="46"/>
        <v>0.14281367394207417</v>
      </c>
      <c r="D280" s="376">
        <f t="shared" si="47"/>
        <v>79010053.519148111</v>
      </c>
      <c r="E280" s="1038">
        <f t="shared" si="48"/>
        <v>8.7220477584286013E-2</v>
      </c>
      <c r="F280" s="376">
        <f t="shared" si="49"/>
        <v>-48253744.978896312</v>
      </c>
      <c r="G280" s="345">
        <v>8.9300000000000004E-2</v>
      </c>
      <c r="H280" s="376">
        <f t="shared" si="40"/>
        <v>-7410274.7400000002</v>
      </c>
      <c r="I280" s="345">
        <v>2.564E-2</v>
      </c>
      <c r="J280" s="376">
        <f t="shared" si="50"/>
        <v>-315279.54216000001</v>
      </c>
      <c r="K280" s="377">
        <f t="shared" si="41"/>
        <v>23030754.258091796</v>
      </c>
      <c r="L280" s="376">
        <f t="shared" si="42"/>
        <v>-8296055.619510551</v>
      </c>
      <c r="M280" s="376">
        <f t="shared" si="43"/>
        <v>14734698.638581246</v>
      </c>
      <c r="N280" s="376">
        <f t="shared" si="44"/>
        <v>0</v>
      </c>
      <c r="O280" s="347">
        <f t="shared" si="51"/>
        <v>0</v>
      </c>
      <c r="P280" s="347">
        <f t="shared" si="52"/>
        <v>0</v>
      </c>
      <c r="Q280" s="347">
        <f t="shared" si="53"/>
        <v>0</v>
      </c>
      <c r="R280" s="376">
        <f t="shared" si="54"/>
        <v>-4110980.9201641674</v>
      </c>
      <c r="S280" s="376">
        <f t="shared" si="45"/>
        <v>5738594.6212493889</v>
      </c>
      <c r="T280" s="376">
        <f t="shared" si="55"/>
        <v>123531.39106407668</v>
      </c>
      <c r="U280" s="376"/>
      <c r="V280" s="376">
        <f t="shared" si="56"/>
        <v>0</v>
      </c>
      <c r="W280" s="347">
        <f>IF(B280&gt;$C$77,0,$C$272+SUM($J$275:J280))</f>
        <v>10864232.99082</v>
      </c>
      <c r="X280" s="378">
        <f t="shared" si="57"/>
        <v>18225740.609513</v>
      </c>
    </row>
    <row r="281" spans="1:24" s="540" customFormat="1" x14ac:dyDescent="0.45">
      <c r="A281" s="550"/>
      <c r="B281" s="344">
        <v>6</v>
      </c>
      <c r="C281" s="1038">
        <f t="shared" si="46"/>
        <v>0.14595557476879978</v>
      </c>
      <c r="D281" s="376">
        <f t="shared" si="47"/>
        <v>80748274.696569368</v>
      </c>
      <c r="E281" s="1038">
        <f t="shared" si="48"/>
        <v>8.9139328091140294E-2</v>
      </c>
      <c r="F281" s="376">
        <f t="shared" si="49"/>
        <v>-49315327.36843203</v>
      </c>
      <c r="G281" s="345">
        <v>8.9200000000000002E-2</v>
      </c>
      <c r="H281" s="376">
        <f t="shared" si="40"/>
        <v>-7401976.5600000005</v>
      </c>
      <c r="I281" s="345">
        <v>2.564E-2</v>
      </c>
      <c r="J281" s="376">
        <f t="shared" si="50"/>
        <v>-315279.54216000001</v>
      </c>
      <c r="K281" s="377">
        <f t="shared" si="41"/>
        <v>23715691.225977335</v>
      </c>
      <c r="L281" s="376">
        <f t="shared" si="42"/>
        <v>-8478568.8431397825</v>
      </c>
      <c r="M281" s="376">
        <f t="shared" si="43"/>
        <v>15237122.382837553</v>
      </c>
      <c r="N281" s="376">
        <f t="shared" si="44"/>
        <v>0</v>
      </c>
      <c r="O281" s="347">
        <f t="shared" si="51"/>
        <v>0</v>
      </c>
      <c r="P281" s="347">
        <f t="shared" si="52"/>
        <v>0</v>
      </c>
      <c r="Q281" s="347">
        <f t="shared" si="53"/>
        <v>0</v>
      </c>
      <c r="R281" s="376">
        <f t="shared" si="54"/>
        <v>-4251157.1448116768</v>
      </c>
      <c r="S281" s="376">
        <f t="shared" si="45"/>
        <v>5864843.7029168755</v>
      </c>
      <c r="T281" s="376">
        <f t="shared" si="55"/>
        <v>126249.08166748658</v>
      </c>
      <c r="U281" s="376"/>
      <c r="V281" s="376">
        <f t="shared" si="56"/>
        <v>0</v>
      </c>
      <c r="W281" s="347">
        <f>IF(B281&gt;$C$77,0,$C$272+SUM($J$275:J281))</f>
        <v>10548953.448659999</v>
      </c>
      <c r="X281" s="378">
        <f t="shared" si="57"/>
        <v>18576972.25851839</v>
      </c>
    </row>
    <row r="282" spans="1:24" s="540" customFormat="1" x14ac:dyDescent="0.45">
      <c r="A282" s="550"/>
      <c r="B282" s="344">
        <v>7</v>
      </c>
      <c r="C282" s="1038">
        <f t="shared" si="46"/>
        <v>0.14916659741371338</v>
      </c>
      <c r="D282" s="376">
        <f t="shared" si="47"/>
        <v>82524736.739893898</v>
      </c>
      <c r="E282" s="1038">
        <f t="shared" si="48"/>
        <v>9.1100393309145392E-2</v>
      </c>
      <c r="F282" s="376">
        <f t="shared" si="49"/>
        <v>-50400264.570537537</v>
      </c>
      <c r="G282" s="345">
        <v>8.9300000000000004E-2</v>
      </c>
      <c r="H282" s="376">
        <f t="shared" si="40"/>
        <v>-7410274.7400000002</v>
      </c>
      <c r="I282" s="345">
        <v>2.564E-2</v>
      </c>
      <c r="J282" s="376">
        <f t="shared" si="50"/>
        <v>-315279.54216000001</v>
      </c>
      <c r="K282" s="377">
        <f t="shared" si="41"/>
        <v>24398917.887196358</v>
      </c>
      <c r="L282" s="376">
        <f t="shared" si="42"/>
        <v>-8665097.3576888591</v>
      </c>
      <c r="M282" s="376">
        <f t="shared" si="43"/>
        <v>15733820.529507499</v>
      </c>
      <c r="N282" s="376">
        <f t="shared" si="44"/>
        <v>-1380270.2265000008</v>
      </c>
      <c r="O282" s="347">
        <f t="shared" si="51"/>
        <v>0</v>
      </c>
      <c r="P282" s="347">
        <f t="shared" si="52"/>
        <v>0</v>
      </c>
      <c r="Q282" s="347">
        <f t="shared" si="53"/>
        <v>0</v>
      </c>
      <c r="R282" s="376">
        <f t="shared" si="54"/>
        <v>-4004640.5345390914</v>
      </c>
      <c r="S282" s="376">
        <f t="shared" si="45"/>
        <v>0</v>
      </c>
      <c r="T282" s="376">
        <f t="shared" si="55"/>
        <v>-5864843.7029168755</v>
      </c>
      <c r="U282" s="376"/>
      <c r="V282" s="376">
        <f t="shared" si="56"/>
        <v>8853403.6799999997</v>
      </c>
      <c r="W282" s="347">
        <f>IF(B282&gt;$C$77,0,$C$272+SUM($J$275:J282))</f>
        <v>10233673.906500001</v>
      </c>
      <c r="X282" s="378">
        <f t="shared" si="57"/>
        <v>34172981.660045281</v>
      </c>
    </row>
    <row r="283" spans="1:24" s="540" customFormat="1" x14ac:dyDescent="0.45">
      <c r="A283" s="550"/>
      <c r="B283" s="344">
        <v>8</v>
      </c>
      <c r="C283" s="1038">
        <f t="shared" si="46"/>
        <v>0</v>
      </c>
      <c r="D283" s="376">
        <f t="shared" si="47"/>
        <v>0</v>
      </c>
      <c r="E283" s="1038">
        <f t="shared" si="48"/>
        <v>0</v>
      </c>
      <c r="F283" s="376">
        <f t="shared" si="49"/>
        <v>0</v>
      </c>
      <c r="G283" s="345">
        <v>4.4600000000000001E-2</v>
      </c>
      <c r="H283" s="376">
        <f t="shared" si="40"/>
        <v>0</v>
      </c>
      <c r="I283" s="345">
        <v>2.564E-2</v>
      </c>
      <c r="J283" s="376">
        <f t="shared" si="50"/>
        <v>0</v>
      </c>
      <c r="K283" s="377">
        <f t="shared" si="41"/>
        <v>0</v>
      </c>
      <c r="L283" s="376">
        <f t="shared" si="42"/>
        <v>0</v>
      </c>
      <c r="M283" s="376">
        <f t="shared" si="43"/>
        <v>0</v>
      </c>
      <c r="N283" s="376">
        <f t="shared" si="44"/>
        <v>0</v>
      </c>
      <c r="O283" s="347">
        <f t="shared" si="51"/>
        <v>0</v>
      </c>
      <c r="P283" s="347">
        <f t="shared" si="52"/>
        <v>0</v>
      </c>
      <c r="Q283" s="347">
        <f t="shared" si="53"/>
        <v>0</v>
      </c>
      <c r="R283" s="376">
        <f t="shared" si="54"/>
        <v>0</v>
      </c>
      <c r="S283" s="376">
        <f t="shared" si="45"/>
        <v>0</v>
      </c>
      <c r="T283" s="376">
        <f t="shared" si="55"/>
        <v>0</v>
      </c>
      <c r="U283" s="376"/>
      <c r="V283" s="376">
        <f t="shared" si="56"/>
        <v>0</v>
      </c>
      <c r="W283" s="347">
        <f>IF(B283&gt;$C$77,0,$C$272+SUM($J$275:J283))</f>
        <v>0</v>
      </c>
      <c r="X283" s="378">
        <f t="shared" si="57"/>
        <v>0</v>
      </c>
    </row>
    <row r="284" spans="1:24" s="540" customFormat="1" x14ac:dyDescent="0.45">
      <c r="A284" s="550"/>
      <c r="B284" s="344">
        <v>9</v>
      </c>
      <c r="C284" s="1038">
        <f t="shared" si="46"/>
        <v>0</v>
      </c>
      <c r="D284" s="376">
        <f t="shared" si="47"/>
        <v>0</v>
      </c>
      <c r="E284" s="1038">
        <f t="shared" si="48"/>
        <v>0</v>
      </c>
      <c r="F284" s="376">
        <f t="shared" si="49"/>
        <v>0</v>
      </c>
      <c r="G284" s="345">
        <v>0</v>
      </c>
      <c r="H284" s="376">
        <f t="shared" si="40"/>
        <v>0</v>
      </c>
      <c r="I284" s="345">
        <v>2.564E-2</v>
      </c>
      <c r="J284" s="376">
        <f t="shared" si="50"/>
        <v>0</v>
      </c>
      <c r="K284" s="377">
        <f t="shared" si="41"/>
        <v>0</v>
      </c>
      <c r="L284" s="376">
        <f t="shared" si="42"/>
        <v>0</v>
      </c>
      <c r="M284" s="376">
        <f t="shared" si="43"/>
        <v>0</v>
      </c>
      <c r="N284" s="376">
        <f t="shared" si="44"/>
        <v>0</v>
      </c>
      <c r="O284" s="347">
        <f t="shared" si="51"/>
        <v>0</v>
      </c>
      <c r="P284" s="347">
        <f t="shared" si="52"/>
        <v>0</v>
      </c>
      <c r="Q284" s="347">
        <f t="shared" si="53"/>
        <v>0</v>
      </c>
      <c r="R284" s="376">
        <f t="shared" si="54"/>
        <v>0</v>
      </c>
      <c r="S284" s="376">
        <f t="shared" si="45"/>
        <v>0</v>
      </c>
      <c r="T284" s="376">
        <f t="shared" si="55"/>
        <v>0</v>
      </c>
      <c r="U284" s="376"/>
      <c r="V284" s="376">
        <f t="shared" si="56"/>
        <v>0</v>
      </c>
      <c r="W284" s="347">
        <f>IF(B284&gt;$C$77,0,$C$272+SUM($J$275:J284))</f>
        <v>0</v>
      </c>
      <c r="X284" s="378">
        <f t="shared" si="57"/>
        <v>0</v>
      </c>
    </row>
    <row r="285" spans="1:24" s="540" customFormat="1" x14ac:dyDescent="0.45">
      <c r="A285" s="550"/>
      <c r="B285" s="344">
        <v>10</v>
      </c>
      <c r="C285" s="1038">
        <f t="shared" si="46"/>
        <v>0</v>
      </c>
      <c r="D285" s="376">
        <f t="shared" si="47"/>
        <v>0</v>
      </c>
      <c r="E285" s="1038">
        <f t="shared" si="48"/>
        <v>0</v>
      </c>
      <c r="F285" s="376">
        <f t="shared" si="49"/>
        <v>0</v>
      </c>
      <c r="G285" s="345">
        <v>0</v>
      </c>
      <c r="H285" s="376">
        <f t="shared" si="40"/>
        <v>0</v>
      </c>
      <c r="I285" s="345">
        <v>2.564E-2</v>
      </c>
      <c r="J285" s="376">
        <f t="shared" si="50"/>
        <v>0</v>
      </c>
      <c r="K285" s="377">
        <f t="shared" si="41"/>
        <v>0</v>
      </c>
      <c r="L285" s="376">
        <f t="shared" si="42"/>
        <v>0</v>
      </c>
      <c r="M285" s="376">
        <f t="shared" si="43"/>
        <v>0</v>
      </c>
      <c r="N285" s="376">
        <f t="shared" si="44"/>
        <v>0</v>
      </c>
      <c r="O285" s="347">
        <f t="shared" si="51"/>
        <v>0</v>
      </c>
      <c r="P285" s="347">
        <f t="shared" si="52"/>
        <v>0</v>
      </c>
      <c r="Q285" s="347">
        <f t="shared" si="53"/>
        <v>0</v>
      </c>
      <c r="R285" s="376">
        <f t="shared" si="54"/>
        <v>0</v>
      </c>
      <c r="S285" s="376">
        <f t="shared" si="45"/>
        <v>0</v>
      </c>
      <c r="T285" s="376">
        <f t="shared" si="55"/>
        <v>0</v>
      </c>
      <c r="U285" s="376"/>
      <c r="V285" s="376">
        <f t="shared" si="56"/>
        <v>0</v>
      </c>
      <c r="W285" s="347">
        <f>IF(B285&gt;$C$77,0,$C$272+SUM($J$275:J285))</f>
        <v>0</v>
      </c>
      <c r="X285" s="378">
        <f t="shared" si="57"/>
        <v>0</v>
      </c>
    </row>
    <row r="286" spans="1:24" s="540" customFormat="1" x14ac:dyDescent="0.45">
      <c r="A286" s="550"/>
      <c r="B286" s="344">
        <v>11</v>
      </c>
      <c r="C286" s="1038">
        <f t="shared" si="46"/>
        <v>0</v>
      </c>
      <c r="D286" s="376">
        <f t="shared" si="47"/>
        <v>0</v>
      </c>
      <c r="E286" s="1038">
        <f t="shared" si="48"/>
        <v>0</v>
      </c>
      <c r="F286" s="376">
        <f t="shared" si="49"/>
        <v>0</v>
      </c>
      <c r="G286" s="345">
        <v>0</v>
      </c>
      <c r="H286" s="376">
        <f t="shared" si="40"/>
        <v>0</v>
      </c>
      <c r="I286" s="345">
        <v>2.564E-2</v>
      </c>
      <c r="J286" s="376">
        <f t="shared" si="50"/>
        <v>0</v>
      </c>
      <c r="K286" s="377">
        <f t="shared" si="41"/>
        <v>0</v>
      </c>
      <c r="L286" s="376">
        <f t="shared" si="42"/>
        <v>0</v>
      </c>
      <c r="M286" s="376">
        <f t="shared" si="43"/>
        <v>0</v>
      </c>
      <c r="N286" s="376">
        <f t="shared" si="44"/>
        <v>0</v>
      </c>
      <c r="O286" s="347">
        <f t="shared" si="51"/>
        <v>0</v>
      </c>
      <c r="P286" s="347">
        <f t="shared" si="52"/>
        <v>0</v>
      </c>
      <c r="Q286" s="347">
        <f t="shared" si="53"/>
        <v>0</v>
      </c>
      <c r="R286" s="376">
        <f t="shared" si="54"/>
        <v>0</v>
      </c>
      <c r="S286" s="376">
        <f t="shared" si="45"/>
        <v>0</v>
      </c>
      <c r="T286" s="376">
        <f t="shared" si="55"/>
        <v>0</v>
      </c>
      <c r="U286" s="376"/>
      <c r="V286" s="376">
        <f t="shared" si="56"/>
        <v>0</v>
      </c>
      <c r="W286" s="347">
        <f>IF(B286&gt;$C$77,0,$C$272+SUM($J$275:J286))</f>
        <v>0</v>
      </c>
      <c r="X286" s="378">
        <f t="shared" si="57"/>
        <v>0</v>
      </c>
    </row>
    <row r="287" spans="1:24" s="540" customFormat="1" x14ac:dyDescent="0.45">
      <c r="A287" s="550"/>
      <c r="B287" s="344">
        <v>12</v>
      </c>
      <c r="C287" s="1038">
        <f t="shared" si="46"/>
        <v>0</v>
      </c>
      <c r="D287" s="376">
        <f t="shared" si="47"/>
        <v>0</v>
      </c>
      <c r="E287" s="1038">
        <f t="shared" si="48"/>
        <v>0</v>
      </c>
      <c r="F287" s="376">
        <f t="shared" si="49"/>
        <v>0</v>
      </c>
      <c r="G287" s="345">
        <v>0</v>
      </c>
      <c r="H287" s="376">
        <f t="shared" si="40"/>
        <v>0</v>
      </c>
      <c r="I287" s="345">
        <v>2.564E-2</v>
      </c>
      <c r="J287" s="376">
        <f t="shared" si="50"/>
        <v>0</v>
      </c>
      <c r="K287" s="377">
        <f t="shared" si="41"/>
        <v>0</v>
      </c>
      <c r="L287" s="376">
        <f t="shared" si="42"/>
        <v>0</v>
      </c>
      <c r="M287" s="376">
        <f t="shared" si="43"/>
        <v>0</v>
      </c>
      <c r="N287" s="376">
        <f t="shared" si="44"/>
        <v>0</v>
      </c>
      <c r="O287" s="347">
        <f t="shared" si="51"/>
        <v>0</v>
      </c>
      <c r="P287" s="347">
        <f t="shared" si="52"/>
        <v>0</v>
      </c>
      <c r="Q287" s="347">
        <f t="shared" si="53"/>
        <v>0</v>
      </c>
      <c r="R287" s="376">
        <f t="shared" si="54"/>
        <v>0</v>
      </c>
      <c r="S287" s="376">
        <f t="shared" si="45"/>
        <v>0</v>
      </c>
      <c r="T287" s="376">
        <f t="shared" si="55"/>
        <v>0</v>
      </c>
      <c r="U287" s="376"/>
      <c r="V287" s="376">
        <f t="shared" si="56"/>
        <v>0</v>
      </c>
      <c r="W287" s="347">
        <f>IF(B287&gt;$C$77,0,$C$272+SUM($J$275:J287))</f>
        <v>0</v>
      </c>
      <c r="X287" s="378">
        <f t="shared" si="57"/>
        <v>0</v>
      </c>
    </row>
    <row r="288" spans="1:24" s="540" customFormat="1" x14ac:dyDescent="0.45">
      <c r="A288" s="550"/>
      <c r="B288" s="344">
        <v>13</v>
      </c>
      <c r="C288" s="1038">
        <f t="shared" si="46"/>
        <v>0</v>
      </c>
      <c r="D288" s="376">
        <f t="shared" si="47"/>
        <v>0</v>
      </c>
      <c r="E288" s="1038">
        <f t="shared" si="48"/>
        <v>0</v>
      </c>
      <c r="F288" s="376">
        <f t="shared" si="49"/>
        <v>0</v>
      </c>
      <c r="G288" s="345">
        <v>0</v>
      </c>
      <c r="H288" s="376">
        <f t="shared" si="40"/>
        <v>0</v>
      </c>
      <c r="I288" s="345">
        <v>2.564E-2</v>
      </c>
      <c r="J288" s="376">
        <f t="shared" si="50"/>
        <v>0</v>
      </c>
      <c r="K288" s="377">
        <f t="shared" si="41"/>
        <v>0</v>
      </c>
      <c r="L288" s="376">
        <f t="shared" si="42"/>
        <v>0</v>
      </c>
      <c r="M288" s="376">
        <f t="shared" si="43"/>
        <v>0</v>
      </c>
      <c r="N288" s="376">
        <f t="shared" si="44"/>
        <v>0</v>
      </c>
      <c r="O288" s="347">
        <f t="shared" si="51"/>
        <v>0</v>
      </c>
      <c r="P288" s="347">
        <f t="shared" si="52"/>
        <v>0</v>
      </c>
      <c r="Q288" s="347">
        <f t="shared" si="53"/>
        <v>0</v>
      </c>
      <c r="R288" s="376">
        <f t="shared" si="54"/>
        <v>0</v>
      </c>
      <c r="S288" s="376">
        <f t="shared" si="45"/>
        <v>0</v>
      </c>
      <c r="T288" s="376">
        <f t="shared" si="55"/>
        <v>0</v>
      </c>
      <c r="U288" s="376"/>
      <c r="V288" s="376">
        <f t="shared" si="56"/>
        <v>0</v>
      </c>
      <c r="W288" s="347">
        <f>IF(B288&gt;$C$77,0,$C$272+SUM($J$275:J288))</f>
        <v>0</v>
      </c>
      <c r="X288" s="378">
        <f t="shared" si="57"/>
        <v>0</v>
      </c>
    </row>
    <row r="289" spans="1:24" s="540" customFormat="1" x14ac:dyDescent="0.45">
      <c r="A289" s="550"/>
      <c r="B289" s="344">
        <v>14</v>
      </c>
      <c r="C289" s="1038">
        <f t="shared" si="46"/>
        <v>0</v>
      </c>
      <c r="D289" s="376">
        <f t="shared" si="47"/>
        <v>0</v>
      </c>
      <c r="E289" s="1038">
        <f t="shared" si="48"/>
        <v>0</v>
      </c>
      <c r="F289" s="376">
        <f t="shared" si="49"/>
        <v>0</v>
      </c>
      <c r="G289" s="345">
        <v>0</v>
      </c>
      <c r="H289" s="376">
        <f t="shared" si="40"/>
        <v>0</v>
      </c>
      <c r="I289" s="345">
        <v>2.564E-2</v>
      </c>
      <c r="J289" s="376">
        <f t="shared" si="50"/>
        <v>0</v>
      </c>
      <c r="K289" s="377">
        <f t="shared" si="41"/>
        <v>0</v>
      </c>
      <c r="L289" s="376">
        <f t="shared" si="42"/>
        <v>0</v>
      </c>
      <c r="M289" s="376">
        <f t="shared" si="43"/>
        <v>0</v>
      </c>
      <c r="N289" s="376">
        <f t="shared" si="44"/>
        <v>0</v>
      </c>
      <c r="O289" s="347">
        <f t="shared" si="51"/>
        <v>0</v>
      </c>
      <c r="P289" s="347">
        <f t="shared" si="52"/>
        <v>0</v>
      </c>
      <c r="Q289" s="347">
        <f t="shared" si="53"/>
        <v>0</v>
      </c>
      <c r="R289" s="376">
        <f t="shared" si="54"/>
        <v>0</v>
      </c>
      <c r="S289" s="376">
        <f t="shared" si="45"/>
        <v>0</v>
      </c>
      <c r="T289" s="376">
        <f t="shared" si="55"/>
        <v>0</v>
      </c>
      <c r="U289" s="376"/>
      <c r="V289" s="376">
        <f t="shared" si="56"/>
        <v>0</v>
      </c>
      <c r="W289" s="347">
        <f>IF(B289&gt;$C$77,0,$C$272+SUM($J$275:J289))</f>
        <v>0</v>
      </c>
      <c r="X289" s="378">
        <f t="shared" si="57"/>
        <v>0</v>
      </c>
    </row>
    <row r="290" spans="1:24" s="540" customFormat="1" x14ac:dyDescent="0.45">
      <c r="A290" s="550"/>
      <c r="B290" s="344">
        <v>15</v>
      </c>
      <c r="C290" s="1038">
        <f t="shared" si="46"/>
        <v>0</v>
      </c>
      <c r="D290" s="376">
        <f t="shared" si="47"/>
        <v>0</v>
      </c>
      <c r="E290" s="1038">
        <f t="shared" si="48"/>
        <v>0</v>
      </c>
      <c r="F290" s="376">
        <f t="shared" si="49"/>
        <v>0</v>
      </c>
      <c r="G290" s="345">
        <v>0</v>
      </c>
      <c r="H290" s="376">
        <f t="shared" si="40"/>
        <v>0</v>
      </c>
      <c r="I290" s="345">
        <v>2.564E-2</v>
      </c>
      <c r="J290" s="376">
        <f t="shared" si="50"/>
        <v>0</v>
      </c>
      <c r="K290" s="377">
        <f t="shared" si="41"/>
        <v>0</v>
      </c>
      <c r="L290" s="376">
        <f t="shared" si="42"/>
        <v>0</v>
      </c>
      <c r="M290" s="376">
        <f t="shared" si="43"/>
        <v>0</v>
      </c>
      <c r="N290" s="376">
        <f t="shared" si="44"/>
        <v>0</v>
      </c>
      <c r="O290" s="347">
        <f t="shared" si="51"/>
        <v>0</v>
      </c>
      <c r="P290" s="347">
        <f t="shared" si="52"/>
        <v>0</v>
      </c>
      <c r="Q290" s="347">
        <f t="shared" si="53"/>
        <v>0</v>
      </c>
      <c r="R290" s="376">
        <f t="shared" si="54"/>
        <v>0</v>
      </c>
      <c r="S290" s="376">
        <f t="shared" si="45"/>
        <v>0</v>
      </c>
      <c r="T290" s="376">
        <f t="shared" si="55"/>
        <v>0</v>
      </c>
      <c r="U290" s="376"/>
      <c r="V290" s="376">
        <f t="shared" si="56"/>
        <v>0</v>
      </c>
      <c r="W290" s="347">
        <f>IF(B290&gt;$C$77,0,$C$272+SUM($J$275:J290))</f>
        <v>0</v>
      </c>
      <c r="X290" s="378">
        <f t="shared" si="57"/>
        <v>0</v>
      </c>
    </row>
    <row r="291" spans="1:24" s="540" customFormat="1" x14ac:dyDescent="0.45">
      <c r="A291" s="550"/>
      <c r="B291" s="344">
        <v>16</v>
      </c>
      <c r="C291" s="1038">
        <f t="shared" si="46"/>
        <v>0</v>
      </c>
      <c r="D291" s="376">
        <f t="shared" si="47"/>
        <v>0</v>
      </c>
      <c r="E291" s="1038">
        <f t="shared" si="48"/>
        <v>0</v>
      </c>
      <c r="F291" s="376">
        <f t="shared" si="49"/>
        <v>0</v>
      </c>
      <c r="G291" s="345">
        <v>0</v>
      </c>
      <c r="H291" s="376">
        <f t="shared" si="40"/>
        <v>0</v>
      </c>
      <c r="I291" s="345">
        <v>2.564E-2</v>
      </c>
      <c r="J291" s="376">
        <f t="shared" si="50"/>
        <v>0</v>
      </c>
      <c r="K291" s="377">
        <f t="shared" si="41"/>
        <v>0</v>
      </c>
      <c r="L291" s="376">
        <f t="shared" si="42"/>
        <v>0</v>
      </c>
      <c r="M291" s="376">
        <f t="shared" si="43"/>
        <v>0</v>
      </c>
      <c r="N291" s="376">
        <f t="shared" si="44"/>
        <v>0</v>
      </c>
      <c r="O291" s="347">
        <f t="shared" si="51"/>
        <v>0</v>
      </c>
      <c r="P291" s="347">
        <f t="shared" si="52"/>
        <v>0</v>
      </c>
      <c r="Q291" s="347">
        <f t="shared" si="53"/>
        <v>0</v>
      </c>
      <c r="R291" s="376">
        <f t="shared" si="54"/>
        <v>0</v>
      </c>
      <c r="S291" s="376">
        <f t="shared" si="45"/>
        <v>0</v>
      </c>
      <c r="T291" s="376">
        <f t="shared" si="55"/>
        <v>0</v>
      </c>
      <c r="U291" s="376"/>
      <c r="V291" s="376">
        <f t="shared" si="56"/>
        <v>0</v>
      </c>
      <c r="W291" s="347">
        <f>IF(B291&gt;$C$77,0,$C$272+SUM($J$275:J291))</f>
        <v>0</v>
      </c>
      <c r="X291" s="378">
        <f t="shared" si="57"/>
        <v>0</v>
      </c>
    </row>
    <row r="292" spans="1:24" s="540" customFormat="1" x14ac:dyDescent="0.45">
      <c r="A292" s="550"/>
      <c r="B292" s="344">
        <v>17</v>
      </c>
      <c r="C292" s="1038">
        <f t="shared" si="46"/>
        <v>0</v>
      </c>
      <c r="D292" s="376">
        <f t="shared" si="47"/>
        <v>0</v>
      </c>
      <c r="E292" s="1038">
        <f t="shared" si="48"/>
        <v>0</v>
      </c>
      <c r="F292" s="376">
        <f t="shared" si="49"/>
        <v>0</v>
      </c>
      <c r="G292" s="345">
        <v>0</v>
      </c>
      <c r="H292" s="376">
        <f t="shared" si="40"/>
        <v>0</v>
      </c>
      <c r="I292" s="345">
        <v>2.564E-2</v>
      </c>
      <c r="J292" s="376">
        <f t="shared" si="50"/>
        <v>0</v>
      </c>
      <c r="K292" s="377">
        <f t="shared" si="41"/>
        <v>0</v>
      </c>
      <c r="L292" s="376">
        <f t="shared" si="42"/>
        <v>0</v>
      </c>
      <c r="M292" s="376">
        <f t="shared" si="43"/>
        <v>0</v>
      </c>
      <c r="N292" s="376">
        <f t="shared" si="44"/>
        <v>0</v>
      </c>
      <c r="O292" s="347">
        <f t="shared" si="51"/>
        <v>0</v>
      </c>
      <c r="P292" s="347">
        <f t="shared" si="52"/>
        <v>0</v>
      </c>
      <c r="Q292" s="347">
        <f t="shared" si="53"/>
        <v>0</v>
      </c>
      <c r="R292" s="376">
        <f t="shared" si="54"/>
        <v>0</v>
      </c>
      <c r="S292" s="376">
        <f t="shared" si="45"/>
        <v>0</v>
      </c>
      <c r="T292" s="376">
        <f t="shared" si="55"/>
        <v>0</v>
      </c>
      <c r="U292" s="376"/>
      <c r="V292" s="376">
        <f t="shared" si="56"/>
        <v>0</v>
      </c>
      <c r="W292" s="347">
        <f>IF(B292&gt;$C$77,0,$C$272+SUM($J$275:J292))</f>
        <v>0</v>
      </c>
      <c r="X292" s="378">
        <f t="shared" si="57"/>
        <v>0</v>
      </c>
    </row>
    <row r="293" spans="1:24" s="540" customFormat="1" x14ac:dyDescent="0.45">
      <c r="A293" s="550"/>
      <c r="B293" s="344">
        <v>18</v>
      </c>
      <c r="C293" s="1038">
        <f t="shared" si="46"/>
        <v>0</v>
      </c>
      <c r="D293" s="376">
        <f t="shared" si="47"/>
        <v>0</v>
      </c>
      <c r="E293" s="1038">
        <f t="shared" si="48"/>
        <v>0</v>
      </c>
      <c r="F293" s="376">
        <f t="shared" si="49"/>
        <v>0</v>
      </c>
      <c r="G293" s="345">
        <v>0</v>
      </c>
      <c r="H293" s="376">
        <f t="shared" si="40"/>
        <v>0</v>
      </c>
      <c r="I293" s="345">
        <v>2.564E-2</v>
      </c>
      <c r="J293" s="376">
        <f t="shared" si="50"/>
        <v>0</v>
      </c>
      <c r="K293" s="377">
        <f t="shared" si="41"/>
        <v>0</v>
      </c>
      <c r="L293" s="376">
        <f t="shared" si="42"/>
        <v>0</v>
      </c>
      <c r="M293" s="376">
        <f t="shared" si="43"/>
        <v>0</v>
      </c>
      <c r="N293" s="376">
        <f t="shared" si="44"/>
        <v>0</v>
      </c>
      <c r="O293" s="347">
        <f t="shared" si="51"/>
        <v>0</v>
      </c>
      <c r="P293" s="347">
        <f t="shared" si="52"/>
        <v>0</v>
      </c>
      <c r="Q293" s="347">
        <f t="shared" si="53"/>
        <v>0</v>
      </c>
      <c r="R293" s="376">
        <f t="shared" si="54"/>
        <v>0</v>
      </c>
      <c r="S293" s="376">
        <f t="shared" si="45"/>
        <v>0</v>
      </c>
      <c r="T293" s="376">
        <f t="shared" si="55"/>
        <v>0</v>
      </c>
      <c r="U293" s="376"/>
      <c r="V293" s="376">
        <f t="shared" si="56"/>
        <v>0</v>
      </c>
      <c r="W293" s="347">
        <f>IF(B293&gt;$C$77,0,$C$272+SUM($J$275:J293))</f>
        <v>0</v>
      </c>
      <c r="X293" s="378">
        <f t="shared" si="57"/>
        <v>0</v>
      </c>
    </row>
    <row r="294" spans="1:24" s="540" customFormat="1" x14ac:dyDescent="0.45">
      <c r="A294" s="550"/>
      <c r="B294" s="344">
        <v>19</v>
      </c>
      <c r="C294" s="1038">
        <f t="shared" si="46"/>
        <v>0</v>
      </c>
      <c r="D294" s="376">
        <f t="shared" si="47"/>
        <v>0</v>
      </c>
      <c r="E294" s="1038">
        <f t="shared" si="48"/>
        <v>0</v>
      </c>
      <c r="F294" s="376">
        <f t="shared" si="49"/>
        <v>0</v>
      </c>
      <c r="G294" s="345">
        <v>0</v>
      </c>
      <c r="H294" s="376">
        <f t="shared" si="40"/>
        <v>0</v>
      </c>
      <c r="I294" s="345">
        <v>2.564E-2</v>
      </c>
      <c r="J294" s="376">
        <f t="shared" si="50"/>
        <v>0</v>
      </c>
      <c r="K294" s="377">
        <f t="shared" si="41"/>
        <v>0</v>
      </c>
      <c r="L294" s="376">
        <f t="shared" si="42"/>
        <v>0</v>
      </c>
      <c r="M294" s="376">
        <f t="shared" si="43"/>
        <v>0</v>
      </c>
      <c r="N294" s="376">
        <f t="shared" si="44"/>
        <v>0</v>
      </c>
      <c r="O294" s="347">
        <f t="shared" si="51"/>
        <v>0</v>
      </c>
      <c r="P294" s="347">
        <f t="shared" si="52"/>
        <v>0</v>
      </c>
      <c r="Q294" s="347">
        <f t="shared" si="53"/>
        <v>0</v>
      </c>
      <c r="R294" s="376">
        <f t="shared" si="54"/>
        <v>0</v>
      </c>
      <c r="S294" s="376">
        <f t="shared" si="45"/>
        <v>0</v>
      </c>
      <c r="T294" s="376">
        <f t="shared" si="55"/>
        <v>0</v>
      </c>
      <c r="U294" s="376"/>
      <c r="V294" s="376">
        <f t="shared" si="56"/>
        <v>0</v>
      </c>
      <c r="W294" s="347">
        <f>IF(B294&gt;$C$77,0,$C$272+SUM($J$275:J294))</f>
        <v>0</v>
      </c>
      <c r="X294" s="378">
        <f t="shared" si="57"/>
        <v>0</v>
      </c>
    </row>
    <row r="295" spans="1:24" s="540" customFormat="1" x14ac:dyDescent="0.45">
      <c r="A295" s="550"/>
      <c r="B295" s="344">
        <v>20</v>
      </c>
      <c r="C295" s="1038">
        <f t="shared" si="46"/>
        <v>0</v>
      </c>
      <c r="D295" s="376">
        <f t="shared" si="47"/>
        <v>0</v>
      </c>
      <c r="E295" s="1038">
        <f t="shared" si="48"/>
        <v>0</v>
      </c>
      <c r="F295" s="376">
        <f t="shared" si="49"/>
        <v>0</v>
      </c>
      <c r="G295" s="345">
        <v>0</v>
      </c>
      <c r="H295" s="376">
        <f t="shared" si="40"/>
        <v>0</v>
      </c>
      <c r="I295" s="345">
        <v>2.564E-2</v>
      </c>
      <c r="J295" s="376">
        <f t="shared" si="50"/>
        <v>0</v>
      </c>
      <c r="K295" s="377">
        <f t="shared" si="41"/>
        <v>0</v>
      </c>
      <c r="L295" s="376">
        <f t="shared" si="42"/>
        <v>0</v>
      </c>
      <c r="M295" s="376">
        <f t="shared" si="43"/>
        <v>0</v>
      </c>
      <c r="N295" s="376">
        <f t="shared" si="44"/>
        <v>0</v>
      </c>
      <c r="O295" s="347">
        <f t="shared" si="51"/>
        <v>0</v>
      </c>
      <c r="P295" s="347">
        <f t="shared" si="52"/>
        <v>0</v>
      </c>
      <c r="Q295" s="347">
        <f t="shared" si="53"/>
        <v>0</v>
      </c>
      <c r="R295" s="376">
        <f t="shared" si="54"/>
        <v>0</v>
      </c>
      <c r="S295" s="376">
        <f t="shared" si="45"/>
        <v>0</v>
      </c>
      <c r="T295" s="376">
        <f t="shared" si="55"/>
        <v>0</v>
      </c>
      <c r="U295" s="376"/>
      <c r="V295" s="376">
        <f t="shared" si="56"/>
        <v>0</v>
      </c>
      <c r="W295" s="347">
        <f>IF(B295&gt;$C$77,0,$C$272+SUM($J$275:J295))</f>
        <v>0</v>
      </c>
      <c r="X295" s="378">
        <f t="shared" si="57"/>
        <v>0</v>
      </c>
    </row>
    <row r="296" spans="1:24" s="540" customFormat="1" x14ac:dyDescent="0.45">
      <c r="A296" s="550"/>
      <c r="B296" s="344"/>
      <c r="C296" s="1038"/>
      <c r="D296" s="349"/>
      <c r="E296" s="345"/>
      <c r="F296" s="349"/>
      <c r="G296" s="345"/>
      <c r="H296" s="349"/>
      <c r="I296" s="345"/>
      <c r="J296" s="349"/>
      <c r="K296" s="349"/>
      <c r="L296" s="349"/>
      <c r="M296" s="349"/>
      <c r="N296" s="345"/>
      <c r="O296" s="345"/>
      <c r="P296" s="345"/>
      <c r="Q296" s="345"/>
      <c r="R296" s="349"/>
      <c r="S296" s="349"/>
      <c r="T296" s="345"/>
      <c r="U296" s="345"/>
      <c r="V296" s="345"/>
      <c r="W296" s="348" t="s">
        <v>158</v>
      </c>
      <c r="X296" s="353">
        <f>NPV($C$201,X276:X295)+X275</f>
        <v>0</v>
      </c>
    </row>
    <row r="297" spans="1:24" s="540" customFormat="1" x14ac:dyDescent="0.45">
      <c r="A297" s="550"/>
      <c r="B297" s="344"/>
      <c r="C297" s="1038"/>
      <c r="D297" s="360"/>
      <c r="E297" s="345"/>
      <c r="F297" s="360"/>
      <c r="G297" s="345"/>
      <c r="H297" s="360"/>
      <c r="I297" s="345"/>
      <c r="J297" s="360"/>
      <c r="K297" s="360"/>
      <c r="L297" s="360"/>
      <c r="M297" s="360"/>
      <c r="N297" s="345"/>
      <c r="O297" s="345"/>
      <c r="P297" s="345"/>
      <c r="Q297" s="345"/>
      <c r="R297" s="360"/>
      <c r="S297" s="360"/>
      <c r="T297" s="345"/>
      <c r="U297" s="345"/>
      <c r="V297" s="345"/>
      <c r="W297" s="348" t="s">
        <v>134</v>
      </c>
      <c r="X297" s="837">
        <f>IRR(X275:X295,0.1)</f>
        <v>0.10000000000000009</v>
      </c>
    </row>
    <row r="298" spans="1:24" s="540" customFormat="1" x14ac:dyDescent="0.45">
      <c r="A298" s="550"/>
      <c r="B298" s="344"/>
      <c r="C298" s="1038"/>
      <c r="D298" s="828"/>
      <c r="E298" s="345"/>
      <c r="F298" s="345"/>
      <c r="G298" s="345"/>
      <c r="H298" s="345"/>
      <c r="I298" s="345"/>
      <c r="J298" s="348"/>
      <c r="K298" s="345"/>
      <c r="L298" s="345"/>
      <c r="M298" s="345"/>
      <c r="N298" s="345"/>
      <c r="O298" s="345"/>
      <c r="P298" s="345"/>
      <c r="Q298" s="345"/>
      <c r="R298" s="345"/>
      <c r="S298" s="345"/>
      <c r="T298" s="345"/>
      <c r="U298" s="345"/>
      <c r="V298" s="345"/>
      <c r="W298" s="345"/>
      <c r="X298" s="346"/>
    </row>
    <row r="299" spans="1:24" s="540" customFormat="1" x14ac:dyDescent="0.45">
      <c r="A299" s="550"/>
      <c r="B299" s="357" t="s">
        <v>32</v>
      </c>
      <c r="C299" s="1038"/>
      <c r="D299" s="358"/>
      <c r="E299" s="345"/>
      <c r="F299" s="348"/>
      <c r="G299" s="345"/>
      <c r="H299" s="345"/>
      <c r="I299" s="345"/>
      <c r="J299" s="345"/>
      <c r="K299" s="345"/>
      <c r="L299" s="345"/>
      <c r="M299" s="345"/>
      <c r="N299" s="345"/>
      <c r="O299" s="345"/>
      <c r="P299" s="345"/>
      <c r="Q299" s="345"/>
      <c r="R299" s="345"/>
      <c r="S299" s="345"/>
      <c r="T299" s="345"/>
      <c r="U299" s="345"/>
      <c r="V299" s="345"/>
      <c r="W299" s="345"/>
      <c r="X299" s="346"/>
    </row>
    <row r="300" spans="1:24" s="540" customFormat="1" x14ac:dyDescent="0.45">
      <c r="A300" s="550"/>
      <c r="B300" s="344" t="s">
        <v>274</v>
      </c>
      <c r="C300" s="832">
        <f>$D$85*$C$78</f>
        <v>33268158</v>
      </c>
      <c r="D300" s="345" t="s">
        <v>1</v>
      </c>
      <c r="E300" s="345"/>
      <c r="F300" s="345"/>
      <c r="G300" s="345"/>
      <c r="H300" s="345"/>
      <c r="I300" s="345"/>
      <c r="J300" s="345"/>
      <c r="K300" s="345"/>
      <c r="L300" s="345"/>
      <c r="M300" s="345"/>
      <c r="N300" s="345"/>
      <c r="O300" s="345"/>
      <c r="P300" s="345"/>
      <c r="Q300" s="345"/>
      <c r="R300" s="345"/>
      <c r="S300" s="345"/>
      <c r="T300" s="345"/>
      <c r="U300" s="345"/>
      <c r="V300" s="345"/>
      <c r="W300" s="345"/>
      <c r="X300" s="346"/>
    </row>
    <row r="301" spans="1:24" s="540" customFormat="1" x14ac:dyDescent="0.45">
      <c r="A301" s="550"/>
      <c r="B301" s="344" t="s">
        <v>275</v>
      </c>
      <c r="C301" s="832">
        <f>$E$85*$C$79</f>
        <v>9052560</v>
      </c>
      <c r="D301" s="345" t="s">
        <v>1</v>
      </c>
      <c r="E301" s="345"/>
      <c r="F301" s="345"/>
      <c r="G301" s="347"/>
      <c r="H301" s="345"/>
      <c r="I301" s="345"/>
      <c r="J301" s="345"/>
      <c r="K301" s="345"/>
      <c r="L301" s="345"/>
      <c r="M301" s="345"/>
      <c r="N301" s="345"/>
      <c r="O301" s="345"/>
      <c r="P301" s="345"/>
      <c r="Q301" s="345"/>
      <c r="R301" s="345"/>
      <c r="S301" s="345"/>
      <c r="T301" s="345"/>
      <c r="U301" s="345"/>
      <c r="V301" s="345"/>
      <c r="W301" s="345"/>
      <c r="X301" s="346"/>
    </row>
    <row r="302" spans="1:24" s="540" customFormat="1" x14ac:dyDescent="0.45">
      <c r="A302" s="550"/>
      <c r="B302" s="829"/>
      <c r="C302" s="1038"/>
      <c r="D302" s="358"/>
      <c r="E302" s="345"/>
      <c r="F302" s="348"/>
      <c r="G302" s="345"/>
      <c r="H302" s="345"/>
      <c r="I302" s="345"/>
      <c r="J302" s="345"/>
      <c r="K302" s="345"/>
      <c r="L302" s="345"/>
      <c r="M302" s="345"/>
      <c r="N302" s="345"/>
      <c r="O302" s="345"/>
      <c r="P302" s="345"/>
      <c r="Q302" s="345"/>
      <c r="R302" s="345"/>
      <c r="S302" s="345"/>
      <c r="T302" s="345"/>
      <c r="U302" s="345"/>
      <c r="V302" s="345"/>
      <c r="W302" s="345"/>
      <c r="X302" s="346"/>
    </row>
    <row r="303" spans="1:24" s="540" customFormat="1" x14ac:dyDescent="0.45">
      <c r="A303" s="550"/>
      <c r="B303" s="354" t="s">
        <v>27</v>
      </c>
      <c r="C303" s="1040" t="s">
        <v>379</v>
      </c>
      <c r="D303" s="355" t="s">
        <v>128</v>
      </c>
      <c r="E303" s="355" t="s">
        <v>380</v>
      </c>
      <c r="F303" s="355" t="s">
        <v>245</v>
      </c>
      <c r="G303" s="355" t="s">
        <v>367</v>
      </c>
      <c r="H303" s="355" t="s">
        <v>368</v>
      </c>
      <c r="I303" s="355" t="s">
        <v>369</v>
      </c>
      <c r="J303" s="355" t="s">
        <v>370</v>
      </c>
      <c r="K303" s="355" t="s">
        <v>131</v>
      </c>
      <c r="L303" s="355" t="s">
        <v>130</v>
      </c>
      <c r="M303" s="355" t="s">
        <v>129</v>
      </c>
      <c r="N303" s="355" t="s">
        <v>374</v>
      </c>
      <c r="O303" s="355" t="s">
        <v>124</v>
      </c>
      <c r="P303" s="355" t="s">
        <v>125</v>
      </c>
      <c r="Q303" s="355" t="s">
        <v>126</v>
      </c>
      <c r="R303" s="355" t="s">
        <v>155</v>
      </c>
      <c r="S303" s="355" t="s">
        <v>157</v>
      </c>
      <c r="T303" s="355" t="s">
        <v>156</v>
      </c>
      <c r="U303" s="345" t="s">
        <v>280</v>
      </c>
      <c r="V303" s="355" t="s">
        <v>375</v>
      </c>
      <c r="W303" s="355" t="s">
        <v>373</v>
      </c>
      <c r="X303" s="835" t="s">
        <v>164</v>
      </c>
    </row>
    <row r="304" spans="1:24" s="540" customFormat="1" x14ac:dyDescent="0.45">
      <c r="A304" s="550"/>
      <c r="B304" s="359">
        <v>0</v>
      </c>
      <c r="C304" s="1039">
        <v>0.23688097414065112</v>
      </c>
      <c r="D304" s="375">
        <v>0</v>
      </c>
      <c r="E304" s="833">
        <f>SUM(K32:K48)</f>
        <v>0.19622735076061651</v>
      </c>
      <c r="F304" s="375">
        <v>0</v>
      </c>
      <c r="G304" s="345">
        <v>0</v>
      </c>
      <c r="H304" s="376">
        <f t="shared" ref="H304:H324" si="58">IF(D304&gt;0,-1*G304*$C$300,0)</f>
        <v>0</v>
      </c>
      <c r="I304" s="376">
        <v>0</v>
      </c>
      <c r="J304" s="376">
        <v>0</v>
      </c>
      <c r="K304" s="379">
        <f t="shared" ref="K304:K324" si="59">D304+F304+H304+J304</f>
        <v>0</v>
      </c>
      <c r="L304" s="375">
        <f t="shared" ref="L304:L324" si="60">IF(F304&lt;&gt;0,-1*($C$203+$C$204)*D304,0)</f>
        <v>0</v>
      </c>
      <c r="M304" s="375">
        <f t="shared" ref="M304:M324" si="61">K304+L304</f>
        <v>0</v>
      </c>
      <c r="N304" s="376">
        <f t="shared" ref="N304:N324" si="62">IF(V304&gt;0,V304-W304,0)</f>
        <v>0</v>
      </c>
      <c r="O304" s="347">
        <v>0</v>
      </c>
      <c r="P304" s="347">
        <v>0</v>
      </c>
      <c r="Q304" s="347">
        <v>0</v>
      </c>
      <c r="R304" s="376">
        <f>IF(M304&gt;0,-1*(M304+N304)*$C$202,0)</f>
        <v>0</v>
      </c>
      <c r="S304" s="375">
        <f t="shared" ref="S304:S324" si="63">IF(B304=$C$78,0,$C$205/12*(D305+F305+L305))</f>
        <v>2230700.7901380039</v>
      </c>
      <c r="T304" s="375">
        <f>S304</f>
        <v>2230700.7901380039</v>
      </c>
      <c r="U304" s="375">
        <f>-1*(C300+C301)</f>
        <v>-42320718</v>
      </c>
      <c r="V304" s="376">
        <v>0</v>
      </c>
      <c r="W304" s="347">
        <f>IF(B304&gt;$C$78,0,$C$301+SUM($J$304:J304))</f>
        <v>9052560</v>
      </c>
      <c r="X304" s="836">
        <f>-T304+U304</f>
        <v>-44551418.790138006</v>
      </c>
    </row>
    <row r="305" spans="1:24" s="540" customFormat="1" x14ac:dyDescent="0.45">
      <c r="A305" s="757"/>
      <c r="B305" s="344">
        <v>1</v>
      </c>
      <c r="C305" s="1038">
        <f t="shared" ref="C305:C324" si="64">IF(B305&gt;$C$78,0,$C$304*(1+$C$199)^B305)</f>
        <v>0.24209235557174547</v>
      </c>
      <c r="D305" s="376">
        <f t="shared" ref="D305:D324" si="65">C305*$C$198*1000000</f>
        <v>133934863.81464098</v>
      </c>
      <c r="E305" s="1038">
        <f t="shared" ref="E305:E324" si="66">IF(B305&gt;$C$78,0,$E$304*(1+$C$200)^B305)</f>
        <v>0.20054435247735009</v>
      </c>
      <c r="F305" s="376">
        <f t="shared" ref="F305:F324" si="67">-1*E305*$C$198*1000000</f>
        <v>-110948899.95355166</v>
      </c>
      <c r="G305" s="345">
        <v>0.1429</v>
      </c>
      <c r="H305" s="376">
        <f t="shared" si="58"/>
        <v>-4754019.7781999996</v>
      </c>
      <c r="I305" s="345">
        <v>1.391E-2</v>
      </c>
      <c r="J305" s="376">
        <f t="shared" ref="J305:J324" si="68">IF(D305&gt;0,-1*$C$301*I305,0)</f>
        <v>-125921.10960000001</v>
      </c>
      <c r="K305" s="377">
        <f t="shared" si="59"/>
        <v>18106022.973289318</v>
      </c>
      <c r="L305" s="376">
        <f t="shared" si="60"/>
        <v>-14063160.700537303</v>
      </c>
      <c r="M305" s="376">
        <f t="shared" si="61"/>
        <v>4042862.2727520149</v>
      </c>
      <c r="N305" s="376">
        <f t="shared" si="62"/>
        <v>0</v>
      </c>
      <c r="O305" s="347">
        <f t="shared" ref="O305:O324" si="69">IF(M305&lt;0,M305*-1,0)</f>
        <v>0</v>
      </c>
      <c r="P305" s="347">
        <f t="shared" ref="P305:P324" si="70">P304+O305-Q305</f>
        <v>0</v>
      </c>
      <c r="Q305" s="347">
        <f t="shared" ref="Q305:Q324" si="71">IF(B305=$C$78+1,O305,IF(AND(M305&gt;0, P304&gt;0), MIN(M305,P304),0))</f>
        <v>0</v>
      </c>
      <c r="R305" s="376">
        <f t="shared" ref="R305:R324" si="72">IF(M305&gt;0,-1*(M305+N305-Q305)*$C$202,0)</f>
        <v>-1127958.5740978119</v>
      </c>
      <c r="S305" s="376">
        <f t="shared" si="63"/>
        <v>2279776.2075210381</v>
      </c>
      <c r="T305" s="376">
        <f t="shared" ref="T305:T324" si="73">(S305-S304)</f>
        <v>49075.417383034248</v>
      </c>
      <c r="U305" s="376"/>
      <c r="V305" s="376">
        <f t="shared" ref="V305:V324" si="74">IF(B305=$C$78,$C$301*(1-1/$C$79*B305),0)</f>
        <v>0</v>
      </c>
      <c r="W305" s="347">
        <f>IF(B305&gt;$C$78,0,$C$301+SUM($J$304:J305))</f>
        <v>8926638.8903999999</v>
      </c>
      <c r="X305" s="378">
        <f t="shared" ref="X305:X324" si="75">M305+R305-1*(H305+J305)-T305+U305+V305</f>
        <v>7745769.1690711677</v>
      </c>
    </row>
    <row r="306" spans="1:24" s="540" customFormat="1" x14ac:dyDescent="0.45">
      <c r="A306" s="550"/>
      <c r="B306" s="344">
        <v>2</v>
      </c>
      <c r="C306" s="1038">
        <f t="shared" si="64"/>
        <v>0.24741838739432384</v>
      </c>
      <c r="D306" s="376">
        <f t="shared" si="65"/>
        <v>136881430.81856307</v>
      </c>
      <c r="E306" s="1038">
        <f t="shared" si="66"/>
        <v>0.20495632823185178</v>
      </c>
      <c r="F306" s="376">
        <f t="shared" si="67"/>
        <v>-113389775.7525298</v>
      </c>
      <c r="G306" s="345">
        <v>0.24490000000000001</v>
      </c>
      <c r="H306" s="376">
        <f t="shared" si="58"/>
        <v>-8147371.8942</v>
      </c>
      <c r="I306" s="345">
        <v>2.564E-2</v>
      </c>
      <c r="J306" s="376">
        <f t="shared" si="68"/>
        <v>-232107.6384</v>
      </c>
      <c r="K306" s="377">
        <f t="shared" si="59"/>
        <v>15112175.533433273</v>
      </c>
      <c r="L306" s="376">
        <f t="shared" si="60"/>
        <v>-14372550.235949121</v>
      </c>
      <c r="M306" s="376">
        <f t="shared" si="61"/>
        <v>739625.29748415202</v>
      </c>
      <c r="N306" s="376">
        <f t="shared" si="62"/>
        <v>0</v>
      </c>
      <c r="O306" s="347">
        <f t="shared" si="69"/>
        <v>0</v>
      </c>
      <c r="P306" s="347">
        <f t="shared" si="70"/>
        <v>0</v>
      </c>
      <c r="Q306" s="347">
        <f t="shared" si="71"/>
        <v>0</v>
      </c>
      <c r="R306" s="376">
        <f t="shared" si="72"/>
        <v>-206355.4579980784</v>
      </c>
      <c r="S306" s="376">
        <f t="shared" si="63"/>
        <v>2329931.2840865026</v>
      </c>
      <c r="T306" s="376">
        <f t="shared" si="73"/>
        <v>50155.076565464493</v>
      </c>
      <c r="U306" s="376"/>
      <c r="V306" s="376">
        <f t="shared" si="74"/>
        <v>0</v>
      </c>
      <c r="W306" s="347">
        <f>IF(B306&gt;$C$78,0,$C$301+SUM($J$304:J306))</f>
        <v>8694531.2520000003</v>
      </c>
      <c r="X306" s="378">
        <f t="shared" si="75"/>
        <v>8862594.2955206074</v>
      </c>
    </row>
    <row r="307" spans="1:24" s="540" customFormat="1" x14ac:dyDescent="0.45">
      <c r="A307" s="550"/>
      <c r="B307" s="344">
        <v>3</v>
      </c>
      <c r="C307" s="1038">
        <f t="shared" si="64"/>
        <v>0.25286159191699897</v>
      </c>
      <c r="D307" s="376">
        <f t="shared" si="65"/>
        <v>139892822.29657146</v>
      </c>
      <c r="E307" s="1038">
        <f t="shared" si="66"/>
        <v>0.20946536745295252</v>
      </c>
      <c r="F307" s="376">
        <f t="shared" si="67"/>
        <v>-115884350.81908545</v>
      </c>
      <c r="G307" s="345">
        <v>0.1749</v>
      </c>
      <c r="H307" s="376">
        <f t="shared" si="58"/>
        <v>-5818600.8342000004</v>
      </c>
      <c r="I307" s="345">
        <v>2.564E-2</v>
      </c>
      <c r="J307" s="376">
        <f t="shared" si="68"/>
        <v>-232107.6384</v>
      </c>
      <c r="K307" s="377">
        <f t="shared" si="59"/>
        <v>17957763.004886013</v>
      </c>
      <c r="L307" s="376">
        <f t="shared" si="60"/>
        <v>-14688746.341140004</v>
      </c>
      <c r="M307" s="376">
        <f t="shared" si="61"/>
        <v>3269016.6637460086</v>
      </c>
      <c r="N307" s="376">
        <f t="shared" si="62"/>
        <v>0</v>
      </c>
      <c r="O307" s="347">
        <f t="shared" si="69"/>
        <v>0</v>
      </c>
      <c r="P307" s="347">
        <f t="shared" si="70"/>
        <v>0</v>
      </c>
      <c r="Q307" s="347">
        <f t="shared" si="71"/>
        <v>0</v>
      </c>
      <c r="R307" s="376">
        <f t="shared" si="72"/>
        <v>-912055.64918513631</v>
      </c>
      <c r="S307" s="376">
        <f t="shared" si="63"/>
        <v>2381189.7723363996</v>
      </c>
      <c r="T307" s="376">
        <f t="shared" si="73"/>
        <v>51258.488249897026</v>
      </c>
      <c r="U307" s="376"/>
      <c r="V307" s="376">
        <f t="shared" si="74"/>
        <v>0</v>
      </c>
      <c r="W307" s="347">
        <f>IF(B307&gt;$C$78,0,$C$301+SUM($J$304:J307))</f>
        <v>8462423.6136000007</v>
      </c>
      <c r="X307" s="378">
        <f t="shared" si="75"/>
        <v>8356410.9989109756</v>
      </c>
    </row>
    <row r="308" spans="1:24" s="540" customFormat="1" x14ac:dyDescent="0.45">
      <c r="A308" s="550"/>
      <c r="B308" s="344">
        <v>4</v>
      </c>
      <c r="C308" s="1038">
        <f t="shared" si="64"/>
        <v>0.25842454693917294</v>
      </c>
      <c r="D308" s="376">
        <f t="shared" si="65"/>
        <v>142970464.38709602</v>
      </c>
      <c r="E308" s="1038">
        <f t="shared" si="66"/>
        <v>0.21407360553691748</v>
      </c>
      <c r="F308" s="376">
        <f t="shared" si="67"/>
        <v>-118433806.53710534</v>
      </c>
      <c r="G308" s="345">
        <v>0.1249</v>
      </c>
      <c r="H308" s="376">
        <f t="shared" si="58"/>
        <v>-4155192.9342</v>
      </c>
      <c r="I308" s="345">
        <v>2.564E-2</v>
      </c>
      <c r="J308" s="376">
        <f t="shared" si="68"/>
        <v>-232107.6384</v>
      </c>
      <c r="K308" s="377">
        <f t="shared" si="59"/>
        <v>20149357.277390681</v>
      </c>
      <c r="L308" s="376">
        <f t="shared" si="60"/>
        <v>-15011898.760645082</v>
      </c>
      <c r="M308" s="376">
        <f t="shared" si="61"/>
        <v>5137458.516745599</v>
      </c>
      <c r="N308" s="376">
        <f t="shared" si="62"/>
        <v>0</v>
      </c>
      <c r="O308" s="347">
        <f t="shared" si="69"/>
        <v>0</v>
      </c>
      <c r="P308" s="347">
        <f t="shared" si="70"/>
        <v>0</v>
      </c>
      <c r="Q308" s="347">
        <f t="shared" si="71"/>
        <v>0</v>
      </c>
      <c r="R308" s="376">
        <f t="shared" si="72"/>
        <v>-1433350.926172022</v>
      </c>
      <c r="S308" s="376">
        <f t="shared" si="63"/>
        <v>2433575.9473278001</v>
      </c>
      <c r="T308" s="376">
        <f t="shared" si="73"/>
        <v>52386.174991400447</v>
      </c>
      <c r="U308" s="376"/>
      <c r="V308" s="376">
        <f t="shared" si="74"/>
        <v>0</v>
      </c>
      <c r="W308" s="347">
        <f>IF(B308&gt;$C$78,0,$C$301+SUM($J$304:J308))</f>
        <v>8230315.9752000002</v>
      </c>
      <c r="X308" s="378">
        <f t="shared" si="75"/>
        <v>8039021.9881821759</v>
      </c>
    </row>
    <row r="309" spans="1:24" s="540" customFormat="1" x14ac:dyDescent="0.45">
      <c r="A309" s="550"/>
      <c r="B309" s="344">
        <v>5</v>
      </c>
      <c r="C309" s="1038">
        <f t="shared" si="64"/>
        <v>0.26410988697183474</v>
      </c>
      <c r="D309" s="376">
        <f t="shared" si="65"/>
        <v>146115814.60361212</v>
      </c>
      <c r="E309" s="1038">
        <f t="shared" si="66"/>
        <v>0.21878322485872967</v>
      </c>
      <c r="F309" s="376">
        <f t="shared" si="67"/>
        <v>-121039350.28092165</v>
      </c>
      <c r="G309" s="345">
        <v>8.9300000000000004E-2</v>
      </c>
      <c r="H309" s="376">
        <f t="shared" si="58"/>
        <v>-2970846.5094000003</v>
      </c>
      <c r="I309" s="345">
        <v>2.564E-2</v>
      </c>
      <c r="J309" s="376">
        <f t="shared" si="68"/>
        <v>-232107.6384</v>
      </c>
      <c r="K309" s="377">
        <f t="shared" si="59"/>
        <v>21873510.174890473</v>
      </c>
      <c r="L309" s="376">
        <f t="shared" si="60"/>
        <v>-15342160.533379272</v>
      </c>
      <c r="M309" s="376">
        <f t="shared" si="61"/>
        <v>6531349.6415112019</v>
      </c>
      <c r="N309" s="376">
        <f t="shared" si="62"/>
        <v>0</v>
      </c>
      <c r="O309" s="347">
        <f t="shared" si="69"/>
        <v>0</v>
      </c>
      <c r="P309" s="347">
        <f t="shared" si="70"/>
        <v>0</v>
      </c>
      <c r="Q309" s="347">
        <f t="shared" si="71"/>
        <v>0</v>
      </c>
      <c r="R309" s="376">
        <f t="shared" si="72"/>
        <v>-1822246.5499816251</v>
      </c>
      <c r="S309" s="376">
        <f t="shared" si="63"/>
        <v>2487114.6181690143</v>
      </c>
      <c r="T309" s="376">
        <f t="shared" si="73"/>
        <v>53538.670841214247</v>
      </c>
      <c r="U309" s="376"/>
      <c r="V309" s="376">
        <f t="shared" si="74"/>
        <v>0</v>
      </c>
      <c r="W309" s="347">
        <f>IF(B309&gt;$C$78,0,$C$301+SUM($J$304:J309))</f>
        <v>7998208.3367999997</v>
      </c>
      <c r="X309" s="378">
        <f t="shared" si="75"/>
        <v>7858518.5684883632</v>
      </c>
    </row>
    <row r="310" spans="1:24" s="540" customFormat="1" x14ac:dyDescent="0.45">
      <c r="A310" s="550"/>
      <c r="B310" s="344">
        <v>6</v>
      </c>
      <c r="C310" s="1038">
        <f t="shared" si="64"/>
        <v>0.26992030448521509</v>
      </c>
      <c r="D310" s="376">
        <f t="shared" si="65"/>
        <v>149330362.52489159</v>
      </c>
      <c r="E310" s="1038">
        <f t="shared" si="66"/>
        <v>0.22359645580562168</v>
      </c>
      <c r="F310" s="376">
        <f t="shared" si="67"/>
        <v>-123702215.98710191</v>
      </c>
      <c r="G310" s="345">
        <v>8.9200000000000002E-2</v>
      </c>
      <c r="H310" s="376">
        <f t="shared" si="58"/>
        <v>-2967519.6935999999</v>
      </c>
      <c r="I310" s="345">
        <v>2.564E-2</v>
      </c>
      <c r="J310" s="376">
        <f t="shared" si="68"/>
        <v>-232107.6384</v>
      </c>
      <c r="K310" s="377">
        <f t="shared" si="59"/>
        <v>22428519.205789674</v>
      </c>
      <c r="L310" s="376">
        <f t="shared" si="60"/>
        <v>-15679688.065113615</v>
      </c>
      <c r="M310" s="376">
        <f t="shared" si="61"/>
        <v>6748831.1406760588</v>
      </c>
      <c r="N310" s="376">
        <f t="shared" si="62"/>
        <v>0</v>
      </c>
      <c r="O310" s="347">
        <f t="shared" si="69"/>
        <v>0</v>
      </c>
      <c r="P310" s="347">
        <f t="shared" si="70"/>
        <v>0</v>
      </c>
      <c r="Q310" s="347">
        <f t="shared" si="71"/>
        <v>0</v>
      </c>
      <c r="R310" s="376">
        <f t="shared" si="72"/>
        <v>-1882923.8882486203</v>
      </c>
      <c r="S310" s="376">
        <f t="shared" si="63"/>
        <v>2541831.1397687388</v>
      </c>
      <c r="T310" s="376">
        <f t="shared" si="73"/>
        <v>54716.521599724423</v>
      </c>
      <c r="U310" s="376"/>
      <c r="V310" s="376">
        <f t="shared" si="74"/>
        <v>0</v>
      </c>
      <c r="W310" s="347">
        <f>IF(B310&gt;$C$78,0,$C$301+SUM($J$304:J310))</f>
        <v>7766100.6984000001</v>
      </c>
      <c r="X310" s="378">
        <f t="shared" si="75"/>
        <v>8010818.0628277138</v>
      </c>
    </row>
    <row r="311" spans="1:24" s="540" customFormat="1" x14ac:dyDescent="0.45">
      <c r="A311" s="550"/>
      <c r="B311" s="344">
        <v>7</v>
      </c>
      <c r="C311" s="1038">
        <f t="shared" si="64"/>
        <v>0.27585855118388986</v>
      </c>
      <c r="D311" s="376">
        <f t="shared" si="65"/>
        <v>152615630.50043923</v>
      </c>
      <c r="E311" s="1038">
        <f t="shared" si="66"/>
        <v>0.22851557783334539</v>
      </c>
      <c r="F311" s="376">
        <f t="shared" si="67"/>
        <v>-126423664.73881815</v>
      </c>
      <c r="G311" s="345">
        <v>8.9300000000000004E-2</v>
      </c>
      <c r="H311" s="376">
        <f t="shared" si="58"/>
        <v>-2970846.5094000003</v>
      </c>
      <c r="I311" s="345">
        <v>2.564E-2</v>
      </c>
      <c r="J311" s="376">
        <f t="shared" si="68"/>
        <v>-232107.6384</v>
      </c>
      <c r="K311" s="377">
        <f t="shared" si="59"/>
        <v>22989011.613821074</v>
      </c>
      <c r="L311" s="376">
        <f t="shared" si="60"/>
        <v>-16024641.202546118</v>
      </c>
      <c r="M311" s="376">
        <f t="shared" si="61"/>
        <v>6964370.4112749565</v>
      </c>
      <c r="N311" s="376">
        <f t="shared" si="62"/>
        <v>-1016149.8599999994</v>
      </c>
      <c r="O311" s="347">
        <f t="shared" si="69"/>
        <v>0</v>
      </c>
      <c r="P311" s="347">
        <f t="shared" si="70"/>
        <v>0</v>
      </c>
      <c r="Q311" s="347">
        <f t="shared" si="71"/>
        <v>0</v>
      </c>
      <c r="R311" s="376">
        <f t="shared" si="72"/>
        <v>-1659553.5338057128</v>
      </c>
      <c r="S311" s="376">
        <f t="shared" si="63"/>
        <v>0</v>
      </c>
      <c r="T311" s="376">
        <f t="shared" si="73"/>
        <v>-2541831.1397687388</v>
      </c>
      <c r="U311" s="376"/>
      <c r="V311" s="376">
        <f t="shared" si="74"/>
        <v>6517843.2000000002</v>
      </c>
      <c r="W311" s="347">
        <f>IF(B311&gt;$C$78,0,$C$301+SUM($J$304:J311))</f>
        <v>7533993.0599999996</v>
      </c>
      <c r="X311" s="378">
        <f t="shared" si="75"/>
        <v>17567445.365037981</v>
      </c>
    </row>
    <row r="312" spans="1:24" s="540" customFormat="1" x14ac:dyDescent="0.45">
      <c r="A312" s="550"/>
      <c r="B312" s="344">
        <v>8</v>
      </c>
      <c r="C312" s="1038">
        <f t="shared" si="64"/>
        <v>0</v>
      </c>
      <c r="D312" s="376">
        <f t="shared" si="65"/>
        <v>0</v>
      </c>
      <c r="E312" s="1038">
        <f t="shared" si="66"/>
        <v>0</v>
      </c>
      <c r="F312" s="376">
        <f t="shared" si="67"/>
        <v>0</v>
      </c>
      <c r="G312" s="345">
        <v>4.4600000000000001E-2</v>
      </c>
      <c r="H312" s="376">
        <f t="shared" si="58"/>
        <v>0</v>
      </c>
      <c r="I312" s="345">
        <v>2.564E-2</v>
      </c>
      <c r="J312" s="376">
        <f t="shared" si="68"/>
        <v>0</v>
      </c>
      <c r="K312" s="377">
        <f t="shared" si="59"/>
        <v>0</v>
      </c>
      <c r="L312" s="376">
        <f t="shared" si="60"/>
        <v>0</v>
      </c>
      <c r="M312" s="376">
        <f t="shared" si="61"/>
        <v>0</v>
      </c>
      <c r="N312" s="376">
        <f t="shared" si="62"/>
        <v>0</v>
      </c>
      <c r="O312" s="347">
        <f t="shared" si="69"/>
        <v>0</v>
      </c>
      <c r="P312" s="347">
        <f t="shared" si="70"/>
        <v>0</v>
      </c>
      <c r="Q312" s="347">
        <f t="shared" si="71"/>
        <v>0</v>
      </c>
      <c r="R312" s="376">
        <f t="shared" si="72"/>
        <v>0</v>
      </c>
      <c r="S312" s="376">
        <f t="shared" si="63"/>
        <v>0</v>
      </c>
      <c r="T312" s="376">
        <f t="shared" si="73"/>
        <v>0</v>
      </c>
      <c r="U312" s="376"/>
      <c r="V312" s="376">
        <f t="shared" si="74"/>
        <v>0</v>
      </c>
      <c r="W312" s="347">
        <f>IF(B312&gt;$C$78,0,$C$301+SUM($J$304:J312))</f>
        <v>0</v>
      </c>
      <c r="X312" s="378">
        <f t="shared" si="75"/>
        <v>0</v>
      </c>
    </row>
    <row r="313" spans="1:24" s="540" customFormat="1" x14ac:dyDescent="0.45">
      <c r="A313" s="550"/>
      <c r="B313" s="344">
        <v>9</v>
      </c>
      <c r="C313" s="1038">
        <f t="shared" si="64"/>
        <v>0</v>
      </c>
      <c r="D313" s="376">
        <f t="shared" si="65"/>
        <v>0</v>
      </c>
      <c r="E313" s="1038">
        <f t="shared" si="66"/>
        <v>0</v>
      </c>
      <c r="F313" s="376">
        <f t="shared" si="67"/>
        <v>0</v>
      </c>
      <c r="G313" s="345">
        <v>0</v>
      </c>
      <c r="H313" s="376">
        <f t="shared" si="58"/>
        <v>0</v>
      </c>
      <c r="I313" s="345">
        <v>2.564E-2</v>
      </c>
      <c r="J313" s="376">
        <f t="shared" si="68"/>
        <v>0</v>
      </c>
      <c r="K313" s="377">
        <f t="shared" si="59"/>
        <v>0</v>
      </c>
      <c r="L313" s="376">
        <f t="shared" si="60"/>
        <v>0</v>
      </c>
      <c r="M313" s="376">
        <f t="shared" si="61"/>
        <v>0</v>
      </c>
      <c r="N313" s="376">
        <f t="shared" si="62"/>
        <v>0</v>
      </c>
      <c r="O313" s="347">
        <f t="shared" si="69"/>
        <v>0</v>
      </c>
      <c r="P313" s="347">
        <f t="shared" si="70"/>
        <v>0</v>
      </c>
      <c r="Q313" s="347">
        <f t="shared" si="71"/>
        <v>0</v>
      </c>
      <c r="R313" s="376">
        <f t="shared" si="72"/>
        <v>0</v>
      </c>
      <c r="S313" s="376">
        <f t="shared" si="63"/>
        <v>0</v>
      </c>
      <c r="T313" s="376">
        <f t="shared" si="73"/>
        <v>0</v>
      </c>
      <c r="U313" s="376"/>
      <c r="V313" s="376">
        <f t="shared" si="74"/>
        <v>0</v>
      </c>
      <c r="W313" s="347">
        <f>IF(B313&gt;$C$78,0,$C$301+SUM($J$304:J313))</f>
        <v>0</v>
      </c>
      <c r="X313" s="378">
        <f t="shared" si="75"/>
        <v>0</v>
      </c>
    </row>
    <row r="314" spans="1:24" s="540" customFormat="1" x14ac:dyDescent="0.45">
      <c r="A314" s="550"/>
      <c r="B314" s="344">
        <v>10</v>
      </c>
      <c r="C314" s="1038">
        <f t="shared" si="64"/>
        <v>0</v>
      </c>
      <c r="D314" s="376">
        <f t="shared" si="65"/>
        <v>0</v>
      </c>
      <c r="E314" s="1038">
        <f t="shared" si="66"/>
        <v>0</v>
      </c>
      <c r="F314" s="376">
        <f t="shared" si="67"/>
        <v>0</v>
      </c>
      <c r="G314" s="345">
        <v>0</v>
      </c>
      <c r="H314" s="376">
        <f t="shared" si="58"/>
        <v>0</v>
      </c>
      <c r="I314" s="345">
        <v>2.564E-2</v>
      </c>
      <c r="J314" s="376">
        <f t="shared" si="68"/>
        <v>0</v>
      </c>
      <c r="K314" s="377">
        <f t="shared" si="59"/>
        <v>0</v>
      </c>
      <c r="L314" s="376">
        <f t="shared" si="60"/>
        <v>0</v>
      </c>
      <c r="M314" s="376">
        <f t="shared" si="61"/>
        <v>0</v>
      </c>
      <c r="N314" s="376">
        <f t="shared" si="62"/>
        <v>0</v>
      </c>
      <c r="O314" s="347">
        <f t="shared" si="69"/>
        <v>0</v>
      </c>
      <c r="P314" s="347">
        <f t="shared" si="70"/>
        <v>0</v>
      </c>
      <c r="Q314" s="347">
        <f t="shared" si="71"/>
        <v>0</v>
      </c>
      <c r="R314" s="376">
        <f t="shared" si="72"/>
        <v>0</v>
      </c>
      <c r="S314" s="376">
        <f t="shared" si="63"/>
        <v>0</v>
      </c>
      <c r="T314" s="376">
        <f t="shared" si="73"/>
        <v>0</v>
      </c>
      <c r="U314" s="376"/>
      <c r="V314" s="376">
        <f t="shared" si="74"/>
        <v>0</v>
      </c>
      <c r="W314" s="347">
        <f>IF(B314&gt;$C$78,0,$C$301+SUM($J$304:J314))</f>
        <v>0</v>
      </c>
      <c r="X314" s="378">
        <f t="shared" si="75"/>
        <v>0</v>
      </c>
    </row>
    <row r="315" spans="1:24" s="540" customFormat="1" x14ac:dyDescent="0.45">
      <c r="A315" s="550"/>
      <c r="B315" s="344">
        <v>11</v>
      </c>
      <c r="C315" s="1038">
        <f t="shared" si="64"/>
        <v>0</v>
      </c>
      <c r="D315" s="376">
        <f t="shared" si="65"/>
        <v>0</v>
      </c>
      <c r="E315" s="1038">
        <f t="shared" si="66"/>
        <v>0</v>
      </c>
      <c r="F315" s="376">
        <f t="shared" si="67"/>
        <v>0</v>
      </c>
      <c r="G315" s="345">
        <v>0</v>
      </c>
      <c r="H315" s="376">
        <f t="shared" si="58"/>
        <v>0</v>
      </c>
      <c r="I315" s="345">
        <v>2.564E-2</v>
      </c>
      <c r="J315" s="376">
        <f t="shared" si="68"/>
        <v>0</v>
      </c>
      <c r="K315" s="377">
        <f t="shared" si="59"/>
        <v>0</v>
      </c>
      <c r="L315" s="376">
        <f t="shared" si="60"/>
        <v>0</v>
      </c>
      <c r="M315" s="376">
        <f t="shared" si="61"/>
        <v>0</v>
      </c>
      <c r="N315" s="376">
        <f t="shared" si="62"/>
        <v>0</v>
      </c>
      <c r="O315" s="347">
        <f t="shared" si="69"/>
        <v>0</v>
      </c>
      <c r="P315" s="347">
        <f t="shared" si="70"/>
        <v>0</v>
      </c>
      <c r="Q315" s="347">
        <f t="shared" si="71"/>
        <v>0</v>
      </c>
      <c r="R315" s="376">
        <f t="shared" si="72"/>
        <v>0</v>
      </c>
      <c r="S315" s="376">
        <f t="shared" si="63"/>
        <v>0</v>
      </c>
      <c r="T315" s="376">
        <f t="shared" si="73"/>
        <v>0</v>
      </c>
      <c r="U315" s="376"/>
      <c r="V315" s="376">
        <f t="shared" si="74"/>
        <v>0</v>
      </c>
      <c r="W315" s="347">
        <f>IF(B315&gt;$C$78,0,$C$301+SUM($J$304:J315))</f>
        <v>0</v>
      </c>
      <c r="X315" s="378">
        <f t="shared" si="75"/>
        <v>0</v>
      </c>
    </row>
    <row r="316" spans="1:24" s="540" customFormat="1" x14ac:dyDescent="0.45">
      <c r="A316" s="550"/>
      <c r="B316" s="344">
        <v>12</v>
      </c>
      <c r="C316" s="1038">
        <f t="shared" si="64"/>
        <v>0</v>
      </c>
      <c r="D316" s="376">
        <f t="shared" si="65"/>
        <v>0</v>
      </c>
      <c r="E316" s="1038">
        <f t="shared" si="66"/>
        <v>0</v>
      </c>
      <c r="F316" s="376">
        <f t="shared" si="67"/>
        <v>0</v>
      </c>
      <c r="G316" s="345">
        <v>0</v>
      </c>
      <c r="H316" s="376">
        <f t="shared" si="58"/>
        <v>0</v>
      </c>
      <c r="I316" s="345">
        <v>2.564E-2</v>
      </c>
      <c r="J316" s="376">
        <f t="shared" si="68"/>
        <v>0</v>
      </c>
      <c r="K316" s="377">
        <f t="shared" si="59"/>
        <v>0</v>
      </c>
      <c r="L316" s="376">
        <f t="shared" si="60"/>
        <v>0</v>
      </c>
      <c r="M316" s="376">
        <f t="shared" si="61"/>
        <v>0</v>
      </c>
      <c r="N316" s="376">
        <f t="shared" si="62"/>
        <v>0</v>
      </c>
      <c r="O316" s="347">
        <f t="shared" si="69"/>
        <v>0</v>
      </c>
      <c r="P316" s="347">
        <f t="shared" si="70"/>
        <v>0</v>
      </c>
      <c r="Q316" s="347">
        <f t="shared" si="71"/>
        <v>0</v>
      </c>
      <c r="R316" s="376">
        <f t="shared" si="72"/>
        <v>0</v>
      </c>
      <c r="S316" s="376">
        <f t="shared" si="63"/>
        <v>0</v>
      </c>
      <c r="T316" s="376">
        <f t="shared" si="73"/>
        <v>0</v>
      </c>
      <c r="U316" s="376"/>
      <c r="V316" s="376">
        <f t="shared" si="74"/>
        <v>0</v>
      </c>
      <c r="W316" s="347">
        <f>IF(B316&gt;$C$78,0,$C$301+SUM($J$304:J316))</f>
        <v>0</v>
      </c>
      <c r="X316" s="378">
        <f t="shared" si="75"/>
        <v>0</v>
      </c>
    </row>
    <row r="317" spans="1:24" s="540" customFormat="1" x14ac:dyDescent="0.45">
      <c r="A317" s="550"/>
      <c r="B317" s="344">
        <v>13</v>
      </c>
      <c r="C317" s="1038">
        <f t="shared" si="64"/>
        <v>0</v>
      </c>
      <c r="D317" s="376">
        <f t="shared" si="65"/>
        <v>0</v>
      </c>
      <c r="E317" s="1038">
        <f t="shared" si="66"/>
        <v>0</v>
      </c>
      <c r="F317" s="376">
        <f t="shared" si="67"/>
        <v>0</v>
      </c>
      <c r="G317" s="345">
        <v>0</v>
      </c>
      <c r="H317" s="376">
        <f t="shared" si="58"/>
        <v>0</v>
      </c>
      <c r="I317" s="345">
        <v>2.564E-2</v>
      </c>
      <c r="J317" s="376">
        <f t="shared" si="68"/>
        <v>0</v>
      </c>
      <c r="K317" s="377">
        <f t="shared" si="59"/>
        <v>0</v>
      </c>
      <c r="L317" s="376">
        <f t="shared" si="60"/>
        <v>0</v>
      </c>
      <c r="M317" s="376">
        <f t="shared" si="61"/>
        <v>0</v>
      </c>
      <c r="N317" s="376">
        <f t="shared" si="62"/>
        <v>0</v>
      </c>
      <c r="O317" s="347">
        <f t="shared" si="69"/>
        <v>0</v>
      </c>
      <c r="P317" s="347">
        <f t="shared" si="70"/>
        <v>0</v>
      </c>
      <c r="Q317" s="347">
        <f t="shared" si="71"/>
        <v>0</v>
      </c>
      <c r="R317" s="376">
        <f t="shared" si="72"/>
        <v>0</v>
      </c>
      <c r="S317" s="376">
        <f t="shared" si="63"/>
        <v>0</v>
      </c>
      <c r="T317" s="376">
        <f t="shared" si="73"/>
        <v>0</v>
      </c>
      <c r="U317" s="376"/>
      <c r="V317" s="376">
        <f t="shared" si="74"/>
        <v>0</v>
      </c>
      <c r="W317" s="347">
        <f>IF(B317&gt;$C$78,0,$C$301+SUM($J$304:J317))</f>
        <v>0</v>
      </c>
      <c r="X317" s="378">
        <f t="shared" si="75"/>
        <v>0</v>
      </c>
    </row>
    <row r="318" spans="1:24" s="540" customFormat="1" x14ac:dyDescent="0.45">
      <c r="A318" s="550"/>
      <c r="B318" s="344">
        <v>14</v>
      </c>
      <c r="C318" s="1038">
        <f t="shared" si="64"/>
        <v>0</v>
      </c>
      <c r="D318" s="376">
        <f t="shared" si="65"/>
        <v>0</v>
      </c>
      <c r="E318" s="1038">
        <f t="shared" si="66"/>
        <v>0</v>
      </c>
      <c r="F318" s="376">
        <f t="shared" si="67"/>
        <v>0</v>
      </c>
      <c r="G318" s="345">
        <v>0</v>
      </c>
      <c r="H318" s="376">
        <f t="shared" si="58"/>
        <v>0</v>
      </c>
      <c r="I318" s="345">
        <v>2.564E-2</v>
      </c>
      <c r="J318" s="376">
        <f t="shared" si="68"/>
        <v>0</v>
      </c>
      <c r="K318" s="377">
        <f t="shared" si="59"/>
        <v>0</v>
      </c>
      <c r="L318" s="376">
        <f t="shared" si="60"/>
        <v>0</v>
      </c>
      <c r="M318" s="376">
        <f t="shared" si="61"/>
        <v>0</v>
      </c>
      <c r="N318" s="376">
        <f t="shared" si="62"/>
        <v>0</v>
      </c>
      <c r="O318" s="347">
        <f t="shared" si="69"/>
        <v>0</v>
      </c>
      <c r="P318" s="347">
        <f t="shared" si="70"/>
        <v>0</v>
      </c>
      <c r="Q318" s="347">
        <f t="shared" si="71"/>
        <v>0</v>
      </c>
      <c r="R318" s="376">
        <f t="shared" si="72"/>
        <v>0</v>
      </c>
      <c r="S318" s="376">
        <f t="shared" si="63"/>
        <v>0</v>
      </c>
      <c r="T318" s="376">
        <f t="shared" si="73"/>
        <v>0</v>
      </c>
      <c r="U318" s="376"/>
      <c r="V318" s="376">
        <f t="shared" si="74"/>
        <v>0</v>
      </c>
      <c r="W318" s="347">
        <f>IF(B318&gt;$C$78,0,$C$301+SUM($J$304:J318))</f>
        <v>0</v>
      </c>
      <c r="X318" s="378">
        <f t="shared" si="75"/>
        <v>0</v>
      </c>
    </row>
    <row r="319" spans="1:24" s="540" customFormat="1" x14ac:dyDescent="0.45">
      <c r="A319" s="550"/>
      <c r="B319" s="344">
        <v>15</v>
      </c>
      <c r="C319" s="1038">
        <f t="shared" si="64"/>
        <v>0</v>
      </c>
      <c r="D319" s="376">
        <f t="shared" si="65"/>
        <v>0</v>
      </c>
      <c r="E319" s="1038">
        <f t="shared" si="66"/>
        <v>0</v>
      </c>
      <c r="F319" s="376">
        <f t="shared" si="67"/>
        <v>0</v>
      </c>
      <c r="G319" s="345">
        <v>0</v>
      </c>
      <c r="H319" s="376">
        <f t="shared" si="58"/>
        <v>0</v>
      </c>
      <c r="I319" s="345">
        <v>2.564E-2</v>
      </c>
      <c r="J319" s="376">
        <f t="shared" si="68"/>
        <v>0</v>
      </c>
      <c r="K319" s="377">
        <f t="shared" si="59"/>
        <v>0</v>
      </c>
      <c r="L319" s="376">
        <f t="shared" si="60"/>
        <v>0</v>
      </c>
      <c r="M319" s="376">
        <f t="shared" si="61"/>
        <v>0</v>
      </c>
      <c r="N319" s="376">
        <f t="shared" si="62"/>
        <v>0</v>
      </c>
      <c r="O319" s="347">
        <f t="shared" si="69"/>
        <v>0</v>
      </c>
      <c r="P319" s="347">
        <f t="shared" si="70"/>
        <v>0</v>
      </c>
      <c r="Q319" s="347">
        <f t="shared" si="71"/>
        <v>0</v>
      </c>
      <c r="R319" s="376">
        <f t="shared" si="72"/>
        <v>0</v>
      </c>
      <c r="S319" s="376">
        <f t="shared" si="63"/>
        <v>0</v>
      </c>
      <c r="T319" s="376">
        <f t="shared" si="73"/>
        <v>0</v>
      </c>
      <c r="U319" s="376"/>
      <c r="V319" s="376">
        <f t="shared" si="74"/>
        <v>0</v>
      </c>
      <c r="W319" s="347">
        <f>IF(B319&gt;$C$78,0,$C$301+SUM($J$304:J319))</f>
        <v>0</v>
      </c>
      <c r="X319" s="378">
        <f t="shared" si="75"/>
        <v>0</v>
      </c>
    </row>
    <row r="320" spans="1:24" s="540" customFormat="1" x14ac:dyDescent="0.45">
      <c r="A320" s="550"/>
      <c r="B320" s="344">
        <v>16</v>
      </c>
      <c r="C320" s="1038">
        <f t="shared" si="64"/>
        <v>0</v>
      </c>
      <c r="D320" s="376">
        <f t="shared" si="65"/>
        <v>0</v>
      </c>
      <c r="E320" s="1038">
        <f t="shared" si="66"/>
        <v>0</v>
      </c>
      <c r="F320" s="376">
        <f t="shared" si="67"/>
        <v>0</v>
      </c>
      <c r="G320" s="345">
        <v>0</v>
      </c>
      <c r="H320" s="376">
        <f t="shared" si="58"/>
        <v>0</v>
      </c>
      <c r="I320" s="345">
        <v>2.564E-2</v>
      </c>
      <c r="J320" s="376">
        <f t="shared" si="68"/>
        <v>0</v>
      </c>
      <c r="K320" s="377">
        <f t="shared" si="59"/>
        <v>0</v>
      </c>
      <c r="L320" s="376">
        <f t="shared" si="60"/>
        <v>0</v>
      </c>
      <c r="M320" s="376">
        <f t="shared" si="61"/>
        <v>0</v>
      </c>
      <c r="N320" s="376">
        <f t="shared" si="62"/>
        <v>0</v>
      </c>
      <c r="O320" s="347">
        <f t="shared" si="69"/>
        <v>0</v>
      </c>
      <c r="P320" s="347">
        <f t="shared" si="70"/>
        <v>0</v>
      </c>
      <c r="Q320" s="347">
        <f t="shared" si="71"/>
        <v>0</v>
      </c>
      <c r="R320" s="376">
        <f t="shared" si="72"/>
        <v>0</v>
      </c>
      <c r="S320" s="376">
        <f t="shared" si="63"/>
        <v>0</v>
      </c>
      <c r="T320" s="376">
        <f t="shared" si="73"/>
        <v>0</v>
      </c>
      <c r="U320" s="376"/>
      <c r="V320" s="376">
        <f t="shared" si="74"/>
        <v>0</v>
      </c>
      <c r="W320" s="347">
        <f>IF(B320&gt;$C$78,0,$C$301+SUM($J$304:J320))</f>
        <v>0</v>
      </c>
      <c r="X320" s="378">
        <f t="shared" si="75"/>
        <v>0</v>
      </c>
    </row>
    <row r="321" spans="1:24" s="540" customFormat="1" x14ac:dyDescent="0.45">
      <c r="A321" s="550"/>
      <c r="B321" s="344">
        <v>17</v>
      </c>
      <c r="C321" s="1038">
        <f t="shared" si="64"/>
        <v>0</v>
      </c>
      <c r="D321" s="376">
        <f t="shared" si="65"/>
        <v>0</v>
      </c>
      <c r="E321" s="1038">
        <f t="shared" si="66"/>
        <v>0</v>
      </c>
      <c r="F321" s="376">
        <f t="shared" si="67"/>
        <v>0</v>
      </c>
      <c r="G321" s="345">
        <v>0</v>
      </c>
      <c r="H321" s="376">
        <f t="shared" si="58"/>
        <v>0</v>
      </c>
      <c r="I321" s="345">
        <v>2.564E-2</v>
      </c>
      <c r="J321" s="376">
        <f t="shared" si="68"/>
        <v>0</v>
      </c>
      <c r="K321" s="377">
        <f t="shared" si="59"/>
        <v>0</v>
      </c>
      <c r="L321" s="376">
        <f t="shared" si="60"/>
        <v>0</v>
      </c>
      <c r="M321" s="376">
        <f t="shared" si="61"/>
        <v>0</v>
      </c>
      <c r="N321" s="376">
        <f t="shared" si="62"/>
        <v>0</v>
      </c>
      <c r="O321" s="347">
        <f t="shared" si="69"/>
        <v>0</v>
      </c>
      <c r="P321" s="347">
        <f t="shared" si="70"/>
        <v>0</v>
      </c>
      <c r="Q321" s="347">
        <f t="shared" si="71"/>
        <v>0</v>
      </c>
      <c r="R321" s="376">
        <f t="shared" si="72"/>
        <v>0</v>
      </c>
      <c r="S321" s="376">
        <f t="shared" si="63"/>
        <v>0</v>
      </c>
      <c r="T321" s="376">
        <f t="shared" si="73"/>
        <v>0</v>
      </c>
      <c r="U321" s="376"/>
      <c r="V321" s="376">
        <f t="shared" si="74"/>
        <v>0</v>
      </c>
      <c r="W321" s="347">
        <f>IF(B321&gt;$C$78,0,$C$301+SUM($J$304:J321))</f>
        <v>0</v>
      </c>
      <c r="X321" s="378">
        <f t="shared" si="75"/>
        <v>0</v>
      </c>
    </row>
    <row r="322" spans="1:24" s="540" customFormat="1" x14ac:dyDescent="0.45">
      <c r="A322" s="550"/>
      <c r="B322" s="344">
        <v>18</v>
      </c>
      <c r="C322" s="1038">
        <f t="shared" si="64"/>
        <v>0</v>
      </c>
      <c r="D322" s="376">
        <f t="shared" si="65"/>
        <v>0</v>
      </c>
      <c r="E322" s="1038">
        <f t="shared" si="66"/>
        <v>0</v>
      </c>
      <c r="F322" s="376">
        <f t="shared" si="67"/>
        <v>0</v>
      </c>
      <c r="G322" s="345">
        <v>0</v>
      </c>
      <c r="H322" s="376">
        <f t="shared" si="58"/>
        <v>0</v>
      </c>
      <c r="I322" s="345">
        <v>2.564E-2</v>
      </c>
      <c r="J322" s="376">
        <f t="shared" si="68"/>
        <v>0</v>
      </c>
      <c r="K322" s="377">
        <f t="shared" si="59"/>
        <v>0</v>
      </c>
      <c r="L322" s="376">
        <f t="shared" si="60"/>
        <v>0</v>
      </c>
      <c r="M322" s="376">
        <f t="shared" si="61"/>
        <v>0</v>
      </c>
      <c r="N322" s="376">
        <f t="shared" si="62"/>
        <v>0</v>
      </c>
      <c r="O322" s="347">
        <f t="shared" si="69"/>
        <v>0</v>
      </c>
      <c r="P322" s="347">
        <f t="shared" si="70"/>
        <v>0</v>
      </c>
      <c r="Q322" s="347">
        <f t="shared" si="71"/>
        <v>0</v>
      </c>
      <c r="R322" s="376">
        <f t="shared" si="72"/>
        <v>0</v>
      </c>
      <c r="S322" s="376">
        <f t="shared" si="63"/>
        <v>0</v>
      </c>
      <c r="T322" s="376">
        <f t="shared" si="73"/>
        <v>0</v>
      </c>
      <c r="U322" s="376"/>
      <c r="V322" s="376">
        <f t="shared" si="74"/>
        <v>0</v>
      </c>
      <c r="W322" s="347">
        <f>IF(B322&gt;$C$78,0,$C$301+SUM($J$304:J322))</f>
        <v>0</v>
      </c>
      <c r="X322" s="378">
        <f t="shared" si="75"/>
        <v>0</v>
      </c>
    </row>
    <row r="323" spans="1:24" s="540" customFormat="1" x14ac:dyDescent="0.45">
      <c r="A323" s="550"/>
      <c r="B323" s="344">
        <v>19</v>
      </c>
      <c r="C323" s="1038">
        <f t="shared" si="64"/>
        <v>0</v>
      </c>
      <c r="D323" s="376">
        <f t="shared" si="65"/>
        <v>0</v>
      </c>
      <c r="E323" s="1038">
        <f t="shared" si="66"/>
        <v>0</v>
      </c>
      <c r="F323" s="376">
        <f t="shared" si="67"/>
        <v>0</v>
      </c>
      <c r="G323" s="345">
        <v>0</v>
      </c>
      <c r="H323" s="376">
        <f t="shared" si="58"/>
        <v>0</v>
      </c>
      <c r="I323" s="345">
        <v>2.564E-2</v>
      </c>
      <c r="J323" s="376">
        <f t="shared" si="68"/>
        <v>0</v>
      </c>
      <c r="K323" s="377">
        <f t="shared" si="59"/>
        <v>0</v>
      </c>
      <c r="L323" s="376">
        <f t="shared" si="60"/>
        <v>0</v>
      </c>
      <c r="M323" s="376">
        <f t="shared" si="61"/>
        <v>0</v>
      </c>
      <c r="N323" s="376">
        <f t="shared" si="62"/>
        <v>0</v>
      </c>
      <c r="O323" s="347">
        <f t="shared" si="69"/>
        <v>0</v>
      </c>
      <c r="P323" s="347">
        <f t="shared" si="70"/>
        <v>0</v>
      </c>
      <c r="Q323" s="347">
        <f t="shared" si="71"/>
        <v>0</v>
      </c>
      <c r="R323" s="376">
        <f t="shared" si="72"/>
        <v>0</v>
      </c>
      <c r="S323" s="376">
        <f t="shared" si="63"/>
        <v>0</v>
      </c>
      <c r="T323" s="376">
        <f t="shared" si="73"/>
        <v>0</v>
      </c>
      <c r="U323" s="376"/>
      <c r="V323" s="376">
        <f t="shared" si="74"/>
        <v>0</v>
      </c>
      <c r="W323" s="347">
        <f>IF(B323&gt;$C$78,0,$C$301+SUM($J$304:J323))</f>
        <v>0</v>
      </c>
      <c r="X323" s="378">
        <f t="shared" si="75"/>
        <v>0</v>
      </c>
    </row>
    <row r="324" spans="1:24" s="540" customFormat="1" x14ac:dyDescent="0.45">
      <c r="A324" s="550"/>
      <c r="B324" s="344">
        <v>20</v>
      </c>
      <c r="C324" s="1038">
        <f t="shared" si="64"/>
        <v>0</v>
      </c>
      <c r="D324" s="376">
        <f t="shared" si="65"/>
        <v>0</v>
      </c>
      <c r="E324" s="1038">
        <f t="shared" si="66"/>
        <v>0</v>
      </c>
      <c r="F324" s="376">
        <f t="shared" si="67"/>
        <v>0</v>
      </c>
      <c r="G324" s="345">
        <v>0</v>
      </c>
      <c r="H324" s="376">
        <f t="shared" si="58"/>
        <v>0</v>
      </c>
      <c r="I324" s="345">
        <v>2.564E-2</v>
      </c>
      <c r="J324" s="376">
        <f t="shared" si="68"/>
        <v>0</v>
      </c>
      <c r="K324" s="377">
        <f t="shared" si="59"/>
        <v>0</v>
      </c>
      <c r="L324" s="376">
        <f t="shared" si="60"/>
        <v>0</v>
      </c>
      <c r="M324" s="376">
        <f t="shared" si="61"/>
        <v>0</v>
      </c>
      <c r="N324" s="376">
        <f t="shared" si="62"/>
        <v>0</v>
      </c>
      <c r="O324" s="347">
        <f t="shared" si="69"/>
        <v>0</v>
      </c>
      <c r="P324" s="347">
        <f t="shared" si="70"/>
        <v>0</v>
      </c>
      <c r="Q324" s="347">
        <f t="shared" si="71"/>
        <v>0</v>
      </c>
      <c r="R324" s="376">
        <f t="shared" si="72"/>
        <v>0</v>
      </c>
      <c r="S324" s="376">
        <f t="shared" si="63"/>
        <v>0</v>
      </c>
      <c r="T324" s="376">
        <f t="shared" si="73"/>
        <v>0</v>
      </c>
      <c r="U324" s="376"/>
      <c r="V324" s="376">
        <f t="shared" si="74"/>
        <v>0</v>
      </c>
      <c r="W324" s="347">
        <f>IF(B324&gt;$C$78,0,$C$301+SUM($J$304:J324))</f>
        <v>0</v>
      </c>
      <c r="X324" s="378">
        <f t="shared" si="75"/>
        <v>0</v>
      </c>
    </row>
    <row r="325" spans="1:24" s="540" customFormat="1" x14ac:dyDescent="0.45">
      <c r="A325" s="550"/>
      <c r="B325" s="344"/>
      <c r="C325" s="345"/>
      <c r="D325" s="349"/>
      <c r="E325" s="345"/>
      <c r="F325" s="349"/>
      <c r="G325" s="345"/>
      <c r="H325" s="349"/>
      <c r="I325" s="345"/>
      <c r="J325" s="349"/>
      <c r="K325" s="349"/>
      <c r="L325" s="349"/>
      <c r="M325" s="349"/>
      <c r="N325" s="345"/>
      <c r="O325" s="345"/>
      <c r="P325" s="345"/>
      <c r="Q325" s="345"/>
      <c r="R325" s="349"/>
      <c r="S325" s="349"/>
      <c r="T325" s="345"/>
      <c r="U325" s="345"/>
      <c r="V325" s="345"/>
      <c r="W325" s="348" t="s">
        <v>158</v>
      </c>
      <c r="X325" s="353">
        <f>NPV($C$201,X305:X324)+X304</f>
        <v>0</v>
      </c>
    </row>
    <row r="326" spans="1:24" s="540" customFormat="1" x14ac:dyDescent="0.45">
      <c r="A326" s="550"/>
      <c r="B326" s="354"/>
      <c r="C326" s="355"/>
      <c r="D326" s="834"/>
      <c r="E326" s="355"/>
      <c r="F326" s="834"/>
      <c r="G326" s="355"/>
      <c r="H326" s="834"/>
      <c r="I326" s="355"/>
      <c r="J326" s="834"/>
      <c r="K326" s="834"/>
      <c r="L326" s="834"/>
      <c r="M326" s="834"/>
      <c r="N326" s="355"/>
      <c r="O326" s="355"/>
      <c r="P326" s="355"/>
      <c r="Q326" s="355"/>
      <c r="R326" s="834"/>
      <c r="S326" s="834"/>
      <c r="T326" s="355"/>
      <c r="U326" s="355"/>
      <c r="V326" s="355"/>
      <c r="W326" s="356" t="s">
        <v>134</v>
      </c>
      <c r="X326" s="838">
        <f>IRR(X304:X324,0.1)</f>
        <v>9.9999999999999867E-2</v>
      </c>
    </row>
    <row r="327" spans="1:24" s="540" customFormat="1" x14ac:dyDescent="0.45">
      <c r="A327" s="550"/>
      <c r="B327" s="631"/>
      <c r="C327" s="631"/>
      <c r="D327" s="631"/>
      <c r="E327" s="631"/>
      <c r="F327" s="631"/>
      <c r="G327" s="631"/>
      <c r="H327" s="631"/>
      <c r="I327" s="631"/>
      <c r="J327" s="631"/>
      <c r="K327" s="631"/>
      <c r="L327" s="631"/>
      <c r="M327" s="631"/>
      <c r="N327" s="631"/>
      <c r="O327" s="631"/>
      <c r="P327" s="631"/>
      <c r="Q327" s="631"/>
      <c r="R327" s="631"/>
    </row>
    <row r="328" spans="1:24" x14ac:dyDescent="0.45">
      <c r="B328" s="605" t="s">
        <v>243</v>
      </c>
      <c r="C328" s="522"/>
      <c r="D328" s="522"/>
      <c r="E328" s="522"/>
      <c r="F328" s="522"/>
      <c r="G328" s="522"/>
      <c r="H328" s="522"/>
      <c r="I328" s="606"/>
      <c r="J328" s="473"/>
      <c r="K328" s="473"/>
      <c r="L328" s="473"/>
      <c r="M328" s="473"/>
      <c r="N328" s="473"/>
      <c r="O328" s="473"/>
      <c r="P328" s="473"/>
      <c r="Q328" s="473"/>
      <c r="R328" s="473"/>
    </row>
    <row r="329" spans="1:24" x14ac:dyDescent="0.45">
      <c r="B329" s="810" t="s">
        <v>385</v>
      </c>
      <c r="C329" s="214"/>
      <c r="D329" s="214"/>
      <c r="E329" s="214"/>
      <c r="F329" s="214"/>
      <c r="G329" s="214"/>
      <c r="H329" s="214"/>
      <c r="I329" s="368"/>
      <c r="J329" s="473"/>
      <c r="K329" s="473"/>
      <c r="L329" s="473"/>
      <c r="M329" s="473"/>
      <c r="N329" s="473"/>
      <c r="O329" s="473"/>
      <c r="P329" s="473"/>
      <c r="Q329" s="473"/>
      <c r="R329" s="473"/>
    </row>
    <row r="330" spans="1:24" x14ac:dyDescent="0.45">
      <c r="B330" s="580" t="s">
        <v>364</v>
      </c>
      <c r="C330" s="527">
        <f>4.6%*1</f>
        <v>4.5999999999999999E-2</v>
      </c>
      <c r="D330" s="734" t="s">
        <v>0</v>
      </c>
      <c r="E330" s="734"/>
      <c r="F330" s="734"/>
      <c r="G330" s="734"/>
      <c r="H330" s="734"/>
      <c r="I330" s="595"/>
      <c r="J330" s="458"/>
      <c r="K330" s="458"/>
      <c r="L330" s="473"/>
      <c r="M330" s="473"/>
      <c r="N330" s="473"/>
      <c r="O330" s="473"/>
      <c r="P330" s="473"/>
      <c r="Q330" s="473"/>
      <c r="R330" s="473"/>
    </row>
    <row r="331" spans="1:24" x14ac:dyDescent="0.45">
      <c r="B331" s="580" t="s">
        <v>365</v>
      </c>
      <c r="C331" s="527">
        <v>0.5</v>
      </c>
      <c r="D331" s="734" t="s">
        <v>0</v>
      </c>
      <c r="E331" s="734"/>
      <c r="F331" s="734"/>
      <c r="G331" s="734"/>
      <c r="H331" s="734"/>
      <c r="I331" s="595"/>
      <c r="J331" s="458"/>
      <c r="K331" s="458"/>
      <c r="L331" s="473"/>
      <c r="M331" s="458"/>
      <c r="N331" s="458"/>
      <c r="O331" s="458"/>
      <c r="P331" s="473"/>
      <c r="Q331" s="473"/>
      <c r="R331" s="473"/>
    </row>
    <row r="332" spans="1:24" x14ac:dyDescent="0.45">
      <c r="B332" s="580" t="s">
        <v>110</v>
      </c>
      <c r="C332" s="734">
        <v>5</v>
      </c>
      <c r="D332" s="734" t="s">
        <v>111</v>
      </c>
      <c r="E332" s="734"/>
      <c r="F332" s="734"/>
      <c r="G332" s="734"/>
      <c r="H332" s="734"/>
      <c r="I332" s="595"/>
      <c r="J332" s="458"/>
      <c r="K332" s="458"/>
      <c r="L332" s="473"/>
      <c r="M332" s="458"/>
      <c r="N332" s="228"/>
      <c r="O332" s="458"/>
      <c r="P332" s="473"/>
      <c r="Q332" s="473"/>
      <c r="R332" s="473"/>
    </row>
    <row r="333" spans="1:24" x14ac:dyDescent="0.45">
      <c r="B333" s="580" t="s">
        <v>398</v>
      </c>
      <c r="C333" s="734" t="s">
        <v>138</v>
      </c>
      <c r="D333" s="734"/>
      <c r="E333" s="734"/>
      <c r="F333" s="734"/>
      <c r="G333" s="734"/>
      <c r="H333" s="734"/>
      <c r="I333" s="595"/>
      <c r="J333" s="458"/>
      <c r="K333" s="458"/>
      <c r="L333" s="473"/>
      <c r="M333" s="458"/>
      <c r="N333" s="228"/>
      <c r="O333" s="458"/>
      <c r="P333" s="473"/>
      <c r="Q333" s="473"/>
      <c r="R333" s="473"/>
    </row>
    <row r="334" spans="1:24" x14ac:dyDescent="0.45">
      <c r="B334" s="580" t="str">
        <f t="shared" ref="B334:B350" si="76">B30</f>
        <v>Silicon Feedstock</v>
      </c>
      <c r="C334" s="578">
        <f>G30*(1+$C$200)</f>
        <v>1.8207041979399704E-2</v>
      </c>
      <c r="D334" s="723"/>
      <c r="E334" s="734"/>
      <c r="F334" s="734"/>
      <c r="G334" s="734"/>
      <c r="H334" s="734"/>
      <c r="I334" s="595"/>
      <c r="J334" s="458"/>
      <c r="K334" s="458"/>
      <c r="L334" s="473"/>
      <c r="M334" s="458"/>
      <c r="N334" s="228"/>
      <c r="O334" s="458"/>
      <c r="P334" s="473"/>
      <c r="Q334" s="473"/>
      <c r="R334" s="473"/>
    </row>
    <row r="335" spans="1:24" x14ac:dyDescent="0.45">
      <c r="B335" s="580" t="str">
        <f t="shared" si="76"/>
        <v>Depreciation</v>
      </c>
      <c r="C335" s="578">
        <f>-1*SUM(H218,J218,H247,J247,H276,J276,H305,J305)/(C198*1000000)</f>
        <v>7.1178814485963054E-2</v>
      </c>
      <c r="D335" s="723"/>
      <c r="E335" s="734"/>
      <c r="F335" s="734"/>
      <c r="G335" s="734"/>
      <c r="H335" s="734"/>
      <c r="I335" s="595"/>
      <c r="J335" s="458"/>
      <c r="K335" s="458"/>
      <c r="L335" s="473"/>
      <c r="M335" s="458"/>
      <c r="N335" s="225"/>
      <c r="O335" s="458"/>
      <c r="P335" s="473"/>
      <c r="Q335" s="473"/>
      <c r="R335" s="473"/>
    </row>
    <row r="336" spans="1:24" x14ac:dyDescent="0.45">
      <c r="B336" s="580" t="str">
        <f t="shared" si="76"/>
        <v>Maintenance</v>
      </c>
      <c r="C336" s="578">
        <f t="shared" ref="C336:C352" si="77">G32*(1+$C$200)</f>
        <v>2.7335399174803352E-2</v>
      </c>
      <c r="D336" s="723"/>
      <c r="E336" s="734"/>
      <c r="F336" s="734"/>
      <c r="G336" s="734"/>
      <c r="H336" s="734"/>
      <c r="I336" s="595"/>
      <c r="J336" s="458"/>
      <c r="K336" s="458"/>
      <c r="L336" s="473"/>
      <c r="M336" s="458"/>
      <c r="N336" s="225"/>
      <c r="O336" s="458"/>
      <c r="P336" s="473"/>
      <c r="Q336" s="473"/>
      <c r="R336" s="473"/>
    </row>
    <row r="337" spans="2:18" x14ac:dyDescent="0.45">
      <c r="B337" s="580" t="str">
        <f t="shared" si="76"/>
        <v>Labor</v>
      </c>
      <c r="C337" s="578">
        <f t="shared" si="77"/>
        <v>3.8468325867590046E-2</v>
      </c>
      <c r="D337" s="723"/>
      <c r="E337" s="734"/>
      <c r="F337" s="578"/>
      <c r="G337" s="734"/>
      <c r="H337" s="734"/>
      <c r="I337" s="595"/>
      <c r="J337" s="458"/>
      <c r="K337" s="458"/>
      <c r="L337" s="473"/>
      <c r="M337" s="458"/>
      <c r="N337" s="228"/>
      <c r="O337" s="458"/>
      <c r="P337" s="473"/>
      <c r="Q337" s="473"/>
      <c r="R337" s="473"/>
    </row>
    <row r="338" spans="2:18" x14ac:dyDescent="0.45">
      <c r="B338" s="580" t="str">
        <f t="shared" si="76"/>
        <v>Input Electricity</v>
      </c>
      <c r="C338" s="578">
        <f t="shared" si="77"/>
        <v>2.9752024913623831E-2</v>
      </c>
      <c r="D338" s="723"/>
      <c r="E338" s="734"/>
      <c r="F338" s="578"/>
      <c r="G338" s="734"/>
      <c r="H338" s="734"/>
      <c r="I338" s="595"/>
      <c r="J338" s="473"/>
      <c r="K338" s="473"/>
      <c r="L338" s="473"/>
      <c r="M338" s="473"/>
      <c r="N338" s="473"/>
      <c r="O338" s="473"/>
      <c r="P338" s="473"/>
      <c r="Q338" s="473"/>
      <c r="R338" s="473"/>
    </row>
    <row r="339" spans="2:18" x14ac:dyDescent="0.45">
      <c r="B339" s="580" t="str">
        <f t="shared" si="76"/>
        <v>Metal Paste</v>
      </c>
      <c r="C339" s="578">
        <f t="shared" si="77"/>
        <v>2.4782153749477086E-2</v>
      </c>
      <c r="D339" s="723"/>
      <c r="E339" s="734"/>
      <c r="F339" s="734"/>
      <c r="G339" s="734"/>
      <c r="H339" s="734"/>
      <c r="I339" s="595"/>
      <c r="J339" s="473"/>
      <c r="K339" s="473"/>
      <c r="L339" s="473"/>
      <c r="M339" s="473"/>
      <c r="N339" s="473"/>
      <c r="O339" s="473"/>
      <c r="P339" s="473"/>
      <c r="Q339" s="473"/>
      <c r="R339" s="473"/>
    </row>
    <row r="340" spans="2:18" x14ac:dyDescent="0.45">
      <c r="B340" s="580" t="str">
        <f t="shared" si="76"/>
        <v>Crucible</v>
      </c>
      <c r="C340" s="578">
        <f t="shared" si="77"/>
        <v>0</v>
      </c>
      <c r="D340" s="723"/>
      <c r="E340" s="734"/>
      <c r="F340" s="734"/>
      <c r="G340" s="734"/>
      <c r="H340" s="734"/>
      <c r="I340" s="595"/>
      <c r="J340" s="473"/>
      <c r="K340" s="473"/>
      <c r="L340" s="473"/>
      <c r="M340" s="473"/>
      <c r="N340" s="473"/>
      <c r="O340" s="473"/>
      <c r="P340" s="473"/>
      <c r="Q340" s="473"/>
      <c r="R340" s="473"/>
    </row>
    <row r="341" spans="2:18" x14ac:dyDescent="0.45">
      <c r="B341" s="580" t="str">
        <f t="shared" si="76"/>
        <v>Wire</v>
      </c>
      <c r="C341" s="578">
        <f t="shared" si="77"/>
        <v>0</v>
      </c>
      <c r="D341" s="723"/>
      <c r="E341" s="734"/>
      <c r="F341" s="734"/>
      <c r="G341" s="734"/>
      <c r="H341" s="734"/>
      <c r="I341" s="595"/>
      <c r="J341" s="473"/>
      <c r="K341" s="473"/>
      <c r="L341" s="473"/>
      <c r="M341" s="473"/>
      <c r="N341" s="473"/>
      <c r="O341" s="473"/>
      <c r="P341" s="473"/>
      <c r="Q341" s="473"/>
      <c r="R341" s="473"/>
    </row>
    <row r="342" spans="2:18" x14ac:dyDescent="0.45">
      <c r="B342" s="580" t="str">
        <f t="shared" si="76"/>
        <v>Slurry</v>
      </c>
      <c r="C342" s="578">
        <f t="shared" si="77"/>
        <v>0</v>
      </c>
      <c r="D342" s="723"/>
      <c r="E342" s="734"/>
      <c r="F342" s="734"/>
      <c r="G342" s="734"/>
      <c r="H342" s="734"/>
      <c r="I342" s="595"/>
      <c r="J342" s="473"/>
      <c r="K342" s="473"/>
      <c r="L342" s="473"/>
      <c r="M342" s="473"/>
      <c r="N342" s="473"/>
      <c r="O342" s="473"/>
      <c r="P342" s="473"/>
      <c r="Q342" s="473"/>
      <c r="R342" s="473"/>
    </row>
    <row r="343" spans="2:18" x14ac:dyDescent="0.45">
      <c r="B343" s="580" t="str">
        <f t="shared" si="76"/>
        <v>Glass</v>
      </c>
      <c r="C343" s="578">
        <f t="shared" si="77"/>
        <v>3.6760778516876084E-2</v>
      </c>
      <c r="D343" s="723"/>
      <c r="E343" s="734"/>
      <c r="F343" s="734"/>
      <c r="G343" s="734"/>
      <c r="H343" s="734"/>
      <c r="I343" s="595"/>
      <c r="J343" s="473"/>
      <c r="K343" s="473"/>
      <c r="L343" s="473"/>
      <c r="M343" s="473"/>
      <c r="N343" s="473"/>
      <c r="O343" s="473"/>
      <c r="P343" s="473"/>
      <c r="Q343" s="473"/>
      <c r="R343" s="473"/>
    </row>
    <row r="344" spans="2:18" x14ac:dyDescent="0.45">
      <c r="B344" s="580" t="str">
        <f t="shared" si="76"/>
        <v>Frame</v>
      </c>
      <c r="C344" s="578">
        <f t="shared" si="77"/>
        <v>4.2523847038057318E-2</v>
      </c>
      <c r="D344" s="723"/>
      <c r="E344" s="734"/>
      <c r="F344" s="734"/>
      <c r="G344" s="734"/>
      <c r="H344" s="578"/>
      <c r="I344" s="595"/>
      <c r="J344" s="473"/>
      <c r="K344" s="473"/>
      <c r="L344" s="473"/>
      <c r="M344" s="473"/>
      <c r="N344" s="473"/>
      <c r="O344" s="473"/>
      <c r="P344" s="473"/>
      <c r="Q344" s="473"/>
      <c r="R344" s="473"/>
    </row>
    <row r="345" spans="2:18" x14ac:dyDescent="0.45">
      <c r="B345" s="580" t="str">
        <f t="shared" si="76"/>
        <v>Encapsulant</v>
      </c>
      <c r="C345" s="578">
        <f t="shared" si="77"/>
        <v>2.5178615422517862E-2</v>
      </c>
      <c r="D345" s="723"/>
      <c r="E345" s="734"/>
      <c r="F345" s="734"/>
      <c r="G345" s="734"/>
      <c r="H345" s="734"/>
      <c r="I345" s="595"/>
      <c r="J345" s="473"/>
      <c r="K345" s="473"/>
      <c r="L345" s="473"/>
      <c r="M345" s="473"/>
      <c r="N345" s="473"/>
      <c r="O345" s="473"/>
      <c r="P345" s="473"/>
      <c r="Q345" s="473"/>
      <c r="R345" s="473"/>
    </row>
    <row r="346" spans="2:18" x14ac:dyDescent="0.45">
      <c r="B346" s="580" t="str">
        <f t="shared" si="76"/>
        <v>JB and Cable</v>
      </c>
      <c r="C346" s="578">
        <f t="shared" si="77"/>
        <v>1.8416311411933679E-2</v>
      </c>
      <c r="D346" s="723"/>
      <c r="E346" s="734"/>
      <c r="F346" s="734"/>
      <c r="G346" s="734"/>
      <c r="H346" s="734"/>
      <c r="I346" s="595"/>
      <c r="J346" s="473"/>
      <c r="K346" s="473"/>
      <c r="L346" s="473"/>
      <c r="M346" s="473"/>
      <c r="N346" s="473"/>
      <c r="O346" s="473"/>
      <c r="P346" s="473"/>
      <c r="Q346" s="473"/>
      <c r="R346" s="473"/>
    </row>
    <row r="347" spans="2:18" x14ac:dyDescent="0.45">
      <c r="B347" s="580" t="str">
        <f t="shared" si="76"/>
        <v>Chemicals</v>
      </c>
      <c r="C347" s="578">
        <f t="shared" si="77"/>
        <v>1.8232148297814343E-2</v>
      </c>
      <c r="D347" s="723"/>
      <c r="E347" s="734"/>
      <c r="F347" s="734"/>
      <c r="G347" s="734"/>
      <c r="H347" s="734"/>
      <c r="I347" s="595"/>
      <c r="J347" s="473"/>
      <c r="K347" s="473"/>
      <c r="L347" s="473"/>
      <c r="M347" s="473"/>
      <c r="N347" s="473"/>
      <c r="O347" s="473"/>
      <c r="P347" s="473"/>
      <c r="Q347" s="473"/>
      <c r="R347" s="473"/>
    </row>
    <row r="348" spans="2:18" x14ac:dyDescent="0.45">
      <c r="B348" s="580" t="str">
        <f t="shared" si="76"/>
        <v>Backsheet</v>
      </c>
      <c r="C348" s="578">
        <f t="shared" si="77"/>
        <v>3.5250061591525009E-2</v>
      </c>
      <c r="D348" s="723"/>
      <c r="E348" s="734"/>
      <c r="F348" s="734"/>
      <c r="G348" s="734"/>
      <c r="H348" s="734"/>
      <c r="I348" s="595"/>
      <c r="J348" s="473"/>
      <c r="K348" s="473"/>
      <c r="L348" s="473"/>
      <c r="M348" s="473"/>
      <c r="N348" s="473"/>
      <c r="O348" s="473"/>
      <c r="P348" s="473"/>
      <c r="Q348" s="473"/>
      <c r="R348" s="473"/>
    </row>
    <row r="349" spans="2:18" x14ac:dyDescent="0.45">
      <c r="B349" s="580" t="str">
        <f t="shared" si="76"/>
        <v>Ribbon</v>
      </c>
      <c r="C349" s="578">
        <f t="shared" si="77"/>
        <v>2.3667898497166794E-2</v>
      </c>
      <c r="D349" s="723"/>
      <c r="E349" s="734"/>
      <c r="F349" s="734"/>
      <c r="G349" s="734"/>
      <c r="H349" s="734"/>
      <c r="I349" s="595"/>
      <c r="J349" s="473"/>
      <c r="K349" s="473"/>
      <c r="L349" s="473"/>
      <c r="M349" s="473"/>
      <c r="N349" s="473"/>
      <c r="O349" s="473"/>
      <c r="P349" s="473"/>
      <c r="Q349" s="473"/>
      <c r="R349" s="473"/>
    </row>
    <row r="350" spans="2:18" x14ac:dyDescent="0.45">
      <c r="B350" s="580" t="str">
        <f t="shared" si="76"/>
        <v>Packaging</v>
      </c>
      <c r="C350" s="578">
        <f t="shared" si="77"/>
        <v>2.266075388026608E-3</v>
      </c>
      <c r="D350" s="723"/>
      <c r="E350" s="734"/>
      <c r="F350" s="734"/>
      <c r="G350" s="734"/>
      <c r="H350" s="734"/>
      <c r="I350" s="595"/>
      <c r="J350" s="473"/>
      <c r="K350" s="473"/>
      <c r="L350" s="473"/>
      <c r="M350" s="473"/>
      <c r="N350" s="473"/>
      <c r="O350" s="473"/>
      <c r="P350" s="473"/>
      <c r="Q350" s="473"/>
      <c r="R350" s="473"/>
    </row>
    <row r="351" spans="2:18" x14ac:dyDescent="0.45">
      <c r="B351" s="580" t="str">
        <f>B47</f>
        <v>Screens</v>
      </c>
      <c r="C351" s="578">
        <f t="shared" si="77"/>
        <v>0</v>
      </c>
      <c r="D351" s="723"/>
      <c r="E351" s="734"/>
      <c r="F351" s="734"/>
      <c r="G351" s="734"/>
      <c r="H351" s="734"/>
      <c r="I351" s="595"/>
      <c r="J351" s="473"/>
      <c r="K351" s="473"/>
      <c r="L351" s="473"/>
      <c r="M351" s="473"/>
      <c r="N351" s="473"/>
      <c r="O351" s="473"/>
      <c r="P351" s="473"/>
      <c r="Q351" s="473"/>
      <c r="R351" s="473"/>
    </row>
    <row r="352" spans="2:18" x14ac:dyDescent="0.45">
      <c r="B352" s="580" t="str">
        <f>B48</f>
        <v>Shipping costs</v>
      </c>
      <c r="C352" s="578">
        <f t="shared" si="77"/>
        <v>0</v>
      </c>
      <c r="D352" s="723"/>
      <c r="E352" s="734"/>
      <c r="F352" s="734"/>
      <c r="G352" s="734"/>
      <c r="H352" s="734"/>
      <c r="I352" s="595"/>
      <c r="J352" s="473"/>
      <c r="K352" s="473"/>
      <c r="L352" s="473"/>
      <c r="M352" s="473"/>
      <c r="N352" s="473"/>
      <c r="O352" s="473"/>
      <c r="P352" s="473"/>
      <c r="Q352" s="473"/>
      <c r="R352" s="473"/>
    </row>
    <row r="353" spans="2:18" x14ac:dyDescent="0.45">
      <c r="B353" s="580"/>
      <c r="C353" s="578"/>
      <c r="D353" s="723"/>
      <c r="E353" s="734"/>
      <c r="F353" s="734"/>
      <c r="G353" s="734"/>
      <c r="H353" s="734"/>
      <c r="I353" s="595"/>
      <c r="J353" s="473"/>
      <c r="K353" s="473"/>
      <c r="L353" s="473"/>
      <c r="M353" s="473"/>
      <c r="N353" s="473"/>
      <c r="O353" s="473"/>
      <c r="P353" s="473"/>
      <c r="Q353" s="473"/>
      <c r="R353" s="473"/>
    </row>
    <row r="354" spans="2:18" x14ac:dyDescent="0.45">
      <c r="B354" s="504" t="s">
        <v>354</v>
      </c>
      <c r="C354" s="734"/>
      <c r="D354" s="936" t="s">
        <v>356</v>
      </c>
      <c r="E354" s="734"/>
      <c r="F354" s="734"/>
      <c r="G354" s="936" t="s">
        <v>384</v>
      </c>
      <c r="H354" s="734"/>
      <c r="I354" s="595"/>
      <c r="J354" s="473"/>
      <c r="K354" s="473"/>
      <c r="L354" s="473"/>
      <c r="M354" s="473"/>
      <c r="N354" s="473"/>
      <c r="O354" s="473"/>
      <c r="P354" s="473"/>
      <c r="Q354" s="473"/>
      <c r="R354" s="473"/>
    </row>
    <row r="355" spans="2:18" x14ac:dyDescent="0.45">
      <c r="B355" s="580" t="s">
        <v>247</v>
      </c>
      <c r="C355" s="734"/>
      <c r="D355" s="523" t="s">
        <v>250</v>
      </c>
      <c r="E355" s="523" t="s">
        <v>249</v>
      </c>
      <c r="F355" s="523" t="s">
        <v>284</v>
      </c>
      <c r="G355" s="523" t="s">
        <v>250</v>
      </c>
      <c r="H355" s="523" t="s">
        <v>249</v>
      </c>
      <c r="I355" s="524" t="s">
        <v>284</v>
      </c>
      <c r="J355" s="473"/>
      <c r="K355" s="473"/>
      <c r="L355" s="473"/>
      <c r="M355" s="473"/>
      <c r="N355" s="473"/>
      <c r="O355" s="473"/>
      <c r="P355" s="473"/>
      <c r="Q355" s="473"/>
      <c r="R355" s="473"/>
    </row>
    <row r="356" spans="2:18" x14ac:dyDescent="0.45">
      <c r="B356" s="580"/>
      <c r="C356" s="734" t="s">
        <v>238</v>
      </c>
      <c r="D356" s="369">
        <f>SUM(C218,C247,C276,C305)</f>
        <v>0.51702424133845581</v>
      </c>
      <c r="E356" s="369">
        <f t="shared" ref="E356:E361" si="78">D356</f>
        <v>0.51702424133845581</v>
      </c>
      <c r="F356" s="369">
        <f>D356</f>
        <v>0.51702424133845581</v>
      </c>
      <c r="G356" s="369">
        <f>SUM(C224,C253,C282,C311)</f>
        <v>0.5891369754560809</v>
      </c>
      <c r="H356" s="369">
        <f t="shared" ref="H356:H361" si="79">G356</f>
        <v>0.5891369754560809</v>
      </c>
      <c r="I356" s="525">
        <f>G356</f>
        <v>0.5891369754560809</v>
      </c>
      <c r="J356" s="473"/>
      <c r="K356" s="473"/>
      <c r="L356" s="473"/>
      <c r="M356" s="473"/>
      <c r="N356" s="473"/>
      <c r="O356" s="473"/>
      <c r="P356" s="473"/>
      <c r="Q356" s="473"/>
      <c r="R356" s="473"/>
    </row>
    <row r="357" spans="2:18" x14ac:dyDescent="0.45">
      <c r="B357" s="530"/>
      <c r="C357" s="734" t="s">
        <v>239</v>
      </c>
      <c r="D357" s="369">
        <f>SUM(C334,C339:C352)</f>
        <v>0.24528493189279449</v>
      </c>
      <c r="E357" s="369">
        <f t="shared" si="78"/>
        <v>0.24528493189279449</v>
      </c>
      <c r="F357" s="369">
        <f>D357</f>
        <v>0.24528493189279449</v>
      </c>
      <c r="G357" s="369">
        <f>D357*(1+$C$200)^(7-1)</f>
        <v>0.27949641689174604</v>
      </c>
      <c r="H357" s="369">
        <f t="shared" si="79"/>
        <v>0.27949641689174604</v>
      </c>
      <c r="I357" s="525">
        <f>G357</f>
        <v>0.27949641689174604</v>
      </c>
      <c r="J357" s="473"/>
      <c r="K357" s="473"/>
      <c r="L357" s="473"/>
      <c r="M357" s="473"/>
      <c r="N357" s="473"/>
      <c r="O357" s="473"/>
      <c r="P357" s="473"/>
      <c r="Q357" s="473"/>
      <c r="R357" s="473"/>
    </row>
    <row r="358" spans="2:18" x14ac:dyDescent="0.45">
      <c r="B358" s="530"/>
      <c r="C358" s="734" t="s">
        <v>240</v>
      </c>
      <c r="D358" s="369">
        <f>$C$337</f>
        <v>3.8468325867590046E-2</v>
      </c>
      <c r="E358" s="369">
        <f t="shared" si="78"/>
        <v>3.8468325867590046E-2</v>
      </c>
      <c r="F358" s="369">
        <f>D358</f>
        <v>3.8468325867590046E-2</v>
      </c>
      <c r="G358" s="369">
        <f>D358*(1+$C$200)^(7-1)</f>
        <v>4.3833753508000665E-2</v>
      </c>
      <c r="H358" s="369">
        <f t="shared" si="79"/>
        <v>4.3833753508000665E-2</v>
      </c>
      <c r="I358" s="525">
        <f>G358</f>
        <v>4.3833753508000665E-2</v>
      </c>
      <c r="J358" s="473"/>
      <c r="K358" s="473"/>
      <c r="L358" s="473"/>
      <c r="M358" s="473"/>
      <c r="N358" s="473"/>
      <c r="O358" s="473"/>
      <c r="P358" s="473"/>
      <c r="Q358" s="473"/>
      <c r="R358" s="473"/>
    </row>
    <row r="359" spans="2:18" x14ac:dyDescent="0.45">
      <c r="B359" s="530"/>
      <c r="C359" s="734" t="s">
        <v>20</v>
      </c>
      <c r="D359" s="369">
        <f>$C$338</f>
        <v>2.9752024913623831E-2</v>
      </c>
      <c r="E359" s="369">
        <f t="shared" si="78"/>
        <v>2.9752024913623831E-2</v>
      </c>
      <c r="F359" s="369">
        <f>D359</f>
        <v>2.9752024913623831E-2</v>
      </c>
      <c r="G359" s="369">
        <f>D359*(1+$C$200)^(7-1)</f>
        <v>3.3901733361535118E-2</v>
      </c>
      <c r="H359" s="369">
        <f t="shared" si="79"/>
        <v>3.3901733361535118E-2</v>
      </c>
      <c r="I359" s="525">
        <f>G359</f>
        <v>3.3901733361535118E-2</v>
      </c>
      <c r="J359" s="473"/>
      <c r="K359" s="473"/>
      <c r="L359" s="473"/>
      <c r="M359" s="473"/>
      <c r="N359" s="473"/>
      <c r="O359" s="473"/>
      <c r="P359" s="473"/>
      <c r="Q359" s="473"/>
      <c r="R359" s="473"/>
    </row>
    <row r="360" spans="2:18" x14ac:dyDescent="0.45">
      <c r="B360" s="530"/>
      <c r="C360" s="734" t="s">
        <v>61</v>
      </c>
      <c r="D360" s="369">
        <f>$C$336</f>
        <v>2.7335399174803352E-2</v>
      </c>
      <c r="E360" s="369">
        <f t="shared" si="78"/>
        <v>2.7335399174803352E-2</v>
      </c>
      <c r="F360" s="369">
        <f>D360</f>
        <v>2.7335399174803352E-2</v>
      </c>
      <c r="G360" s="369">
        <f>D360*(1+$C$200)^(7-1)</f>
        <v>3.1148045111072581E-2</v>
      </c>
      <c r="H360" s="369">
        <f t="shared" si="79"/>
        <v>3.1148045111072581E-2</v>
      </c>
      <c r="I360" s="525">
        <f>G360</f>
        <v>3.1148045111072581E-2</v>
      </c>
      <c r="J360" s="473"/>
      <c r="K360" s="473"/>
      <c r="L360" s="473"/>
      <c r="M360" s="473"/>
      <c r="N360" s="473"/>
      <c r="O360" s="473"/>
      <c r="P360" s="473"/>
      <c r="Q360" s="473"/>
      <c r="R360" s="473"/>
    </row>
    <row r="361" spans="2:18" x14ac:dyDescent="0.45">
      <c r="B361" s="530"/>
      <c r="C361" s="734" t="s">
        <v>246</v>
      </c>
      <c r="D361" s="369">
        <f>-1*SUM(H218,J218,H247,J247,H276,J276,H305,J305)/(C198*1000000)</f>
        <v>7.1178814485963054E-2</v>
      </c>
      <c r="E361" s="369">
        <f t="shared" si="78"/>
        <v>7.1178814485963054E-2</v>
      </c>
      <c r="F361" s="369"/>
      <c r="G361" s="369">
        <f>-1*SUM(H253,J253,H282,J282,H311,J311,H225,J225)/(C198*1000000)</f>
        <v>4.572251668773452E-2</v>
      </c>
      <c r="H361" s="369">
        <f t="shared" si="79"/>
        <v>4.572251668773452E-2</v>
      </c>
      <c r="I361" s="595"/>
      <c r="J361" s="473"/>
      <c r="K361" s="473"/>
      <c r="L361" s="473"/>
      <c r="M361" s="473"/>
      <c r="N361" s="473"/>
      <c r="O361" s="473"/>
      <c r="P361" s="473"/>
      <c r="Q361" s="473"/>
      <c r="R361" s="473"/>
    </row>
    <row r="362" spans="2:18" x14ac:dyDescent="0.45">
      <c r="B362" s="580"/>
      <c r="C362" s="734" t="s">
        <v>244</v>
      </c>
      <c r="D362" s="369">
        <f>($C$203+$C$204)*D356</f>
        <v>5.4287545340537861E-2</v>
      </c>
      <c r="E362" s="369"/>
      <c r="F362" s="369"/>
      <c r="G362" s="369">
        <f>($C$203+$C$204)*G356</f>
        <v>6.1859382422888493E-2</v>
      </c>
      <c r="H362" s="734"/>
      <c r="I362" s="595"/>
      <c r="J362" s="473"/>
      <c r="K362" s="473"/>
      <c r="L362" s="473"/>
      <c r="M362" s="473"/>
      <c r="N362" s="473"/>
      <c r="O362" s="473"/>
      <c r="P362" s="473"/>
      <c r="Q362" s="473"/>
      <c r="R362" s="473"/>
    </row>
    <row r="363" spans="2:18" x14ac:dyDescent="0.45">
      <c r="B363" s="580"/>
      <c r="C363" s="734" t="s">
        <v>241</v>
      </c>
      <c r="D363" s="369">
        <f>-1*ISPMT(C330,1,C332,C210*C331)/(C198*1000000)</f>
        <v>1.038225620095946E-2</v>
      </c>
      <c r="E363" s="369"/>
      <c r="F363" s="369"/>
      <c r="G363" s="369">
        <f>-1*ISPMT(C330,5,C332,C210*C331)/(C198*1000000)</f>
        <v>0</v>
      </c>
      <c r="H363" s="734"/>
      <c r="I363" s="595"/>
      <c r="J363" s="473"/>
      <c r="K363" s="473"/>
      <c r="L363" s="473"/>
      <c r="M363" s="473"/>
      <c r="N363" s="473"/>
      <c r="O363" s="473"/>
      <c r="P363" s="473"/>
      <c r="Q363" s="473"/>
      <c r="R363" s="473"/>
    </row>
    <row r="364" spans="2:18" x14ac:dyDescent="0.45">
      <c r="B364" s="580"/>
      <c r="C364" s="734" t="s">
        <v>242</v>
      </c>
      <c r="D364" s="369">
        <f>(D356-SUM(D357:D363))*$C$202</f>
        <v>1.1253449225949265E-2</v>
      </c>
      <c r="E364" s="369"/>
      <c r="F364" s="369"/>
      <c r="G364" s="369">
        <f>(G356-SUM(G357:G363))*$C$202</f>
        <v>2.5995860564995879E-2</v>
      </c>
      <c r="H364" s="734"/>
      <c r="I364" s="595"/>
      <c r="J364" s="473"/>
      <c r="K364" s="473"/>
      <c r="L364" s="473"/>
      <c r="M364" s="473"/>
      <c r="N364" s="473"/>
      <c r="O364" s="473"/>
      <c r="P364" s="473"/>
      <c r="Q364" s="473"/>
      <c r="R364" s="473"/>
    </row>
    <row r="365" spans="2:18" x14ac:dyDescent="0.45">
      <c r="B365" s="580"/>
      <c r="C365" s="734" t="s">
        <v>338</v>
      </c>
      <c r="D365" s="369">
        <f>D356-SUM(D357:D364)</f>
        <v>2.9081494236234462E-2</v>
      </c>
      <c r="E365" s="734"/>
      <c r="F365" s="734"/>
      <c r="G365" s="369">
        <f>G356-SUM(G357:G364)</f>
        <v>6.7179266908107604E-2</v>
      </c>
      <c r="H365" s="734"/>
      <c r="I365" s="595"/>
      <c r="J365" s="473"/>
      <c r="K365" s="473"/>
      <c r="L365" s="473"/>
      <c r="M365" s="473"/>
      <c r="N365" s="473"/>
      <c r="O365" s="473"/>
      <c r="P365" s="473"/>
      <c r="Q365" s="473"/>
      <c r="R365" s="473"/>
    </row>
    <row r="366" spans="2:18" x14ac:dyDescent="0.45">
      <c r="B366" s="580"/>
      <c r="C366" s="734"/>
      <c r="D366" s="734"/>
      <c r="E366" s="734"/>
      <c r="F366" s="734"/>
      <c r="G366" s="734"/>
      <c r="H366" s="734"/>
      <c r="I366" s="595"/>
      <c r="J366" s="473"/>
      <c r="K366" s="473"/>
      <c r="L366" s="473"/>
      <c r="M366" s="473"/>
      <c r="N366" s="473"/>
      <c r="O366" s="473"/>
      <c r="P366" s="473"/>
      <c r="Q366" s="473"/>
      <c r="R366" s="473"/>
    </row>
    <row r="367" spans="2:18" x14ac:dyDescent="0.45">
      <c r="B367" s="580" t="s">
        <v>248</v>
      </c>
      <c r="C367" s="734" t="s">
        <v>238</v>
      </c>
      <c r="D367" s="527">
        <v>1</v>
      </c>
      <c r="E367" s="723">
        <f t="shared" ref="E367:E372" si="80">D367</f>
        <v>1</v>
      </c>
      <c r="F367" s="723">
        <f>D367</f>
        <v>1</v>
      </c>
      <c r="G367" s="723">
        <v>1</v>
      </c>
      <c r="H367" s="723">
        <f t="shared" ref="H367:H372" si="81">G367</f>
        <v>1</v>
      </c>
      <c r="I367" s="526">
        <f>G367</f>
        <v>1</v>
      </c>
      <c r="J367" s="473"/>
      <c r="K367" s="473"/>
      <c r="L367" s="473"/>
      <c r="M367" s="473"/>
      <c r="N367" s="473"/>
      <c r="O367" s="473"/>
      <c r="P367" s="473"/>
      <c r="Q367" s="473"/>
      <c r="R367" s="473"/>
    </row>
    <row r="368" spans="2:18" x14ac:dyDescent="0.45">
      <c r="B368" s="531"/>
      <c r="C368" s="734" t="s">
        <v>239</v>
      </c>
      <c r="D368" s="527">
        <f>D357/$D$356</f>
        <v>0.47441669515883572</v>
      </c>
      <c r="E368" s="723">
        <f t="shared" si="80"/>
        <v>0.47441669515883572</v>
      </c>
      <c r="F368" s="723">
        <f>D368</f>
        <v>0.47441669515883572</v>
      </c>
      <c r="G368" s="723">
        <f>G357/$G$356</f>
        <v>0.47441669515883578</v>
      </c>
      <c r="H368" s="723">
        <f t="shared" si="81"/>
        <v>0.47441669515883578</v>
      </c>
      <c r="I368" s="526">
        <f>G368</f>
        <v>0.47441669515883578</v>
      </c>
      <c r="J368" s="473"/>
      <c r="K368" s="473"/>
      <c r="L368" s="473"/>
      <c r="M368" s="473"/>
      <c r="N368" s="473"/>
      <c r="O368" s="473"/>
      <c r="P368" s="473"/>
      <c r="Q368" s="473"/>
      <c r="R368" s="473"/>
    </row>
    <row r="369" spans="2:18" x14ac:dyDescent="0.45">
      <c r="B369" s="531"/>
      <c r="C369" s="734" t="s">
        <v>240</v>
      </c>
      <c r="D369" s="527">
        <f t="shared" ref="D369:D375" si="82">D358/$D$356</f>
        <v>7.4403331201655987E-2</v>
      </c>
      <c r="E369" s="723">
        <f t="shared" si="80"/>
        <v>7.4403331201655987E-2</v>
      </c>
      <c r="F369" s="723">
        <f>D369</f>
        <v>7.4403331201655987E-2</v>
      </c>
      <c r="G369" s="723">
        <f t="shared" ref="G369:G375" si="83">G358/$G$356</f>
        <v>7.4403331201655987E-2</v>
      </c>
      <c r="H369" s="723">
        <f t="shared" si="81"/>
        <v>7.4403331201655987E-2</v>
      </c>
      <c r="I369" s="526">
        <f>G369</f>
        <v>7.4403331201655987E-2</v>
      </c>
      <c r="J369" s="473"/>
      <c r="K369" s="473"/>
      <c r="L369" s="473"/>
      <c r="M369" s="473"/>
      <c r="N369" s="473"/>
      <c r="O369" s="473"/>
      <c r="P369" s="473"/>
      <c r="Q369" s="473"/>
      <c r="R369" s="473"/>
    </row>
    <row r="370" spans="2:18" x14ac:dyDescent="0.45">
      <c r="B370" s="531"/>
      <c r="C370" s="734" t="s">
        <v>20</v>
      </c>
      <c r="D370" s="527">
        <f t="shared" si="82"/>
        <v>5.7544738785560115E-2</v>
      </c>
      <c r="E370" s="723">
        <f t="shared" si="80"/>
        <v>5.7544738785560115E-2</v>
      </c>
      <c r="F370" s="723">
        <f>D370</f>
        <v>5.7544738785560115E-2</v>
      </c>
      <c r="G370" s="723">
        <f t="shared" si="83"/>
        <v>5.7544738785560115E-2</v>
      </c>
      <c r="H370" s="723">
        <f t="shared" si="81"/>
        <v>5.7544738785560115E-2</v>
      </c>
      <c r="I370" s="526">
        <f>G370</f>
        <v>5.7544738785560115E-2</v>
      </c>
      <c r="J370" s="473"/>
      <c r="K370" s="473"/>
      <c r="L370" s="473"/>
      <c r="M370" s="473"/>
      <c r="N370" s="473"/>
      <c r="O370" s="473"/>
      <c r="P370" s="473"/>
      <c r="Q370" s="473"/>
      <c r="R370" s="473"/>
    </row>
    <row r="371" spans="2:18" x14ac:dyDescent="0.45">
      <c r="B371" s="531"/>
      <c r="C371" s="734" t="s">
        <v>61</v>
      </c>
      <c r="D371" s="527">
        <f t="shared" si="82"/>
        <v>5.2870633500739436E-2</v>
      </c>
      <c r="E371" s="723">
        <f t="shared" si="80"/>
        <v>5.2870633500739436E-2</v>
      </c>
      <c r="F371" s="723">
        <f>D371</f>
        <v>5.2870633500739436E-2</v>
      </c>
      <c r="G371" s="723">
        <f t="shared" si="83"/>
        <v>5.2870633500739443E-2</v>
      </c>
      <c r="H371" s="723">
        <f t="shared" si="81"/>
        <v>5.2870633500739443E-2</v>
      </c>
      <c r="I371" s="526">
        <f>G371</f>
        <v>5.2870633500739443E-2</v>
      </c>
      <c r="J371" s="473"/>
      <c r="K371" s="473"/>
      <c r="L371" s="473"/>
      <c r="M371" s="473"/>
      <c r="N371" s="473"/>
      <c r="O371" s="473"/>
      <c r="P371" s="473"/>
      <c r="Q371" s="473"/>
      <c r="R371" s="473"/>
    </row>
    <row r="372" spans="2:18" x14ac:dyDescent="0.45">
      <c r="B372" s="531"/>
      <c r="C372" s="734" t="s">
        <v>246</v>
      </c>
      <c r="D372" s="527">
        <f t="shared" si="82"/>
        <v>0.13767016862052273</v>
      </c>
      <c r="E372" s="723">
        <f t="shared" si="80"/>
        <v>0.13767016862052273</v>
      </c>
      <c r="F372" s="723"/>
      <c r="G372" s="723">
        <f t="shared" si="83"/>
        <v>7.7609314289496759E-2</v>
      </c>
      <c r="H372" s="723">
        <f t="shared" si="81"/>
        <v>7.7609314289496759E-2</v>
      </c>
      <c r="I372" s="526"/>
      <c r="J372" s="473"/>
      <c r="K372" s="473"/>
      <c r="L372" s="473"/>
      <c r="M372" s="473"/>
      <c r="N372" s="473"/>
      <c r="O372" s="473"/>
      <c r="P372" s="473"/>
      <c r="Q372" s="473"/>
      <c r="R372" s="473"/>
    </row>
    <row r="373" spans="2:18" x14ac:dyDescent="0.45">
      <c r="B373" s="580"/>
      <c r="C373" s="734" t="s">
        <v>244</v>
      </c>
      <c r="D373" s="527">
        <f t="shared" si="82"/>
        <v>0.105</v>
      </c>
      <c r="E373" s="734"/>
      <c r="F373" s="723"/>
      <c r="G373" s="723">
        <f t="shared" si="83"/>
        <v>0.105</v>
      </c>
      <c r="H373" s="734"/>
      <c r="I373" s="526"/>
      <c r="J373" s="473"/>
      <c r="K373" s="473"/>
      <c r="L373" s="473"/>
      <c r="M373" s="473"/>
      <c r="N373" s="473"/>
      <c r="O373" s="473"/>
      <c r="P373" s="473"/>
      <c r="Q373" s="473"/>
      <c r="R373" s="473"/>
    </row>
    <row r="374" spans="2:18" x14ac:dyDescent="0.45">
      <c r="B374" s="580"/>
      <c r="C374" s="734" t="s">
        <v>241</v>
      </c>
      <c r="D374" s="527">
        <f t="shared" si="82"/>
        <v>2.0080791906550082E-2</v>
      </c>
      <c r="E374" s="734"/>
      <c r="F374" s="734"/>
      <c r="G374" s="723">
        <f t="shared" si="83"/>
        <v>0</v>
      </c>
      <c r="H374" s="734"/>
      <c r="I374" s="595"/>
      <c r="J374" s="473"/>
      <c r="K374" s="473"/>
      <c r="L374" s="473"/>
      <c r="M374" s="473"/>
      <c r="N374" s="473"/>
      <c r="O374" s="473"/>
      <c r="P374" s="473"/>
      <c r="Q374" s="473"/>
      <c r="R374" s="473"/>
    </row>
    <row r="375" spans="2:18" x14ac:dyDescent="0.45">
      <c r="B375" s="580"/>
      <c r="C375" s="734" t="s">
        <v>242</v>
      </c>
      <c r="D375" s="527">
        <f t="shared" si="82"/>
        <v>2.1765805790491942E-2</v>
      </c>
      <c r="E375" s="734"/>
      <c r="F375" s="734"/>
      <c r="G375" s="723">
        <f t="shared" si="83"/>
        <v>4.4125325090775637E-2</v>
      </c>
      <c r="H375" s="734"/>
      <c r="I375" s="595"/>
      <c r="J375" s="473"/>
      <c r="K375" s="473"/>
      <c r="L375" s="473"/>
      <c r="M375" s="473"/>
      <c r="N375" s="473"/>
      <c r="O375" s="473"/>
      <c r="P375" s="473"/>
      <c r="Q375" s="473"/>
      <c r="R375" s="473"/>
    </row>
    <row r="376" spans="2:18" x14ac:dyDescent="0.45">
      <c r="B376" s="580"/>
      <c r="C376" s="734"/>
      <c r="D376" s="527"/>
      <c r="E376" s="734"/>
      <c r="F376" s="734"/>
      <c r="G376" s="734"/>
      <c r="H376" s="734"/>
      <c r="I376" s="595"/>
      <c r="J376" s="473"/>
      <c r="K376" s="473"/>
      <c r="L376" s="473"/>
      <c r="M376" s="473"/>
      <c r="N376" s="473"/>
      <c r="O376" s="473"/>
      <c r="P376" s="473"/>
      <c r="Q376" s="473"/>
      <c r="R376" s="473"/>
    </row>
    <row r="377" spans="2:18" x14ac:dyDescent="0.45">
      <c r="B377" s="580"/>
      <c r="C377" s="734"/>
      <c r="D377" s="527"/>
      <c r="E377" s="734"/>
      <c r="F377" s="734"/>
      <c r="G377" s="734"/>
      <c r="H377" s="734"/>
      <c r="I377" s="595"/>
      <c r="J377" s="473"/>
      <c r="K377" s="473"/>
      <c r="L377" s="473"/>
      <c r="M377" s="473"/>
      <c r="N377" s="473"/>
      <c r="O377" s="473"/>
      <c r="P377" s="473"/>
      <c r="Q377" s="473"/>
      <c r="R377" s="473"/>
    </row>
    <row r="378" spans="2:18" x14ac:dyDescent="0.45">
      <c r="B378" s="580"/>
      <c r="C378" s="734" t="s">
        <v>388</v>
      </c>
      <c r="D378" s="527">
        <f>(E356-SUM(E357:E364))/E356</f>
        <v>0.20309443273268607</v>
      </c>
      <c r="E378" s="734"/>
      <c r="F378" s="734"/>
      <c r="G378" s="527">
        <f>(G356-SUM(G357:G361))/G356</f>
        <v>0.26315528706371194</v>
      </c>
      <c r="H378" s="734"/>
      <c r="I378" s="595"/>
      <c r="J378" s="473"/>
      <c r="K378" s="473"/>
      <c r="L378" s="473"/>
      <c r="M378" s="473"/>
      <c r="N378" s="473"/>
      <c r="O378" s="473"/>
      <c r="P378" s="473"/>
      <c r="Q378" s="473"/>
      <c r="R378" s="473"/>
    </row>
    <row r="379" spans="2:18" x14ac:dyDescent="0.45">
      <c r="B379" s="511"/>
      <c r="C379" s="528" t="s">
        <v>251</v>
      </c>
      <c r="D379" s="529">
        <f>(D356-SUM(D357:D364))/D356</f>
        <v>5.6247835035644018E-2</v>
      </c>
      <c r="E379" s="528"/>
      <c r="F379" s="528"/>
      <c r="G379" s="529">
        <f>(G356-SUM(G357:G364))/G356</f>
        <v>0.11402996197293629</v>
      </c>
      <c r="H379" s="528"/>
      <c r="I379" s="513"/>
      <c r="J379" s="473"/>
      <c r="K379" s="473"/>
      <c r="L379" s="473"/>
      <c r="M379" s="473"/>
      <c r="N379" s="473"/>
      <c r="O379" s="473"/>
      <c r="P379" s="473"/>
      <c r="Q379" s="473"/>
      <c r="R379" s="473"/>
    </row>
    <row r="380" spans="2:18" x14ac:dyDescent="0.45">
      <c r="B380" s="473"/>
      <c r="C380" s="473"/>
      <c r="D380" s="473"/>
      <c r="E380" s="473"/>
      <c r="F380" s="473"/>
      <c r="G380" s="473"/>
      <c r="H380" s="473"/>
      <c r="I380" s="473"/>
      <c r="J380" s="473"/>
      <c r="K380" s="473"/>
      <c r="L380" s="473"/>
      <c r="M380" s="473"/>
      <c r="N380" s="473"/>
      <c r="O380" s="473"/>
      <c r="P380" s="473"/>
      <c r="Q380" s="473"/>
      <c r="R380" s="473"/>
    </row>
    <row r="381" spans="2:18" x14ac:dyDescent="0.45">
      <c r="B381" s="458"/>
      <c r="C381" s="458"/>
      <c r="D381" s="458"/>
      <c r="E381" s="458"/>
      <c r="F381" s="458"/>
      <c r="G381" s="458"/>
      <c r="H381" s="458"/>
      <c r="I381" s="458"/>
      <c r="J381" s="458"/>
      <c r="K381" s="458"/>
      <c r="L381" s="458"/>
      <c r="M381" s="458"/>
      <c r="N381" s="458"/>
      <c r="O381" s="458"/>
      <c r="P381" s="458"/>
      <c r="Q381" s="458"/>
      <c r="R381" s="458"/>
    </row>
    <row r="382" spans="2:18" x14ac:dyDescent="0.45">
      <c r="B382" s="458"/>
      <c r="C382" s="458"/>
      <c r="D382" s="458"/>
      <c r="E382" s="458"/>
      <c r="F382" s="458"/>
      <c r="G382" s="458"/>
      <c r="H382" s="458"/>
      <c r="I382" s="458"/>
      <c r="J382" s="458"/>
      <c r="K382" s="458"/>
      <c r="L382" s="521"/>
      <c r="M382" s="458"/>
      <c r="N382" s="458"/>
      <c r="O382" s="458"/>
      <c r="P382" s="458"/>
      <c r="Q382" s="458"/>
      <c r="R382" s="458"/>
    </row>
  </sheetData>
  <mergeCells count="2">
    <mergeCell ref="I28:K28"/>
    <mergeCell ref="L28:N28"/>
  </mergeCells>
  <hyperlinks>
    <hyperlink ref="A4" r:id="rId1" display="dmpowell@mit.edu"/>
  </hyperlinks>
  <pageMargins left="0.7" right="0.7" top="0.75" bottom="0.75" header="0.3" footer="0.3"/>
  <pageSetup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3"/>
  <sheetViews>
    <sheetView zoomScale="50" zoomScaleNormal="50" workbookViewId="0"/>
  </sheetViews>
  <sheetFormatPr defaultColWidth="8.86328125" defaultRowHeight="14.25" x14ac:dyDescent="0.45"/>
  <cols>
    <col min="1" max="1" width="8.86328125" style="544"/>
    <col min="2" max="2" width="30.6640625" style="540" customWidth="1"/>
    <col min="3" max="6" width="19" style="540" customWidth="1"/>
    <col min="7" max="7" width="24.796875" style="540" customWidth="1"/>
    <col min="8" max="24" width="19" style="540" customWidth="1"/>
    <col min="25" max="25" width="21.19921875" style="540" customWidth="1"/>
    <col min="26" max="26" width="19.19921875" style="540" customWidth="1"/>
    <col min="27" max="27" width="17.33203125" style="540" customWidth="1"/>
    <col min="28" max="28" width="16.46484375" style="540" customWidth="1"/>
    <col min="29" max="29" width="11.1328125" style="540" customWidth="1"/>
    <col min="30" max="36" width="8.86328125" style="540"/>
    <col min="37" max="37" width="12.19921875" style="540" customWidth="1"/>
    <col min="38" max="16384" width="8.86328125" style="540"/>
  </cols>
  <sheetData>
    <row r="1" spans="1:39" ht="30.75" x14ac:dyDescent="0.9">
      <c r="A1" s="637" t="s">
        <v>357</v>
      </c>
      <c r="S1" s="553"/>
      <c r="T1" s="553"/>
      <c r="U1" s="553"/>
      <c r="V1" s="553"/>
      <c r="W1" s="553"/>
      <c r="X1" s="553"/>
      <c r="Y1" s="553"/>
      <c r="Z1" s="553"/>
      <c r="AA1" s="553"/>
      <c r="AB1" s="553"/>
      <c r="AC1" s="553"/>
      <c r="AD1" s="553"/>
      <c r="AE1" s="553"/>
      <c r="AF1" s="553"/>
      <c r="AG1" s="553"/>
      <c r="AH1" s="553"/>
      <c r="AI1" s="553"/>
    </row>
    <row r="2" spans="1:39" x14ac:dyDescent="0.45">
      <c r="A2" s="817" t="str">
        <f>Cover!A2</f>
        <v>Jan 2013</v>
      </c>
      <c r="S2" s="553"/>
      <c r="T2" s="553"/>
      <c r="U2" s="553"/>
      <c r="V2" s="553"/>
      <c r="W2" s="553"/>
      <c r="X2" s="553"/>
      <c r="Y2" s="553"/>
      <c r="Z2" s="553"/>
      <c r="AA2" s="553"/>
      <c r="AB2" s="553"/>
      <c r="AC2" s="553"/>
      <c r="AD2" s="553"/>
      <c r="AE2" s="553"/>
      <c r="AF2" s="553"/>
      <c r="AG2" s="553"/>
      <c r="AH2" s="553"/>
      <c r="AI2" s="553"/>
    </row>
    <row r="3" spans="1:39" x14ac:dyDescent="0.45">
      <c r="A3" s="550" t="s">
        <v>36</v>
      </c>
      <c r="S3" s="553"/>
      <c r="T3" s="553"/>
      <c r="U3" s="553"/>
      <c r="V3" s="553"/>
      <c r="W3" s="553"/>
      <c r="X3" s="553"/>
      <c r="Y3" s="553"/>
      <c r="Z3" s="553"/>
      <c r="AA3" s="553"/>
      <c r="AB3" s="553"/>
      <c r="AC3" s="553"/>
      <c r="AD3" s="553"/>
      <c r="AE3" s="553"/>
      <c r="AF3" s="553"/>
      <c r="AG3" s="553"/>
      <c r="AH3" s="553"/>
      <c r="AI3" s="553"/>
    </row>
    <row r="4" spans="1:39" s="811" customFormat="1" ht="13.8" customHeight="1" x14ac:dyDescent="0.45">
      <c r="A4" s="540" t="s">
        <v>137</v>
      </c>
      <c r="S4" s="536"/>
      <c r="T4" s="547"/>
      <c r="U4" s="536"/>
      <c r="V4" s="536"/>
      <c r="W4" s="536"/>
      <c r="X4" s="536"/>
      <c r="Y4" s="536"/>
      <c r="Z4" s="536"/>
      <c r="AA4" s="536"/>
      <c r="AB4" s="536"/>
      <c r="AC4" s="536"/>
      <c r="AD4" s="536"/>
      <c r="AE4" s="536"/>
      <c r="AF4" s="536"/>
      <c r="AG4" s="536"/>
      <c r="AH4" s="536"/>
      <c r="AI4" s="536"/>
    </row>
    <row r="5" spans="1:39" ht="15.4" x14ac:dyDescent="0.45">
      <c r="A5" s="540"/>
      <c r="F5" s="1071" t="s">
        <v>314</v>
      </c>
      <c r="G5" s="1071"/>
      <c r="S5" s="553"/>
      <c r="T5" s="538"/>
      <c r="U5" s="553"/>
      <c r="V5" s="553"/>
      <c r="W5" s="553"/>
      <c r="X5" s="553"/>
      <c r="Y5" s="553"/>
      <c r="Z5" s="553"/>
      <c r="AA5" s="553"/>
      <c r="AB5" s="553"/>
      <c r="AC5" s="553"/>
      <c r="AD5" s="553"/>
      <c r="AE5" s="553"/>
      <c r="AF5" s="553"/>
      <c r="AG5" s="553"/>
      <c r="AH5" s="553"/>
      <c r="AI5" s="553"/>
      <c r="AK5" s="631"/>
      <c r="AL5" s="631"/>
      <c r="AM5" s="631"/>
    </row>
    <row r="6" spans="1:39" ht="28.9" thickBot="1" x14ac:dyDescent="0.9">
      <c r="B6" s="562" t="s">
        <v>395</v>
      </c>
      <c r="F6" s="540" t="s">
        <v>254</v>
      </c>
      <c r="G6" s="540" t="s">
        <v>255</v>
      </c>
      <c r="R6" s="543"/>
      <c r="S6" s="553"/>
      <c r="T6" s="553"/>
      <c r="U6" s="553"/>
      <c r="V6" s="553"/>
      <c r="W6" s="553"/>
      <c r="X6" s="553"/>
      <c r="Y6" s="553"/>
      <c r="Z6" s="553"/>
      <c r="AA6" s="553"/>
      <c r="AB6" s="553"/>
      <c r="AC6" s="553"/>
      <c r="AD6" s="553"/>
      <c r="AE6" s="553"/>
      <c r="AF6" s="553"/>
      <c r="AG6" s="553"/>
      <c r="AH6" s="553"/>
      <c r="AI6" s="553"/>
      <c r="AK6" s="631"/>
      <c r="AL6" s="740"/>
      <c r="AM6" s="631"/>
    </row>
    <row r="7" spans="1:39" ht="14.65" thickBot="1" x14ac:dyDescent="0.5">
      <c r="A7" s="545"/>
      <c r="B7" s="560" t="s">
        <v>37</v>
      </c>
      <c r="C7" s="569" t="s">
        <v>34</v>
      </c>
      <c r="D7" s="570" t="s">
        <v>38</v>
      </c>
      <c r="H7" s="543"/>
      <c r="S7" s="553"/>
      <c r="T7" s="553"/>
      <c r="U7" s="553"/>
      <c r="V7" s="553"/>
      <c r="W7" s="553"/>
      <c r="X7" s="553"/>
      <c r="Y7" s="553"/>
      <c r="Z7" s="553"/>
      <c r="AA7" s="553"/>
      <c r="AB7" s="553"/>
      <c r="AC7" s="553"/>
      <c r="AD7" s="553"/>
      <c r="AE7" s="553"/>
      <c r="AF7" s="553"/>
      <c r="AG7" s="553"/>
      <c r="AH7" s="553"/>
      <c r="AI7" s="553"/>
      <c r="AK7" s="631"/>
      <c r="AL7" s="740"/>
      <c r="AM7" s="631"/>
    </row>
    <row r="8" spans="1:39" x14ac:dyDescent="0.45">
      <c r="A8" s="545"/>
      <c r="B8" s="554" t="s">
        <v>33</v>
      </c>
      <c r="C8" s="565">
        <v>20.5</v>
      </c>
      <c r="D8" s="571" t="s">
        <v>0</v>
      </c>
      <c r="H8" s="543"/>
      <c r="S8" s="553"/>
      <c r="T8" s="553"/>
      <c r="U8" s="553"/>
      <c r="V8" s="553"/>
      <c r="W8" s="553"/>
      <c r="X8" s="553"/>
      <c r="Y8" s="553"/>
      <c r="Z8" s="553"/>
      <c r="AA8" s="553"/>
      <c r="AB8" s="553"/>
      <c r="AC8" s="553"/>
      <c r="AD8" s="553"/>
      <c r="AE8" s="553"/>
      <c r="AF8" s="553"/>
      <c r="AG8" s="553"/>
      <c r="AH8" s="553"/>
      <c r="AI8" s="553"/>
      <c r="AK8" s="631"/>
      <c r="AL8" s="740"/>
      <c r="AM8" s="631"/>
    </row>
    <row r="9" spans="1:39" x14ac:dyDescent="0.45">
      <c r="A9" s="550"/>
      <c r="B9" s="557" t="s">
        <v>11</v>
      </c>
      <c r="C9" s="544">
        <v>120</v>
      </c>
      <c r="D9" s="572" t="s">
        <v>122</v>
      </c>
      <c r="H9" s="543"/>
      <c r="S9" s="553"/>
      <c r="T9" s="553"/>
      <c r="U9" s="553"/>
      <c r="V9" s="553"/>
      <c r="W9" s="553"/>
      <c r="X9" s="553"/>
      <c r="Y9" s="553"/>
      <c r="Z9" s="553"/>
      <c r="AA9" s="553"/>
      <c r="AB9" s="553"/>
      <c r="AC9" s="553"/>
      <c r="AD9" s="553"/>
      <c r="AE9" s="553"/>
      <c r="AF9" s="553"/>
      <c r="AG9" s="553"/>
      <c r="AH9" s="553"/>
      <c r="AI9" s="553"/>
      <c r="AK9" s="631"/>
      <c r="AL9" s="740"/>
      <c r="AM9" s="631"/>
    </row>
    <row r="10" spans="1:39" x14ac:dyDescent="0.45">
      <c r="A10" s="550"/>
      <c r="B10" s="557" t="s">
        <v>183</v>
      </c>
      <c r="C10" s="544">
        <v>0.55000000000000004</v>
      </c>
      <c r="D10" s="572" t="s">
        <v>22</v>
      </c>
      <c r="G10" s="553"/>
      <c r="H10" s="543"/>
      <c r="S10" s="553"/>
      <c r="T10" s="553"/>
      <c r="U10" s="553"/>
      <c r="V10" s="553"/>
      <c r="W10" s="553"/>
      <c r="X10" s="553"/>
      <c r="Y10" s="553"/>
      <c r="Z10" s="553"/>
      <c r="AA10" s="553"/>
      <c r="AB10" s="553"/>
      <c r="AC10" s="553"/>
      <c r="AD10" s="553"/>
      <c r="AE10" s="553"/>
      <c r="AF10" s="553"/>
      <c r="AG10" s="553"/>
      <c r="AH10" s="740"/>
      <c r="AI10" s="553"/>
    </row>
    <row r="11" spans="1:39" x14ac:dyDescent="0.45">
      <c r="A11" s="550"/>
      <c r="B11" s="557" t="s">
        <v>109</v>
      </c>
      <c r="C11" s="544">
        <v>30</v>
      </c>
      <c r="D11" s="572" t="s">
        <v>12</v>
      </c>
      <c r="H11" s="543"/>
      <c r="S11" s="553"/>
      <c r="T11" s="533"/>
      <c r="U11" s="553"/>
      <c r="V11" s="553"/>
      <c r="W11" s="801"/>
      <c r="X11" s="553"/>
      <c r="Y11" s="553"/>
      <c r="Z11" s="553"/>
      <c r="AA11" s="553"/>
      <c r="AB11" s="801"/>
      <c r="AC11" s="553"/>
      <c r="AD11" s="801"/>
      <c r="AE11" s="801"/>
      <c r="AF11" s="553"/>
      <c r="AG11" s="553"/>
      <c r="AH11" s="740"/>
      <c r="AI11" s="553"/>
    </row>
    <row r="12" spans="1:39" x14ac:dyDescent="0.45">
      <c r="A12" s="550"/>
      <c r="B12" s="557" t="s">
        <v>196</v>
      </c>
      <c r="C12" s="519">
        <v>14.5</v>
      </c>
      <c r="D12" s="572" t="s">
        <v>17</v>
      </c>
      <c r="H12" s="543"/>
      <c r="S12" s="553"/>
      <c r="T12" s="533"/>
      <c r="U12" s="553"/>
      <c r="V12" s="553"/>
      <c r="W12" s="801"/>
      <c r="X12" s="553"/>
      <c r="Y12" s="548"/>
      <c r="Z12" s="553"/>
      <c r="AA12" s="553"/>
      <c r="AB12" s="553"/>
      <c r="AC12" s="548"/>
      <c r="AD12" s="553"/>
      <c r="AE12" s="553"/>
      <c r="AF12" s="553"/>
      <c r="AG12" s="553"/>
      <c r="AH12" s="740"/>
      <c r="AI12" s="553"/>
    </row>
    <row r="13" spans="1:39" x14ac:dyDescent="0.45">
      <c r="A13" s="545"/>
      <c r="B13" s="555" t="s">
        <v>197</v>
      </c>
      <c r="C13" s="519">
        <v>20.61</v>
      </c>
      <c r="D13" s="572" t="s">
        <v>17</v>
      </c>
      <c r="H13" s="543"/>
      <c r="S13" s="553"/>
      <c r="T13" s="553"/>
      <c r="U13" s="553"/>
      <c r="V13" s="553"/>
      <c r="W13" s="801"/>
      <c r="X13" s="553"/>
      <c r="Y13" s="548"/>
      <c r="Z13" s="553"/>
      <c r="AA13" s="553"/>
      <c r="AB13" s="553"/>
      <c r="AC13" s="548"/>
      <c r="AD13" s="553"/>
      <c r="AE13" s="553"/>
      <c r="AF13" s="553"/>
      <c r="AG13" s="553"/>
      <c r="AH13" s="740"/>
      <c r="AI13" s="553"/>
      <c r="AJ13" s="631"/>
    </row>
    <row r="14" spans="1:39" x14ac:dyDescent="0.45">
      <c r="A14" s="545"/>
      <c r="B14" s="555" t="s">
        <v>198</v>
      </c>
      <c r="C14" s="519">
        <v>27.27</v>
      </c>
      <c r="D14" s="572" t="s">
        <v>17</v>
      </c>
      <c r="E14" s="541"/>
      <c r="H14" s="543"/>
      <c r="S14" s="553"/>
      <c r="T14" s="553"/>
      <c r="U14" s="553"/>
      <c r="V14" s="553"/>
      <c r="W14" s="801"/>
      <c r="X14" s="553"/>
      <c r="Y14" s="548"/>
      <c r="Z14" s="553"/>
      <c r="AA14" s="553"/>
      <c r="AB14" s="553"/>
      <c r="AC14" s="548"/>
      <c r="AD14" s="553"/>
      <c r="AE14" s="553"/>
      <c r="AF14" s="801"/>
      <c r="AG14" s="553"/>
      <c r="AH14" s="740"/>
      <c r="AI14" s="553"/>
      <c r="AJ14" s="631"/>
    </row>
    <row r="15" spans="1:39" x14ac:dyDescent="0.45">
      <c r="A15" s="545"/>
      <c r="B15" s="555" t="s">
        <v>199</v>
      </c>
      <c r="C15" s="482">
        <v>1.325</v>
      </c>
      <c r="D15" s="480" t="s">
        <v>22</v>
      </c>
      <c r="H15" s="543"/>
      <c r="L15" s="546"/>
      <c r="N15" s="541"/>
      <c r="S15" s="553"/>
      <c r="T15" s="553"/>
      <c r="U15" s="553"/>
      <c r="V15" s="553"/>
      <c r="W15" s="801"/>
      <c r="X15" s="553"/>
      <c r="Y15" s="553"/>
      <c r="Z15" s="553"/>
      <c r="AA15" s="553"/>
      <c r="AB15" s="553"/>
      <c r="AC15" s="548"/>
      <c r="AD15" s="553"/>
      <c r="AE15" s="553"/>
      <c r="AF15" s="553"/>
      <c r="AG15" s="553"/>
      <c r="AH15" s="740"/>
      <c r="AI15" s="553"/>
      <c r="AJ15" s="631"/>
    </row>
    <row r="16" spans="1:39" x14ac:dyDescent="0.45">
      <c r="A16" s="545"/>
      <c r="B16" s="557" t="s">
        <v>19</v>
      </c>
      <c r="C16" s="483">
        <v>6.8900000000000003E-2</v>
      </c>
      <c r="D16" s="572" t="s">
        <v>139</v>
      </c>
      <c r="H16" s="543"/>
      <c r="L16" s="546"/>
      <c r="S16" s="553"/>
      <c r="T16" s="553"/>
      <c r="U16" s="553"/>
      <c r="V16" s="553"/>
      <c r="W16" s="801"/>
      <c r="X16" s="553"/>
      <c r="Y16" s="553"/>
      <c r="Z16" s="553"/>
      <c r="AA16" s="553"/>
      <c r="AB16" s="553"/>
      <c r="AC16" s="548"/>
      <c r="AD16" s="553"/>
      <c r="AE16" s="553"/>
      <c r="AF16" s="553"/>
      <c r="AG16" s="553"/>
      <c r="AH16" s="740"/>
      <c r="AI16" s="553"/>
      <c r="AJ16" s="631"/>
    </row>
    <row r="17" spans="1:36" x14ac:dyDescent="0.45">
      <c r="A17" s="545"/>
      <c r="B17" s="555" t="s">
        <v>43</v>
      </c>
      <c r="C17" s="455">
        <v>0</v>
      </c>
      <c r="D17" s="480" t="s">
        <v>44</v>
      </c>
      <c r="E17" s="541"/>
      <c r="H17" s="543"/>
      <c r="S17" s="553"/>
      <c r="T17" s="553"/>
      <c r="U17" s="553"/>
      <c r="V17" s="553"/>
      <c r="W17" s="801"/>
      <c r="X17" s="553"/>
      <c r="Y17" s="553"/>
      <c r="Z17" s="553"/>
      <c r="AA17" s="553"/>
      <c r="AB17" s="553"/>
      <c r="AC17" s="548"/>
      <c r="AD17" s="553"/>
      <c r="AE17" s="553"/>
      <c r="AF17" s="553"/>
      <c r="AG17" s="553"/>
      <c r="AH17" s="740"/>
      <c r="AI17" s="553"/>
      <c r="AJ17" s="631"/>
    </row>
    <row r="18" spans="1:36" ht="14.65" thickBot="1" x14ac:dyDescent="0.5">
      <c r="A18" s="545"/>
      <c r="B18" s="558" t="s">
        <v>185</v>
      </c>
      <c r="C18" s="484">
        <v>97</v>
      </c>
      <c r="D18" s="481" t="s">
        <v>0</v>
      </c>
      <c r="H18" s="543"/>
      <c r="R18" s="640"/>
      <c r="S18" s="553"/>
      <c r="T18" s="553"/>
      <c r="U18" s="553"/>
      <c r="V18" s="553"/>
      <c r="W18" s="801"/>
      <c r="X18" s="553"/>
      <c r="Y18" s="553"/>
      <c r="Z18" s="553"/>
      <c r="AA18" s="547"/>
      <c r="AB18" s="801"/>
      <c r="AC18" s="534"/>
      <c r="AD18" s="553"/>
      <c r="AE18" s="553"/>
      <c r="AF18" s="553"/>
      <c r="AG18" s="553"/>
      <c r="AH18" s="740"/>
      <c r="AI18" s="553"/>
      <c r="AJ18" s="631"/>
    </row>
    <row r="19" spans="1:36" s="640" customFormat="1" x14ac:dyDescent="0.45">
      <c r="A19" s="545"/>
      <c r="B19" s="540"/>
      <c r="C19" s="540"/>
      <c r="D19" s="540"/>
      <c r="E19" s="739"/>
      <c r="F19" s="540"/>
      <c r="H19" s="543"/>
      <c r="R19" s="540"/>
      <c r="S19" s="553"/>
      <c r="T19" s="553"/>
      <c r="U19" s="553"/>
      <c r="V19" s="553"/>
      <c r="W19" s="801"/>
      <c r="X19" s="553"/>
      <c r="Y19" s="553"/>
      <c r="Z19" s="553"/>
      <c r="AA19" s="553"/>
      <c r="AB19" s="553"/>
      <c r="AC19" s="548"/>
      <c r="AD19" s="553"/>
      <c r="AE19" s="553"/>
      <c r="AF19" s="553"/>
      <c r="AG19" s="553"/>
      <c r="AH19" s="741"/>
      <c r="AI19" s="801"/>
      <c r="AJ19" s="648"/>
    </row>
    <row r="20" spans="1:36" ht="28.9" thickBot="1" x14ac:dyDescent="0.9">
      <c r="A20" s="545"/>
      <c r="B20" s="562" t="s">
        <v>165</v>
      </c>
      <c r="E20" s="541"/>
      <c r="H20" s="543"/>
      <c r="S20" s="553"/>
      <c r="T20" s="553"/>
      <c r="U20" s="553"/>
      <c r="V20" s="553"/>
      <c r="W20" s="801"/>
      <c r="X20" s="553"/>
      <c r="Y20" s="553"/>
      <c r="Z20" s="553"/>
      <c r="AA20" s="553"/>
      <c r="AB20" s="553"/>
      <c r="AC20" s="548"/>
      <c r="AD20" s="553"/>
      <c r="AE20" s="553"/>
      <c r="AF20" s="553"/>
      <c r="AG20" s="553"/>
      <c r="AH20" s="740"/>
      <c r="AI20" s="553"/>
      <c r="AJ20" s="631"/>
    </row>
    <row r="21" spans="1:36" x14ac:dyDescent="0.45">
      <c r="A21" s="545"/>
      <c r="B21" s="743" t="s">
        <v>237</v>
      </c>
      <c r="C21" s="897">
        <f>G49</f>
        <v>0.49437660817069368</v>
      </c>
      <c r="D21" s="571" t="s">
        <v>138</v>
      </c>
      <c r="E21" s="541"/>
      <c r="S21" s="553"/>
      <c r="T21" s="553"/>
      <c r="U21" s="553"/>
      <c r="V21" s="553"/>
      <c r="W21" s="801"/>
      <c r="X21" s="553"/>
      <c r="Y21" s="553"/>
      <c r="Z21" s="553"/>
      <c r="AA21" s="553"/>
      <c r="AB21" s="553"/>
      <c r="AC21" s="548"/>
      <c r="AD21" s="553"/>
      <c r="AE21" s="553"/>
      <c r="AF21" s="553"/>
      <c r="AG21" s="553"/>
      <c r="AH21" s="740"/>
      <c r="AI21" s="553"/>
      <c r="AJ21" s="631"/>
    </row>
    <row r="22" spans="1:36" ht="15.75" x14ac:dyDescent="0.45">
      <c r="A22" s="545"/>
      <c r="B22" s="555" t="s">
        <v>237</v>
      </c>
      <c r="C22" s="898">
        <f>F49</f>
        <v>101.34720467499221</v>
      </c>
      <c r="D22" s="480" t="s">
        <v>334</v>
      </c>
      <c r="F22" s="640"/>
      <c r="H22" s="543"/>
      <c r="N22" s="543"/>
      <c r="S22" s="547"/>
      <c r="T22" s="801"/>
      <c r="U22" s="553"/>
      <c r="V22" s="553"/>
      <c r="W22" s="801"/>
      <c r="X22" s="553"/>
      <c r="Y22" s="553"/>
      <c r="Z22" s="553"/>
      <c r="AA22" s="553"/>
      <c r="AB22" s="553"/>
      <c r="AC22" s="548"/>
      <c r="AD22" s="553"/>
      <c r="AE22" s="553"/>
      <c r="AF22" s="553"/>
      <c r="AG22" s="553"/>
      <c r="AH22" s="740"/>
      <c r="AI22" s="553"/>
      <c r="AJ22" s="631"/>
    </row>
    <row r="23" spans="1:36" x14ac:dyDescent="0.45">
      <c r="A23" s="545"/>
      <c r="B23" s="555" t="s">
        <v>127</v>
      </c>
      <c r="C23" s="899">
        <f>IF(AND(X325&lt;0.1,X325&gt;-0.1),C206,0)</f>
        <v>0.59467788439360558</v>
      </c>
      <c r="D23" s="572" t="s">
        <v>138</v>
      </c>
      <c r="H23" s="543"/>
      <c r="N23" s="543"/>
      <c r="S23" s="547"/>
      <c r="T23" s="801"/>
      <c r="U23" s="553"/>
      <c r="V23" s="553"/>
      <c r="W23" s="801"/>
      <c r="X23" s="553"/>
      <c r="Y23" s="553"/>
      <c r="Z23" s="553"/>
      <c r="AA23" s="553"/>
      <c r="AB23" s="553"/>
      <c r="AC23" s="548"/>
      <c r="AD23" s="553"/>
      <c r="AE23" s="553"/>
      <c r="AF23" s="553"/>
      <c r="AG23" s="553"/>
      <c r="AH23" s="740"/>
      <c r="AI23" s="553"/>
      <c r="AJ23" s="631"/>
    </row>
    <row r="24" spans="1:36" ht="15.75" x14ac:dyDescent="0.45">
      <c r="A24" s="442"/>
      <c r="B24" s="555" t="s">
        <v>127</v>
      </c>
      <c r="C24" s="898">
        <f>C23*$C$58/$C$57</f>
        <v>121.90896630068913</v>
      </c>
      <c r="D24" s="572" t="s">
        <v>334</v>
      </c>
      <c r="F24" s="640"/>
      <c r="N24" s="543"/>
      <c r="S24" s="553"/>
      <c r="T24" s="553"/>
      <c r="U24" s="553"/>
      <c r="V24" s="553"/>
      <c r="W24" s="801"/>
      <c r="X24" s="553"/>
      <c r="Y24" s="553"/>
      <c r="Z24" s="553"/>
      <c r="AA24" s="547"/>
      <c r="AB24" s="553"/>
      <c r="AC24" s="548"/>
      <c r="AD24" s="553"/>
      <c r="AE24" s="553"/>
      <c r="AF24" s="553"/>
      <c r="AG24" s="553"/>
      <c r="AH24" s="553"/>
      <c r="AI24" s="553"/>
      <c r="AJ24" s="631"/>
    </row>
    <row r="25" spans="1:36" ht="14.65" thickBot="1" x14ac:dyDescent="0.5">
      <c r="A25" s="545"/>
      <c r="B25" s="558" t="s">
        <v>50</v>
      </c>
      <c r="C25" s="900">
        <f>C62*1000*C55/C58*(1/(C151))</f>
        <v>2.2970016101973005</v>
      </c>
      <c r="D25" s="638" t="s">
        <v>49</v>
      </c>
      <c r="S25" s="553"/>
      <c r="T25" s="553"/>
      <c r="U25" s="553"/>
      <c r="V25" s="553"/>
      <c r="W25" s="801"/>
      <c r="X25" s="553"/>
      <c r="Y25" s="553"/>
      <c r="Z25" s="553"/>
      <c r="AA25" s="553"/>
      <c r="AB25" s="553"/>
      <c r="AC25" s="548"/>
      <c r="AD25" s="553"/>
      <c r="AE25" s="553"/>
      <c r="AF25" s="553"/>
      <c r="AG25" s="553"/>
      <c r="AH25" s="553"/>
      <c r="AI25" s="553"/>
      <c r="AJ25" s="631"/>
    </row>
    <row r="26" spans="1:36" x14ac:dyDescent="0.45">
      <c r="A26" s="545"/>
      <c r="S26" s="553"/>
      <c r="T26" s="553"/>
      <c r="U26" s="553"/>
      <c r="V26" s="553"/>
      <c r="W26" s="801"/>
      <c r="X26" s="553"/>
      <c r="Y26" s="553"/>
      <c r="Z26" s="553"/>
      <c r="AA26" s="553"/>
      <c r="AB26" s="553"/>
      <c r="AC26" s="548"/>
      <c r="AD26" s="553"/>
      <c r="AE26" s="553"/>
      <c r="AF26" s="553"/>
      <c r="AG26" s="553"/>
      <c r="AH26" s="553"/>
      <c r="AI26" s="553"/>
      <c r="AJ26" s="631"/>
    </row>
    <row r="27" spans="1:36" ht="14.65" thickBot="1" x14ac:dyDescent="0.5">
      <c r="A27" s="545"/>
      <c r="S27" s="548"/>
      <c r="T27" s="548"/>
      <c r="U27" s="553"/>
      <c r="V27" s="553"/>
      <c r="W27" s="801"/>
      <c r="X27" s="553"/>
      <c r="Y27" s="553"/>
      <c r="Z27" s="553"/>
      <c r="AA27" s="553"/>
      <c r="AB27" s="553"/>
      <c r="AC27" s="548"/>
      <c r="AD27" s="553"/>
      <c r="AE27" s="553"/>
      <c r="AF27" s="553"/>
      <c r="AG27" s="553"/>
      <c r="AH27" s="553"/>
      <c r="AI27" s="553"/>
      <c r="AJ27" s="631"/>
    </row>
    <row r="28" spans="1:36" ht="28.9" thickBot="1" x14ac:dyDescent="0.9">
      <c r="A28" s="545"/>
      <c r="B28" s="562" t="s">
        <v>149</v>
      </c>
      <c r="I28" s="1068" t="s">
        <v>173</v>
      </c>
      <c r="J28" s="1069"/>
      <c r="K28" s="1070"/>
      <c r="L28" s="1068" t="s">
        <v>282</v>
      </c>
      <c r="M28" s="1069"/>
      <c r="N28" s="1070"/>
      <c r="O28" s="553"/>
      <c r="P28" s="553"/>
      <c r="Q28" s="553"/>
      <c r="R28" s="553"/>
      <c r="S28" s="801"/>
      <c r="T28" s="553"/>
      <c r="U28" s="553"/>
      <c r="V28" s="553"/>
      <c r="W28" s="553"/>
      <c r="X28" s="553"/>
      <c r="Y28" s="548"/>
      <c r="Z28" s="553"/>
      <c r="AA28" s="553"/>
      <c r="AB28" s="553"/>
      <c r="AC28" s="553"/>
      <c r="AD28" s="553"/>
      <c r="AE28" s="553"/>
      <c r="AF28" s="631"/>
    </row>
    <row r="29" spans="1:36" ht="16.149999999999999" thickBot="1" x14ac:dyDescent="0.5">
      <c r="A29" s="545"/>
      <c r="B29" s="567" t="s">
        <v>37</v>
      </c>
      <c r="C29" s="563" t="s">
        <v>5</v>
      </c>
      <c r="D29" s="566" t="s">
        <v>172</v>
      </c>
      <c r="E29" s="564" t="s">
        <v>278</v>
      </c>
      <c r="F29" s="881" t="s">
        <v>329</v>
      </c>
      <c r="G29" s="643" t="s">
        <v>171</v>
      </c>
      <c r="H29" s="563" t="s">
        <v>42</v>
      </c>
      <c r="I29" s="691" t="s">
        <v>30</v>
      </c>
      <c r="J29" s="692" t="s">
        <v>52</v>
      </c>
      <c r="K29" s="692" t="s">
        <v>32</v>
      </c>
      <c r="L29" s="691" t="s">
        <v>30</v>
      </c>
      <c r="M29" s="692" t="s">
        <v>52</v>
      </c>
      <c r="N29" s="693" t="s">
        <v>32</v>
      </c>
      <c r="O29" s="548"/>
      <c r="P29" s="548"/>
      <c r="Q29" s="553"/>
      <c r="R29" s="553"/>
      <c r="S29" s="801"/>
      <c r="T29" s="553"/>
      <c r="U29" s="553"/>
      <c r="V29" s="553"/>
      <c r="W29" s="553"/>
      <c r="X29" s="553"/>
      <c r="Y29" s="548"/>
      <c r="Z29" s="553"/>
      <c r="AA29" s="553"/>
      <c r="AB29" s="553"/>
      <c r="AC29" s="553"/>
      <c r="AD29" s="553"/>
      <c r="AE29" s="553"/>
      <c r="AF29" s="631"/>
    </row>
    <row r="30" spans="1:36" x14ac:dyDescent="0.45">
      <c r="A30" s="545"/>
      <c r="B30" s="781" t="s">
        <v>24</v>
      </c>
      <c r="C30" s="768">
        <f>C65</f>
        <v>0.38627411437352049</v>
      </c>
      <c r="D30" s="574"/>
      <c r="E30" s="625">
        <v>1</v>
      </c>
      <c r="F30" s="883">
        <f t="shared" ref="F30:F48" si="0">G30*$C$58/$C$57</f>
        <v>14.126559902713396</v>
      </c>
      <c r="G30" s="724">
        <f>(C30*$C$55/$C$58+D30)*E30</f>
        <v>6.8910048305919014E-2</v>
      </c>
      <c r="H30" s="721">
        <f t="shared" ref="H30:H48" si="1">G30/$G$49</f>
        <v>0.13938776059996433</v>
      </c>
      <c r="I30" s="840">
        <f>G30</f>
        <v>6.8910048305919014E-2</v>
      </c>
      <c r="J30" s="575"/>
      <c r="K30" s="575"/>
      <c r="L30" s="854"/>
      <c r="M30" s="698"/>
      <c r="N30" s="699"/>
      <c r="O30" s="548"/>
      <c r="P30" s="548"/>
      <c r="Q30" s="553"/>
      <c r="R30" s="553"/>
      <c r="S30" s="553"/>
      <c r="T30" s="553"/>
      <c r="U30" s="553"/>
      <c r="V30" s="553"/>
      <c r="W30" s="553"/>
      <c r="X30" s="553"/>
      <c r="Y30" s="548"/>
      <c r="Z30" s="553"/>
      <c r="AA30" s="553"/>
      <c r="AB30" s="553"/>
      <c r="AC30" s="553"/>
      <c r="AD30" s="553"/>
      <c r="AE30" s="553"/>
      <c r="AF30" s="631"/>
    </row>
    <row r="31" spans="1:36" x14ac:dyDescent="0.45">
      <c r="A31" s="545"/>
      <c r="B31" s="786" t="s">
        <v>89</v>
      </c>
      <c r="C31" s="589"/>
      <c r="D31" s="705" t="s">
        <v>57</v>
      </c>
      <c r="E31" s="705" t="s">
        <v>57</v>
      </c>
      <c r="F31" s="884">
        <f t="shared" si="0"/>
        <v>11.397226099279045</v>
      </c>
      <c r="G31" s="725">
        <f>SUM(I31:K31)</f>
        <v>5.559622487453194E-2</v>
      </c>
      <c r="H31" s="664">
        <f t="shared" si="1"/>
        <v>0.11245723190717026</v>
      </c>
      <c r="I31" s="841">
        <f>(F82+F83)</f>
        <v>2.4510435053712171E-2</v>
      </c>
      <c r="J31" s="590">
        <f>(F84)</f>
        <v>2.1980153711995729E-2</v>
      </c>
      <c r="K31" s="590">
        <f>(F85)</f>
        <v>9.1056361088240403E-3</v>
      </c>
      <c r="L31" s="855"/>
      <c r="M31" s="706"/>
      <c r="N31" s="707"/>
      <c r="O31" s="553"/>
      <c r="P31" s="553"/>
      <c r="Q31" s="553"/>
      <c r="R31" s="553"/>
      <c r="S31" s="553"/>
      <c r="T31" s="553"/>
      <c r="U31" s="553"/>
      <c r="V31" s="553"/>
      <c r="W31" s="553"/>
      <c r="X31" s="553"/>
      <c r="Y31" s="553"/>
      <c r="Z31" s="553"/>
      <c r="AA31" s="553"/>
      <c r="AB31" s="553"/>
      <c r="AC31" s="553"/>
      <c r="AD31" s="553"/>
      <c r="AE31" s="553"/>
      <c r="AF31" s="631"/>
    </row>
    <row r="32" spans="1:36" x14ac:dyDescent="0.45">
      <c r="A32" s="545"/>
      <c r="B32" s="798" t="s">
        <v>61</v>
      </c>
      <c r="C32" s="708"/>
      <c r="D32" s="705" t="s">
        <v>57</v>
      </c>
      <c r="E32" s="711">
        <v>1</v>
      </c>
      <c r="F32" s="885">
        <f t="shared" si="0"/>
        <v>4.4843474611581131</v>
      </c>
      <c r="G32" s="726">
        <f>SUM(I32:K32)</f>
        <v>2.1874865664185922E-2</v>
      </c>
      <c r="H32" s="722">
        <f t="shared" si="1"/>
        <v>4.4247371948134682E-2</v>
      </c>
      <c r="I32" s="842">
        <f>(D92+D93+L32)*E32</f>
        <v>1.0386722408303791E-2</v>
      </c>
      <c r="J32" s="709">
        <f>(D94+M32)*E32</f>
        <v>8.043311896127902E-3</v>
      </c>
      <c r="K32" s="709">
        <f>(D95+N32)*E32</f>
        <v>3.4448313597542279E-3</v>
      </c>
      <c r="L32" s="856"/>
      <c r="M32" s="710"/>
      <c r="N32" s="712"/>
      <c r="O32" s="553"/>
      <c r="P32" s="553"/>
      <c r="Q32" s="553"/>
      <c r="R32" s="553"/>
      <c r="S32" s="553"/>
      <c r="T32" s="553"/>
      <c r="U32" s="553"/>
      <c r="V32" s="553"/>
      <c r="W32" s="553"/>
      <c r="X32" s="553"/>
      <c r="Y32" s="553"/>
      <c r="Z32" s="553"/>
      <c r="AA32" s="553"/>
      <c r="AB32" s="553"/>
      <c r="AC32" s="553"/>
      <c r="AD32" s="553"/>
      <c r="AE32" s="553"/>
      <c r="AF32" s="631"/>
      <c r="AG32" s="631"/>
    </row>
    <row r="33" spans="1:36" x14ac:dyDescent="0.45">
      <c r="A33" s="545"/>
      <c r="B33" s="785" t="s">
        <v>25</v>
      </c>
      <c r="C33" s="586"/>
      <c r="D33" s="705" t="s">
        <v>57</v>
      </c>
      <c r="E33" s="626">
        <v>1</v>
      </c>
      <c r="F33" s="886">
        <f t="shared" si="0"/>
        <v>11.634661015232949</v>
      </c>
      <c r="G33" s="727">
        <f>(SUM(I33:K33))</f>
        <v>5.6754443976746095E-2</v>
      </c>
      <c r="H33" s="668">
        <f t="shared" si="1"/>
        <v>0.11480001893040712</v>
      </c>
      <c r="I33" s="843">
        <f>(G100+G101+L33)*E33</f>
        <v>3.4815329831396298E-2</v>
      </c>
      <c r="J33" s="587">
        <f>(G102+M33)*E33</f>
        <v>1.1774804812343527E-2</v>
      </c>
      <c r="K33" s="587">
        <f>(G103+N33)*E33</f>
        <v>1.0164309333006272E-2</v>
      </c>
      <c r="L33" s="647"/>
      <c r="M33" s="587"/>
      <c r="N33" s="690"/>
      <c r="W33" s="631"/>
      <c r="X33" s="631"/>
      <c r="Y33" s="631"/>
      <c r="Z33" s="631"/>
      <c r="AA33" s="631"/>
      <c r="AB33" s="631"/>
      <c r="AC33" s="631"/>
      <c r="AD33" s="631"/>
      <c r="AE33" s="631"/>
      <c r="AF33" s="631"/>
      <c r="AG33" s="631"/>
    </row>
    <row r="34" spans="1:36" x14ac:dyDescent="0.45">
      <c r="A34" s="545"/>
      <c r="B34" s="782" t="s">
        <v>20</v>
      </c>
      <c r="C34" s="585"/>
      <c r="D34" s="705" t="s">
        <v>57</v>
      </c>
      <c r="E34" s="627">
        <v>1</v>
      </c>
      <c r="F34" s="887">
        <f t="shared" si="0"/>
        <v>6.5313942001118805</v>
      </c>
      <c r="G34" s="728">
        <f>(SUM(I34:K34))</f>
        <v>3.1860459512740885E-2</v>
      </c>
      <c r="H34" s="667">
        <f t="shared" si="1"/>
        <v>6.4445726165386061E-2</v>
      </c>
      <c r="I34" s="844">
        <f>(E141+E142+L34)*E34</f>
        <v>1.378649372420223E-2</v>
      </c>
      <c r="J34" s="577">
        <f>(E143+M34)*E34</f>
        <v>1.5777017633127454E-2</v>
      </c>
      <c r="K34" s="577">
        <f>(E144+N34)*E34</f>
        <v>2.2969481554112026E-3</v>
      </c>
      <c r="L34" s="684"/>
      <c r="M34" s="577"/>
      <c r="N34" s="685"/>
      <c r="W34" s="631"/>
      <c r="X34" s="631"/>
      <c r="Y34" s="631"/>
      <c r="Z34" s="631"/>
      <c r="AA34" s="631"/>
      <c r="AB34" s="631"/>
      <c r="AC34" s="631"/>
      <c r="AD34" s="631"/>
      <c r="AE34" s="631"/>
      <c r="AF34" s="631"/>
      <c r="AG34" s="631"/>
      <c r="AH34" s="631"/>
      <c r="AI34" s="631"/>
      <c r="AJ34" s="631"/>
    </row>
    <row r="35" spans="1:36" x14ac:dyDescent="0.45">
      <c r="A35" s="545"/>
      <c r="B35" s="800" t="s">
        <v>29</v>
      </c>
      <c r="C35" s="749">
        <f>C169</f>
        <v>0.13387645297193038</v>
      </c>
      <c r="D35" s="750"/>
      <c r="E35" s="752">
        <v>1</v>
      </c>
      <c r="F35" s="888">
        <f t="shared" si="0"/>
        <v>4.8960405631582029</v>
      </c>
      <c r="G35" s="753">
        <f>(C35*$C$55/$C$58+D35)*E35</f>
        <v>2.3883124698332699E-2</v>
      </c>
      <c r="H35" s="754">
        <f t="shared" si="1"/>
        <v>4.8309576755068799E-2</v>
      </c>
      <c r="I35" s="845"/>
      <c r="J35" s="755">
        <f>G35</f>
        <v>2.3883124698332699E-2</v>
      </c>
      <c r="K35" s="755"/>
      <c r="L35" s="857"/>
      <c r="M35" s="694"/>
      <c r="N35" s="696"/>
      <c r="W35" s="631"/>
      <c r="X35" s="631"/>
      <c r="Y35" s="631"/>
      <c r="Z35" s="631"/>
      <c r="AA35" s="631"/>
      <c r="AB35" s="631"/>
      <c r="AC35" s="631"/>
      <c r="AD35" s="631"/>
      <c r="AE35" s="631"/>
      <c r="AF35" s="631"/>
      <c r="AG35" s="631"/>
      <c r="AH35" s="631"/>
      <c r="AI35" s="631"/>
      <c r="AJ35" s="631"/>
    </row>
    <row r="36" spans="1:36" x14ac:dyDescent="0.45">
      <c r="A36" s="545"/>
      <c r="B36" s="797" t="s">
        <v>207</v>
      </c>
      <c r="C36" s="669"/>
      <c r="D36" s="700"/>
      <c r="E36" s="701">
        <v>1</v>
      </c>
      <c r="F36" s="889">
        <f t="shared" si="0"/>
        <v>0.81773854040776606</v>
      </c>
      <c r="G36" s="730">
        <f>(C111+D36)*E36</f>
        <v>3.9889684897939813E-3</v>
      </c>
      <c r="H36" s="671">
        <f t="shared" si="1"/>
        <v>8.068683719794259E-3</v>
      </c>
      <c r="I36" s="846">
        <f>G36</f>
        <v>3.9889684897939813E-3</v>
      </c>
      <c r="J36" s="702"/>
      <c r="K36" s="702"/>
      <c r="L36" s="857"/>
      <c r="M36" s="695"/>
      <c r="N36" s="696"/>
      <c r="W36" s="631"/>
      <c r="X36" s="631"/>
      <c r="Y36" s="631"/>
      <c r="Z36" s="631"/>
      <c r="AA36" s="631"/>
      <c r="AB36" s="631"/>
      <c r="AC36" s="631"/>
      <c r="AD36" s="631"/>
      <c r="AE36" s="631"/>
      <c r="AF36" s="631"/>
      <c r="AG36" s="631"/>
      <c r="AH36" s="631"/>
      <c r="AI36" s="631"/>
      <c r="AJ36" s="631"/>
    </row>
    <row r="37" spans="1:36" x14ac:dyDescent="0.45">
      <c r="A37" s="545"/>
      <c r="B37" s="783" t="s">
        <v>208</v>
      </c>
      <c r="C37" s="578">
        <f>C124</f>
        <v>7.2428805690489872E-2</v>
      </c>
      <c r="D37" s="579"/>
      <c r="E37" s="629">
        <v>1</v>
      </c>
      <c r="F37" s="890">
        <f t="shared" si="0"/>
        <v>2.6488180910805381</v>
      </c>
      <c r="G37" s="731">
        <f>(C37*$C$55/$C$58+D37)*E37</f>
        <v>1.2921063858929457E-2</v>
      </c>
      <c r="H37" s="723">
        <f t="shared" si="1"/>
        <v>2.6136074493371245E-2</v>
      </c>
      <c r="I37" s="847">
        <f>G37</f>
        <v>1.2921063858929457E-2</v>
      </c>
      <c r="J37" s="581"/>
      <c r="K37" s="581"/>
      <c r="L37" s="858"/>
      <c r="M37" s="695"/>
      <c r="N37" s="696"/>
      <c r="W37" s="631"/>
      <c r="X37" s="631"/>
      <c r="Y37" s="631"/>
      <c r="Z37" s="631"/>
      <c r="AA37" s="631"/>
      <c r="AB37" s="631"/>
      <c r="AC37" s="631"/>
      <c r="AD37" s="631"/>
      <c r="AE37" s="631"/>
      <c r="AF37" s="631"/>
      <c r="AG37" s="631"/>
      <c r="AH37" s="631"/>
      <c r="AI37" s="631"/>
      <c r="AJ37" s="631"/>
    </row>
    <row r="38" spans="1:36" x14ac:dyDescent="0.45">
      <c r="A38" s="545"/>
      <c r="B38" s="675" t="s">
        <v>209</v>
      </c>
      <c r="C38" s="662">
        <f>C132</f>
        <v>8.5274859144205892E-2</v>
      </c>
      <c r="D38" s="514"/>
      <c r="E38" s="515">
        <v>1</v>
      </c>
      <c r="F38" s="891">
        <f t="shared" si="0"/>
        <v>3.118615410845794</v>
      </c>
      <c r="G38" s="516">
        <f>(C38*$C$55/$C$58+D38)*E38</f>
        <v>1.5212758101686801E-2</v>
      </c>
      <c r="H38" s="762">
        <f t="shared" si="1"/>
        <v>3.0771597705598328E-2</v>
      </c>
      <c r="I38" s="848">
        <f>G38</f>
        <v>1.5212758101686801E-2</v>
      </c>
      <c r="J38" s="517"/>
      <c r="K38" s="517"/>
      <c r="L38" s="858"/>
      <c r="M38" s="695"/>
      <c r="N38" s="696"/>
      <c r="W38" s="631"/>
      <c r="X38" s="631"/>
      <c r="Y38" s="631"/>
      <c r="Z38" s="631"/>
      <c r="AA38" s="631"/>
      <c r="AB38" s="631"/>
      <c r="AC38" s="631"/>
      <c r="AD38" s="631"/>
      <c r="AE38" s="631"/>
      <c r="AF38" s="631"/>
      <c r="AG38" s="631"/>
      <c r="AH38" s="631"/>
      <c r="AI38" s="631"/>
      <c r="AJ38" s="631"/>
    </row>
    <row r="39" spans="1:36" x14ac:dyDescent="0.45">
      <c r="A39" s="545"/>
      <c r="B39" s="615" t="s">
        <v>10</v>
      </c>
      <c r="C39" s="616"/>
      <c r="D39" s="617"/>
      <c r="E39" s="628">
        <v>1</v>
      </c>
      <c r="F39" s="892">
        <f t="shared" si="0"/>
        <v>7.3366834170854283</v>
      </c>
      <c r="G39" s="729">
        <f>(F185+D39)*E39</f>
        <v>3.5788699595538674E-2</v>
      </c>
      <c r="H39" s="652">
        <f t="shared" si="1"/>
        <v>7.2391571534836635E-2</v>
      </c>
      <c r="I39" s="849"/>
      <c r="J39" s="619"/>
      <c r="K39" s="619">
        <f>G39</f>
        <v>3.5788699595538674E-2</v>
      </c>
      <c r="L39" s="857"/>
      <c r="M39" s="695"/>
      <c r="N39" s="697"/>
      <c r="W39" s="631"/>
      <c r="X39" s="631"/>
      <c r="Y39" s="631"/>
      <c r="Z39" s="631"/>
      <c r="AA39" s="631"/>
      <c r="AB39" s="631"/>
      <c r="AC39" s="631"/>
      <c r="AD39" s="631"/>
      <c r="AE39" s="631"/>
      <c r="AF39" s="631"/>
      <c r="AG39" s="631"/>
      <c r="AH39" s="631"/>
      <c r="AI39" s="631"/>
      <c r="AJ39" s="631"/>
    </row>
    <row r="40" spans="1:36" x14ac:dyDescent="0.45">
      <c r="A40" s="545"/>
      <c r="B40" s="615" t="s">
        <v>7</v>
      </c>
      <c r="C40" s="616"/>
      <c r="D40" s="617"/>
      <c r="E40" s="628">
        <v>1</v>
      </c>
      <c r="F40" s="892">
        <f t="shared" si="0"/>
        <v>8.4868714967928991</v>
      </c>
      <c r="G40" s="729">
        <f>(F181+D40)*E40</f>
        <v>4.1399373155087314E-2</v>
      </c>
      <c r="H40" s="652">
        <f t="shared" si="1"/>
        <v>8.3740558252289585E-2</v>
      </c>
      <c r="I40" s="849"/>
      <c r="J40" s="619"/>
      <c r="K40" s="619">
        <f>G40</f>
        <v>4.1399373155087314E-2</v>
      </c>
      <c r="L40" s="857"/>
      <c r="M40" s="695"/>
      <c r="N40" s="697"/>
      <c r="W40" s="631"/>
      <c r="X40" s="631"/>
      <c r="Y40" s="631"/>
      <c r="Z40" s="631"/>
      <c r="AA40" s="631"/>
      <c r="AB40" s="631"/>
      <c r="AC40" s="631"/>
      <c r="AD40" s="631"/>
      <c r="AE40" s="631"/>
      <c r="AF40" s="631"/>
      <c r="AG40" s="631"/>
      <c r="AH40" s="631"/>
      <c r="AI40" s="631"/>
      <c r="AJ40" s="631"/>
    </row>
    <row r="41" spans="1:36" x14ac:dyDescent="0.45">
      <c r="A41" s="545"/>
      <c r="B41" s="615" t="s">
        <v>6</v>
      </c>
      <c r="C41" s="616"/>
      <c r="D41" s="617"/>
      <c r="E41" s="628">
        <v>1</v>
      </c>
      <c r="F41" s="892">
        <f t="shared" si="0"/>
        <v>5.025125628140704</v>
      </c>
      <c r="G41" s="729">
        <f>(F184+D41)*E41</f>
        <v>2.4512807942149776E-2</v>
      </c>
      <c r="H41" s="652">
        <f t="shared" si="1"/>
        <v>4.9583268174545642E-2</v>
      </c>
      <c r="I41" s="849"/>
      <c r="J41" s="619"/>
      <c r="K41" s="619">
        <f>G41</f>
        <v>2.4512807942149776E-2</v>
      </c>
      <c r="L41" s="857"/>
      <c r="M41" s="695"/>
      <c r="N41" s="697"/>
      <c r="W41" s="631"/>
      <c r="X41" s="631"/>
      <c r="Y41" s="631"/>
      <c r="Z41" s="631"/>
      <c r="AA41" s="631"/>
      <c r="AB41" s="631"/>
      <c r="AC41" s="631"/>
      <c r="AD41" s="631"/>
      <c r="AE41" s="631"/>
      <c r="AF41" s="631"/>
      <c r="AG41" s="631"/>
      <c r="AH41" s="631"/>
      <c r="AI41" s="631"/>
      <c r="AJ41" s="631"/>
    </row>
    <row r="42" spans="1:36" x14ac:dyDescent="0.45">
      <c r="A42" s="545"/>
      <c r="B42" s="615" t="s">
        <v>8</v>
      </c>
      <c r="C42" s="616"/>
      <c r="D42" s="617"/>
      <c r="E42" s="628">
        <v>1</v>
      </c>
      <c r="F42" s="892">
        <f t="shared" si="0"/>
        <v>3.6755110199253997</v>
      </c>
      <c r="G42" s="729">
        <f>(F188+D42)*E42</f>
        <v>1.7929322048416584E-2</v>
      </c>
      <c r="H42" s="652">
        <f t="shared" si="1"/>
        <v>3.6266525867312306E-2</v>
      </c>
      <c r="I42" s="849"/>
      <c r="J42" s="619"/>
      <c r="K42" s="619">
        <f>G42</f>
        <v>1.7929322048416584E-2</v>
      </c>
      <c r="L42" s="857"/>
      <c r="M42" s="695"/>
      <c r="N42" s="697"/>
      <c r="Q42" s="631"/>
      <c r="W42" s="631"/>
      <c r="X42" s="631"/>
      <c r="Y42" s="631"/>
      <c r="Z42" s="631"/>
      <c r="AA42" s="631"/>
      <c r="AB42" s="631"/>
      <c r="AC42" s="631"/>
      <c r="AD42" s="631"/>
      <c r="AE42" s="631"/>
      <c r="AF42" s="631"/>
      <c r="AG42" s="631"/>
      <c r="AH42" s="631"/>
      <c r="AI42" s="631"/>
      <c r="AJ42" s="631"/>
    </row>
    <row r="43" spans="1:36" x14ac:dyDescent="0.45">
      <c r="A43" s="545"/>
      <c r="B43" s="615" t="s">
        <v>80</v>
      </c>
      <c r="C43" s="616">
        <v>0.1</v>
      </c>
      <c r="D43" s="617"/>
      <c r="E43" s="628">
        <v>1</v>
      </c>
      <c r="F43" s="892">
        <f t="shared" si="0"/>
        <v>3.6571334648257725</v>
      </c>
      <c r="G43" s="729">
        <f>(C43*$C$55/$C$58+D43)*E43</f>
        <v>1.7839675438174503E-2</v>
      </c>
      <c r="H43" s="652">
        <f t="shared" si="1"/>
        <v>3.6085193237975752E-2</v>
      </c>
      <c r="I43" s="849"/>
      <c r="J43" s="619">
        <f>G43</f>
        <v>1.7839675438174503E-2</v>
      </c>
      <c r="K43" s="619"/>
      <c r="L43" s="857"/>
      <c r="M43" s="694"/>
      <c r="N43" s="696"/>
      <c r="Q43" s="631"/>
      <c r="W43" s="631"/>
      <c r="X43" s="631"/>
      <c r="Y43" s="631"/>
      <c r="Z43" s="631"/>
      <c r="AA43" s="631"/>
      <c r="AB43" s="631"/>
      <c r="AC43" s="631"/>
      <c r="AD43" s="631"/>
      <c r="AE43" s="631"/>
      <c r="AF43" s="631"/>
      <c r="AG43" s="631"/>
      <c r="AH43" s="631"/>
      <c r="AI43" s="631"/>
      <c r="AJ43" s="631"/>
    </row>
    <row r="44" spans="1:36" x14ac:dyDescent="0.45">
      <c r="A44" s="545"/>
      <c r="B44" s="615" t="s">
        <v>87</v>
      </c>
      <c r="C44" s="616"/>
      <c r="D44" s="617"/>
      <c r="E44" s="628">
        <v>1</v>
      </c>
      <c r="F44" s="892">
        <f t="shared" si="0"/>
        <v>7.0351758793969852</v>
      </c>
      <c r="G44" s="729">
        <f>(F183+D44)*E44</f>
        <v>3.4317931119009687E-2</v>
      </c>
      <c r="H44" s="652">
        <f t="shared" si="1"/>
        <v>6.9416575444363901E-2</v>
      </c>
      <c r="I44" s="849"/>
      <c r="J44" s="619"/>
      <c r="K44" s="619">
        <f>G44</f>
        <v>3.4317931119009687E-2</v>
      </c>
      <c r="L44" s="857"/>
      <c r="M44" s="695"/>
      <c r="N44" s="697"/>
      <c r="W44" s="631"/>
      <c r="X44" s="631"/>
      <c r="Y44" s="631"/>
      <c r="Z44" s="631"/>
      <c r="AA44" s="631"/>
      <c r="AB44" s="631"/>
      <c r="AC44" s="631"/>
      <c r="AD44" s="631"/>
      <c r="AE44" s="631"/>
      <c r="AF44" s="631"/>
      <c r="AG44" s="631"/>
      <c r="AH44" s="631"/>
      <c r="AI44" s="631"/>
      <c r="AJ44" s="631"/>
    </row>
    <row r="45" spans="1:36" x14ac:dyDescent="0.45">
      <c r="A45" s="545"/>
      <c r="B45" s="615" t="s">
        <v>9</v>
      </c>
      <c r="C45" s="616"/>
      <c r="D45" s="618"/>
      <c r="E45" s="628">
        <v>1</v>
      </c>
      <c r="F45" s="892">
        <f t="shared" si="0"/>
        <v>4.7236180904522609</v>
      </c>
      <c r="G45" s="729">
        <f>(F186+D45)*E45</f>
        <v>2.3042039465620789E-2</v>
      </c>
      <c r="H45" s="652">
        <f t="shared" si="1"/>
        <v>4.6608272084072901E-2</v>
      </c>
      <c r="I45" s="849"/>
      <c r="J45" s="619"/>
      <c r="K45" s="619">
        <f>G45</f>
        <v>2.3042039465620789E-2</v>
      </c>
      <c r="L45" s="857"/>
      <c r="M45" s="695"/>
      <c r="N45" s="697"/>
      <c r="V45" s="631"/>
      <c r="W45" s="631"/>
      <c r="X45" s="631"/>
      <c r="Y45" s="631"/>
      <c r="Z45" s="631"/>
      <c r="AA45" s="631"/>
      <c r="AB45" s="631"/>
      <c r="AC45" s="631"/>
      <c r="AD45" s="631"/>
      <c r="AE45" s="631"/>
      <c r="AF45" s="631"/>
      <c r="AG45" s="631"/>
      <c r="AH45" s="631"/>
      <c r="AI45" s="631"/>
      <c r="AJ45" s="631"/>
    </row>
    <row r="46" spans="1:36" x14ac:dyDescent="0.45">
      <c r="A46" s="545"/>
      <c r="B46" s="784" t="s">
        <v>21</v>
      </c>
      <c r="C46" s="582"/>
      <c r="D46" s="584"/>
      <c r="E46" s="630">
        <v>1</v>
      </c>
      <c r="F46" s="893">
        <f t="shared" si="0"/>
        <v>0.45226130653266333</v>
      </c>
      <c r="G46" s="732">
        <f>($C$158+D46)*E46</f>
        <v>2.2061527147934799E-3</v>
      </c>
      <c r="H46" s="665">
        <f t="shared" si="1"/>
        <v>4.462494135709108E-3</v>
      </c>
      <c r="I46" s="850"/>
      <c r="J46" s="583"/>
      <c r="K46" s="583">
        <f>G46</f>
        <v>2.2061527147934799E-3</v>
      </c>
      <c r="L46" s="857"/>
      <c r="M46" s="695"/>
      <c r="N46" s="697"/>
      <c r="V46" s="631"/>
      <c r="W46" s="631"/>
      <c r="X46" s="631"/>
      <c r="Y46" s="631"/>
      <c r="Z46" s="631"/>
      <c r="AA46" s="631"/>
      <c r="AB46" s="631"/>
      <c r="AC46" s="631"/>
      <c r="AD46" s="631"/>
      <c r="AE46" s="631"/>
      <c r="AF46" s="631"/>
      <c r="AG46" s="631"/>
      <c r="AH46" s="631"/>
      <c r="AI46" s="631"/>
      <c r="AJ46" s="631"/>
    </row>
    <row r="47" spans="1:36" x14ac:dyDescent="0.45">
      <c r="A47" s="545"/>
      <c r="B47" s="380" t="s">
        <v>47</v>
      </c>
      <c r="C47" s="381">
        <f>C177</f>
        <v>3.5531191310085787E-2</v>
      </c>
      <c r="D47" s="382"/>
      <c r="E47" s="405">
        <v>1</v>
      </c>
      <c r="F47" s="894">
        <f t="shared" si="0"/>
        <v>1.2994230878524142</v>
      </c>
      <c r="G47" s="383">
        <f>(C47*$C$55/$C$58+D47)*E47</f>
        <v>6.3386492090361677E-3</v>
      </c>
      <c r="H47" s="384">
        <f t="shared" si="1"/>
        <v>1.2821499043999304E-2</v>
      </c>
      <c r="I47" s="851"/>
      <c r="J47" s="385">
        <f>G47</f>
        <v>6.3386492090361677E-3</v>
      </c>
      <c r="K47" s="385"/>
      <c r="L47" s="857"/>
      <c r="M47" s="694"/>
      <c r="N47" s="696"/>
      <c r="V47" s="631"/>
      <c r="W47" s="631"/>
      <c r="X47" s="631"/>
      <c r="Y47" s="631"/>
      <c r="Z47" s="631"/>
      <c r="AA47" s="631"/>
      <c r="AB47" s="631"/>
      <c r="AC47" s="631"/>
      <c r="AD47" s="631"/>
      <c r="AE47" s="631"/>
      <c r="AF47" s="631"/>
      <c r="AG47" s="631"/>
      <c r="AH47" s="631"/>
      <c r="AI47" s="631"/>
      <c r="AJ47" s="631"/>
    </row>
    <row r="48" spans="1:36" ht="14.65" thickBot="1" x14ac:dyDescent="0.5">
      <c r="A48" s="545"/>
      <c r="B48" s="674" t="s">
        <v>45</v>
      </c>
      <c r="C48" s="653"/>
      <c r="D48" s="649"/>
      <c r="E48" s="720">
        <v>1</v>
      </c>
      <c r="F48" s="895">
        <f t="shared" si="0"/>
        <v>0</v>
      </c>
      <c r="G48" s="733">
        <f>(C193+D48)*E48</f>
        <v>0</v>
      </c>
      <c r="H48" s="763">
        <f t="shared" si="1"/>
        <v>0</v>
      </c>
      <c r="I48" s="852"/>
      <c r="J48" s="719"/>
      <c r="K48" s="719">
        <f>G48</f>
        <v>0</v>
      </c>
      <c r="L48" s="857"/>
      <c r="M48" s="695"/>
      <c r="N48" s="696"/>
      <c r="V48" s="631"/>
      <c r="W48" s="631"/>
      <c r="X48" s="631"/>
      <c r="Y48" s="631"/>
      <c r="Z48" s="631"/>
      <c r="AA48" s="631"/>
      <c r="AB48" s="631"/>
      <c r="AC48" s="631"/>
      <c r="AD48" s="631"/>
      <c r="AE48" s="631"/>
      <c r="AF48" s="631"/>
      <c r="AG48" s="631"/>
      <c r="AH48" s="631"/>
      <c r="AI48" s="631"/>
      <c r="AJ48" s="631"/>
    </row>
    <row r="49" spans="1:40" ht="14.65" thickBot="1" x14ac:dyDescent="0.5">
      <c r="A49" s="545"/>
      <c r="B49" s="568" t="s">
        <v>3</v>
      </c>
      <c r="C49" s="673"/>
      <c r="D49" s="542"/>
      <c r="E49" s="542"/>
      <c r="F49" s="882">
        <f t="shared" ref="F49:K49" si="2">SUM(F30:F48)</f>
        <v>101.34720467499221</v>
      </c>
      <c r="G49" s="573">
        <f t="shared" si="2"/>
        <v>0.49437660817069368</v>
      </c>
      <c r="H49" s="650">
        <f t="shared" si="2"/>
        <v>1.0000000000000002</v>
      </c>
      <c r="I49" s="853">
        <f t="shared" si="2"/>
        <v>0.18453181977394376</v>
      </c>
      <c r="J49" s="431">
        <f t="shared" si="2"/>
        <v>0.10563673739913799</v>
      </c>
      <c r="K49" s="431">
        <f t="shared" si="2"/>
        <v>0.20420805099761202</v>
      </c>
      <c r="L49" s="29"/>
      <c r="M49" s="431"/>
      <c r="N49" s="432"/>
      <c r="V49" s="631"/>
      <c r="W49" s="631"/>
      <c r="X49" s="631"/>
      <c r="Y49" s="631"/>
      <c r="Z49" s="631"/>
      <c r="AA49" s="631"/>
      <c r="AB49" s="631"/>
      <c r="AC49" s="631"/>
      <c r="AD49" s="631"/>
      <c r="AE49" s="631"/>
      <c r="AF49" s="631"/>
      <c r="AG49" s="631"/>
      <c r="AH49" s="631"/>
      <c r="AI49" s="631"/>
      <c r="AJ49" s="631"/>
    </row>
    <row r="50" spans="1:40" x14ac:dyDescent="0.45">
      <c r="A50" s="545"/>
      <c r="H50" s="543"/>
      <c r="J50" s="546"/>
      <c r="K50" s="546"/>
      <c r="Q50" s="548"/>
      <c r="R50" s="548"/>
      <c r="Z50" s="631"/>
      <c r="AA50" s="631"/>
      <c r="AB50" s="631"/>
      <c r="AC50" s="631"/>
      <c r="AD50" s="631"/>
      <c r="AE50" s="631"/>
      <c r="AF50" s="631"/>
      <c r="AG50" s="631"/>
      <c r="AH50" s="631"/>
      <c r="AI50" s="631"/>
      <c r="AJ50" s="631"/>
      <c r="AK50" s="631"/>
      <c r="AL50" s="631"/>
      <c r="AM50" s="631"/>
      <c r="AN50" s="631"/>
    </row>
    <row r="51" spans="1:40" x14ac:dyDescent="0.45">
      <c r="A51" s="545"/>
      <c r="J51" s="546"/>
      <c r="K51" s="546"/>
      <c r="Q51" s="548"/>
      <c r="R51" s="548"/>
      <c r="Z51" s="631"/>
      <c r="AA51" s="631"/>
      <c r="AB51" s="631"/>
      <c r="AC51" s="631"/>
      <c r="AD51" s="631"/>
      <c r="AE51" s="631"/>
      <c r="AF51" s="631"/>
      <c r="AG51" s="631"/>
      <c r="AH51" s="631"/>
      <c r="AI51" s="631"/>
      <c r="AJ51" s="631"/>
      <c r="AK51" s="631"/>
      <c r="AL51" s="631"/>
      <c r="AM51" s="631"/>
      <c r="AN51" s="631"/>
    </row>
    <row r="52" spans="1:40" s="559" customFormat="1" ht="28.5" x14ac:dyDescent="0.85">
      <c r="A52" s="759"/>
      <c r="B52" s="641" t="s">
        <v>150</v>
      </c>
      <c r="G52" s="642"/>
      <c r="Q52" s="361"/>
      <c r="R52" s="361"/>
      <c r="AB52" s="780"/>
    </row>
    <row r="53" spans="1:40" x14ac:dyDescent="0.45">
      <c r="A53" s="545"/>
      <c r="E53" s="631"/>
      <c r="Q53" s="548"/>
      <c r="R53" s="548"/>
      <c r="Z53" s="631"/>
      <c r="AA53" s="631"/>
      <c r="AB53" s="631"/>
      <c r="AC53" s="631"/>
      <c r="AD53" s="631"/>
      <c r="AE53" s="631"/>
      <c r="AF53" s="631"/>
      <c r="AG53" s="631"/>
      <c r="AH53" s="631"/>
      <c r="AI53" s="631"/>
      <c r="AJ53" s="631"/>
      <c r="AK53" s="631"/>
      <c r="AL53" s="631"/>
      <c r="AM53" s="631"/>
      <c r="AN53" s="631"/>
    </row>
    <row r="54" spans="1:40" x14ac:dyDescent="0.45">
      <c r="A54" s="545"/>
      <c r="B54" s="1055" t="s">
        <v>166</v>
      </c>
      <c r="C54" s="1056"/>
      <c r="D54" s="1057"/>
      <c r="H54" s="543"/>
      <c r="Q54" s="548"/>
      <c r="R54" s="548"/>
      <c r="Z54" s="631"/>
      <c r="AA54" s="631"/>
      <c r="AB54" s="631"/>
      <c r="AC54" s="631"/>
      <c r="AD54" s="631"/>
      <c r="AE54" s="631"/>
      <c r="AF54" s="631"/>
      <c r="AG54" s="631"/>
      <c r="AH54" s="631"/>
      <c r="AI54" s="631"/>
      <c r="AJ54" s="631"/>
      <c r="AK54" s="631"/>
      <c r="AL54" s="631"/>
      <c r="AM54" s="631"/>
      <c r="AN54" s="631"/>
    </row>
    <row r="55" spans="1:40" x14ac:dyDescent="0.45">
      <c r="A55" s="545"/>
      <c r="B55" s="1058" t="s">
        <v>94</v>
      </c>
      <c r="C55" s="1059">
        <v>72</v>
      </c>
      <c r="D55" s="1060" t="s">
        <v>96</v>
      </c>
      <c r="H55" s="760"/>
      <c r="Q55" s="548"/>
      <c r="R55" s="548"/>
      <c r="Z55" s="631"/>
      <c r="AA55" s="631"/>
      <c r="AB55" s="631"/>
      <c r="AC55" s="631"/>
      <c r="AD55" s="631"/>
      <c r="AE55" s="631"/>
      <c r="AF55" s="631"/>
      <c r="AG55" s="631"/>
      <c r="AH55" s="631"/>
      <c r="AI55" s="631"/>
      <c r="AJ55" s="631"/>
      <c r="AK55" s="631"/>
      <c r="AL55" s="631"/>
      <c r="AM55" s="631"/>
      <c r="AN55" s="631"/>
    </row>
    <row r="56" spans="1:40" x14ac:dyDescent="0.45">
      <c r="A56" s="545"/>
      <c r="B56" s="1061" t="s">
        <v>93</v>
      </c>
      <c r="C56" s="1062">
        <v>89</v>
      </c>
      <c r="D56" s="1063" t="s">
        <v>0</v>
      </c>
      <c r="M56" s="543"/>
      <c r="Q56" s="548"/>
      <c r="R56" s="548"/>
      <c r="Z56" s="631"/>
      <c r="AA56" s="631"/>
      <c r="AB56" s="631"/>
      <c r="AC56" s="631"/>
      <c r="AD56" s="631"/>
      <c r="AE56" s="631"/>
      <c r="AF56" s="631"/>
      <c r="AG56" s="631"/>
      <c r="AH56" s="631"/>
      <c r="AI56" s="631"/>
      <c r="AJ56" s="631"/>
      <c r="AK56" s="631"/>
      <c r="AL56" s="631"/>
      <c r="AM56" s="631"/>
      <c r="AN56" s="631"/>
    </row>
    <row r="57" spans="1:40" x14ac:dyDescent="0.45">
      <c r="A57" s="545"/>
      <c r="B57" s="1061" t="s">
        <v>396</v>
      </c>
      <c r="C57" s="1064">
        <f>C55*0.156^2/(C56/100)</f>
        <v>1.9687550561797753</v>
      </c>
      <c r="D57" s="1063" t="s">
        <v>95</v>
      </c>
      <c r="H57" s="742"/>
      <c r="M57" s="543"/>
      <c r="Q57" s="549"/>
      <c r="R57" s="549"/>
      <c r="Z57" s="631"/>
      <c r="AA57" s="631"/>
      <c r="AB57" s="631"/>
      <c r="AC57" s="631"/>
      <c r="AD57" s="631"/>
      <c r="AE57" s="631"/>
      <c r="AF57" s="631"/>
      <c r="AG57" s="631"/>
      <c r="AH57" s="631"/>
      <c r="AI57" s="631"/>
      <c r="AJ57" s="631"/>
      <c r="AK57" s="631"/>
      <c r="AL57" s="631"/>
      <c r="AM57" s="631"/>
      <c r="AN57" s="631"/>
    </row>
    <row r="58" spans="1:40" x14ac:dyDescent="0.45">
      <c r="A58" s="545"/>
      <c r="B58" s="1065" t="s">
        <v>97</v>
      </c>
      <c r="C58" s="1066">
        <f>C57*1000*$C$8/100</f>
        <v>403.5947865168539</v>
      </c>
      <c r="D58" s="1067" t="s">
        <v>174</v>
      </c>
      <c r="M58" s="543"/>
      <c r="Q58" s="553"/>
      <c r="R58" s="553"/>
      <c r="Z58" s="631"/>
      <c r="AA58" s="631"/>
      <c r="AB58" s="631"/>
      <c r="AC58" s="631"/>
      <c r="AD58" s="631"/>
      <c r="AE58" s="631"/>
      <c r="AF58" s="631"/>
      <c r="AG58" s="631"/>
      <c r="AH58" s="631"/>
      <c r="AI58" s="631"/>
      <c r="AJ58" s="631"/>
      <c r="AK58" s="631"/>
      <c r="AL58" s="631"/>
      <c r="AM58" s="631"/>
      <c r="AN58" s="631"/>
    </row>
    <row r="59" spans="1:40" x14ac:dyDescent="0.45">
      <c r="A59" s="545"/>
      <c r="M59" s="543"/>
      <c r="N59" s="553"/>
      <c r="O59" s="553"/>
      <c r="P59" s="553"/>
      <c r="Q59" s="553"/>
      <c r="R59" s="553"/>
      <c r="Z59" s="631"/>
      <c r="AA59" s="631"/>
      <c r="AB59" s="648"/>
      <c r="AC59" s="631"/>
      <c r="AD59" s="631"/>
      <c r="AE59" s="631"/>
      <c r="AF59" s="631"/>
      <c r="AG59" s="631"/>
      <c r="AH59" s="631"/>
      <c r="AI59" s="631"/>
      <c r="AJ59" s="631"/>
      <c r="AK59" s="631"/>
      <c r="AL59" s="631"/>
      <c r="AM59" s="631"/>
      <c r="AN59" s="631"/>
    </row>
    <row r="60" spans="1:40" x14ac:dyDescent="0.45">
      <c r="A60" s="545"/>
      <c r="B60" s="607" t="s">
        <v>24</v>
      </c>
      <c r="C60" s="608"/>
      <c r="D60" s="609"/>
      <c r="I60" s="553"/>
      <c r="N60" s="553"/>
      <c r="O60" s="553"/>
      <c r="P60" s="553"/>
      <c r="Q60" s="553"/>
      <c r="R60" s="553"/>
      <c r="Z60" s="631"/>
      <c r="AA60" s="631"/>
      <c r="AB60" s="648"/>
      <c r="AC60" s="631"/>
      <c r="AD60" s="631"/>
      <c r="AE60" s="631"/>
      <c r="AF60" s="631"/>
      <c r="AG60" s="631"/>
      <c r="AH60" s="631"/>
      <c r="AI60" s="631"/>
      <c r="AJ60" s="631"/>
      <c r="AK60" s="631"/>
      <c r="AL60" s="631"/>
      <c r="AM60" s="631"/>
      <c r="AN60" s="631"/>
    </row>
    <row r="61" spans="1:40" x14ac:dyDescent="0.45">
      <c r="A61" s="545"/>
      <c r="B61" s="592" t="s">
        <v>13</v>
      </c>
      <c r="C61" s="636">
        <v>2329</v>
      </c>
      <c r="D61" s="594" t="s">
        <v>15</v>
      </c>
      <c r="I61" s="553"/>
      <c r="K61" s="543"/>
      <c r="M61" s="546"/>
      <c r="N61" s="639"/>
      <c r="O61" s="553"/>
      <c r="P61" s="553"/>
      <c r="Q61" s="553"/>
      <c r="R61" s="553"/>
      <c r="Z61" s="631"/>
      <c r="AA61" s="631"/>
      <c r="AB61" s="648"/>
      <c r="AC61" s="631"/>
      <c r="AD61" s="631"/>
      <c r="AE61" s="631"/>
      <c r="AF61" s="631"/>
      <c r="AG61" s="631"/>
      <c r="AH61" s="631"/>
      <c r="AI61" s="631"/>
      <c r="AJ61" s="631"/>
      <c r="AK61" s="631"/>
      <c r="AL61" s="631"/>
      <c r="AM61" s="631"/>
      <c r="AN61" s="631"/>
    </row>
    <row r="62" spans="1:40" ht="15" customHeight="1" x14ac:dyDescent="0.45">
      <c r="A62" s="545"/>
      <c r="B62" s="592" t="s">
        <v>349</v>
      </c>
      <c r="C62" s="593">
        <f>0.156*0.156*(C9/10^6/C10)*C61</f>
        <v>1.236622778181818E-2</v>
      </c>
      <c r="D62" s="594" t="s">
        <v>14</v>
      </c>
      <c r="I62" s="553"/>
      <c r="N62" s="639"/>
      <c r="O62" s="553"/>
      <c r="P62" s="553"/>
      <c r="Q62" s="553"/>
      <c r="R62" s="553"/>
      <c r="Z62" s="631"/>
      <c r="AA62" s="631"/>
      <c r="AB62" s="631"/>
      <c r="AC62" s="631"/>
      <c r="AD62" s="631"/>
      <c r="AE62" s="631"/>
      <c r="AF62" s="631"/>
      <c r="AG62" s="631"/>
      <c r="AH62" s="631"/>
      <c r="AI62" s="631"/>
      <c r="AJ62" s="631"/>
      <c r="AK62" s="631"/>
      <c r="AL62" s="631"/>
      <c r="AM62" s="631"/>
      <c r="AN62" s="631"/>
    </row>
    <row r="63" spans="1:40" x14ac:dyDescent="0.45">
      <c r="A63" s="545"/>
      <c r="B63" s="592" t="s">
        <v>348</v>
      </c>
      <c r="C63" s="593">
        <f>C62*C11</f>
        <v>0.37098683345454542</v>
      </c>
      <c r="D63" s="594" t="s">
        <v>16</v>
      </c>
      <c r="I63" s="553"/>
      <c r="M63" s="553"/>
      <c r="N63" s="639"/>
      <c r="O63" s="548"/>
      <c r="P63" s="553"/>
      <c r="Q63" s="553"/>
      <c r="R63" s="553"/>
      <c r="Z63" s="631"/>
      <c r="AA63" s="631"/>
      <c r="AB63" s="631"/>
      <c r="AC63" s="631"/>
      <c r="AD63" s="631"/>
      <c r="AE63" s="631"/>
      <c r="AF63" s="631"/>
      <c r="AG63" s="631"/>
      <c r="AH63" s="631"/>
      <c r="AI63" s="631"/>
      <c r="AJ63" s="631"/>
      <c r="AK63" s="631"/>
      <c r="AL63" s="631"/>
      <c r="AM63" s="631"/>
      <c r="AN63" s="631"/>
    </row>
    <row r="64" spans="1:40" x14ac:dyDescent="0.45">
      <c r="A64" s="545"/>
      <c r="B64" s="592" t="s">
        <v>339</v>
      </c>
      <c r="C64" s="957">
        <f>$C$148*$C$149*$C$150</f>
        <v>0.96042374999999991</v>
      </c>
      <c r="D64" s="594" t="s">
        <v>22</v>
      </c>
      <c r="I64" s="553"/>
      <c r="M64" s="553"/>
      <c r="N64" s="639"/>
      <c r="O64" s="548"/>
      <c r="P64" s="553"/>
      <c r="Q64" s="553"/>
      <c r="R64" s="553"/>
      <c r="Z64" s="631"/>
      <c r="AA64" s="631"/>
      <c r="AB64" s="631"/>
      <c r="AC64" s="631"/>
      <c r="AD64" s="631"/>
      <c r="AE64" s="631"/>
      <c r="AF64" s="631"/>
      <c r="AG64" s="631"/>
      <c r="AH64" s="631"/>
      <c r="AI64" s="631"/>
      <c r="AJ64" s="631"/>
      <c r="AK64" s="631"/>
      <c r="AL64" s="631"/>
      <c r="AM64" s="631"/>
      <c r="AN64" s="631"/>
    </row>
    <row r="65" spans="1:51" x14ac:dyDescent="0.45">
      <c r="A65" s="545"/>
      <c r="B65" s="922" t="s">
        <v>35</v>
      </c>
      <c r="C65" s="923">
        <f>C63/C64</f>
        <v>0.38627411437352049</v>
      </c>
      <c r="D65" s="924" t="s">
        <v>16</v>
      </c>
      <c r="I65" s="553"/>
      <c r="M65" s="553"/>
      <c r="N65" s="639"/>
      <c r="O65" s="548"/>
      <c r="P65" s="553"/>
      <c r="Q65" s="553"/>
      <c r="R65" s="553"/>
      <c r="Z65" s="631"/>
      <c r="AA65" s="631"/>
      <c r="AB65" s="631"/>
      <c r="AC65" s="631"/>
      <c r="AD65" s="631"/>
      <c r="AE65" s="631"/>
      <c r="AF65" s="631"/>
      <c r="AG65" s="631"/>
      <c r="AH65" s="631"/>
      <c r="AI65" s="631"/>
      <c r="AJ65" s="631"/>
      <c r="AK65" s="631"/>
      <c r="AL65" s="631"/>
      <c r="AM65" s="631"/>
      <c r="AN65" s="631"/>
    </row>
    <row r="66" spans="1:51" x14ac:dyDescent="0.45">
      <c r="A66" s="545"/>
      <c r="I66" s="553"/>
      <c r="J66" s="631"/>
      <c r="K66" s="553"/>
      <c r="L66" s="553"/>
      <c r="M66" s="553"/>
      <c r="N66" s="639"/>
      <c r="O66" s="639"/>
      <c r="P66" s="553"/>
      <c r="Q66" s="553"/>
      <c r="R66" s="553"/>
      <c r="Z66" s="631"/>
      <c r="AA66" s="631"/>
      <c r="AB66" s="631"/>
      <c r="AC66" s="631"/>
      <c r="AD66" s="631"/>
      <c r="AE66" s="631"/>
      <c r="AF66" s="631"/>
      <c r="AG66" s="631"/>
      <c r="AH66" s="631"/>
      <c r="AI66" s="631"/>
      <c r="AJ66" s="631"/>
      <c r="AK66" s="631"/>
      <c r="AL66" s="631"/>
      <c r="AM66" s="631"/>
      <c r="AN66" s="631"/>
    </row>
    <row r="67" spans="1:51" x14ac:dyDescent="0.45">
      <c r="A67" s="545"/>
      <c r="B67" s="792" t="s">
        <v>89</v>
      </c>
      <c r="C67" s="793"/>
      <c r="D67" s="794"/>
      <c r="E67" s="794"/>
      <c r="F67" s="794"/>
      <c r="G67" s="794"/>
      <c r="H67" s="795"/>
      <c r="I67" s="553"/>
      <c r="J67" s="553"/>
      <c r="K67" s="553"/>
      <c r="L67" s="553"/>
      <c r="M67" s="553"/>
      <c r="N67" s="553"/>
      <c r="O67" s="639"/>
      <c r="P67" s="553"/>
      <c r="Q67" s="553"/>
      <c r="R67" s="553"/>
      <c r="Z67" s="631"/>
      <c r="AA67" s="631"/>
      <c r="AB67" s="631"/>
      <c r="AC67" s="631"/>
      <c r="AD67" s="631"/>
      <c r="AE67" s="631"/>
      <c r="AF67" s="631"/>
      <c r="AG67" s="631"/>
      <c r="AH67" s="631"/>
      <c r="AI67" s="631"/>
      <c r="AJ67" s="631"/>
      <c r="AK67" s="631"/>
      <c r="AL67" s="631"/>
      <c r="AM67" s="631"/>
      <c r="AN67" s="631"/>
    </row>
    <row r="68" spans="1:51" x14ac:dyDescent="0.45">
      <c r="A68" s="545"/>
      <c r="B68" s="787" t="s">
        <v>186</v>
      </c>
      <c r="C68" s="788">
        <v>400</v>
      </c>
      <c r="D68" s="589" t="s">
        <v>18</v>
      </c>
      <c r="E68" s="589"/>
      <c r="F68" s="589"/>
      <c r="G68" s="589"/>
      <c r="H68" s="789"/>
      <c r="I68" s="553"/>
      <c r="J68" s="553"/>
      <c r="K68" s="553"/>
      <c r="L68" s="553"/>
      <c r="M68" s="553"/>
      <c r="N68" s="553"/>
      <c r="O68" s="639"/>
      <c r="P68" s="553"/>
      <c r="Q68" s="631"/>
      <c r="Z68" s="631"/>
      <c r="AA68" s="631"/>
      <c r="AB68" s="631"/>
      <c r="AC68" s="631"/>
      <c r="AD68" s="631"/>
      <c r="AE68" s="631"/>
      <c r="AF68" s="631"/>
      <c r="AG68" s="631"/>
      <c r="AH68" s="631"/>
      <c r="AI68" s="631"/>
      <c r="AJ68" s="631"/>
      <c r="AK68" s="631"/>
      <c r="AL68" s="631"/>
      <c r="AM68" s="631"/>
      <c r="AN68" s="631"/>
    </row>
    <row r="69" spans="1:51" x14ac:dyDescent="0.45">
      <c r="A69" s="545"/>
      <c r="B69" s="787" t="s">
        <v>62</v>
      </c>
      <c r="C69" s="788">
        <v>13.6</v>
      </c>
      <c r="D69" s="589" t="s">
        <v>22</v>
      </c>
      <c r="E69" s="589"/>
      <c r="F69" s="589"/>
      <c r="G69" s="589"/>
      <c r="H69" s="789"/>
      <c r="I69" s="553"/>
      <c r="J69" s="553"/>
      <c r="K69" s="553"/>
      <c r="L69" s="553"/>
      <c r="M69" s="553"/>
      <c r="N69" s="553"/>
      <c r="O69" s="639"/>
      <c r="P69" s="553"/>
      <c r="Q69" s="631"/>
      <c r="Z69" s="631"/>
      <c r="AA69" s="631"/>
      <c r="AB69" s="631"/>
      <c r="AC69" s="631"/>
      <c r="AD69" s="631"/>
      <c r="AE69" s="631"/>
      <c r="AF69" s="631"/>
      <c r="AG69" s="631"/>
      <c r="AH69" s="631"/>
      <c r="AI69" s="631"/>
      <c r="AJ69" s="631"/>
      <c r="AK69" s="631"/>
      <c r="AL69" s="631"/>
      <c r="AM69" s="631"/>
      <c r="AN69" s="631"/>
    </row>
    <row r="70" spans="1:51" x14ac:dyDescent="0.45">
      <c r="A70" s="545"/>
      <c r="B70" s="787" t="s">
        <v>188</v>
      </c>
      <c r="C70" s="796">
        <f>C68*10^6/(C69/100*1000)/(365*24)</f>
        <v>335.750738651625</v>
      </c>
      <c r="D70" s="589" t="s">
        <v>184</v>
      </c>
      <c r="E70" s="589"/>
      <c r="F70" s="589"/>
      <c r="G70" s="589"/>
      <c r="H70" s="789"/>
      <c r="I70" s="553"/>
      <c r="J70" s="553"/>
      <c r="K70" s="553"/>
      <c r="L70" s="553"/>
      <c r="M70" s="553"/>
      <c r="N70" s="553"/>
      <c r="O70" s="639"/>
      <c r="P70" s="553"/>
      <c r="Q70" s="631"/>
      <c r="Z70" s="631"/>
      <c r="AA70" s="631"/>
      <c r="AB70" s="631"/>
      <c r="AC70" s="631"/>
      <c r="AD70" s="631"/>
      <c r="AE70" s="631"/>
      <c r="AF70" s="631"/>
      <c r="AG70" s="631"/>
      <c r="AH70" s="631"/>
      <c r="AI70" s="631"/>
      <c r="AJ70" s="631"/>
      <c r="AK70" s="631"/>
      <c r="AL70" s="631"/>
      <c r="AM70" s="631"/>
      <c r="AN70" s="631"/>
    </row>
    <row r="71" spans="1:51" x14ac:dyDescent="0.45">
      <c r="A71" s="545"/>
      <c r="B71" s="787" t="s">
        <v>187</v>
      </c>
      <c r="C71" s="788">
        <f>1000*$C$8/100</f>
        <v>205</v>
      </c>
      <c r="D71" s="589" t="s">
        <v>189</v>
      </c>
      <c r="E71" s="589"/>
      <c r="F71" s="589"/>
      <c r="G71" s="589"/>
      <c r="H71" s="789"/>
      <c r="I71" s="553"/>
      <c r="J71" s="553"/>
      <c r="K71" s="553"/>
      <c r="L71" s="553"/>
      <c r="M71" s="553"/>
      <c r="N71" s="553"/>
      <c r="O71" s="639"/>
      <c r="P71" s="553"/>
      <c r="Q71" s="631"/>
      <c r="Z71" s="631"/>
      <c r="AA71" s="631"/>
      <c r="AB71" s="631"/>
      <c r="AC71" s="631"/>
      <c r="AD71" s="631"/>
      <c r="AE71" s="631"/>
      <c r="AF71" s="631"/>
      <c r="AG71" s="631"/>
      <c r="AH71" s="631"/>
      <c r="AI71" s="631"/>
      <c r="AJ71" s="631"/>
      <c r="AK71" s="631"/>
      <c r="AL71" s="631"/>
      <c r="AM71" s="631"/>
      <c r="AN71" s="631"/>
    </row>
    <row r="72" spans="1:51" x14ac:dyDescent="0.45">
      <c r="A72" s="545"/>
      <c r="B72" s="787" t="s">
        <v>188</v>
      </c>
      <c r="C72" s="796">
        <f>C70*C71</f>
        <v>68828.901423583127</v>
      </c>
      <c r="D72" s="589" t="s">
        <v>190</v>
      </c>
      <c r="E72" s="589"/>
      <c r="F72" s="589"/>
      <c r="G72" s="589"/>
      <c r="H72" s="789"/>
      <c r="I72" s="553"/>
      <c r="J72" s="553"/>
      <c r="K72" s="553"/>
      <c r="L72" s="553"/>
      <c r="M72" s="553"/>
      <c r="N72" s="553"/>
      <c r="O72" s="639"/>
      <c r="P72" s="553"/>
      <c r="Q72" s="553"/>
      <c r="R72" s="553"/>
      <c r="S72" s="553"/>
      <c r="T72" s="553"/>
      <c r="U72" s="553"/>
      <c r="V72" s="553"/>
      <c r="W72" s="553"/>
      <c r="X72" s="553"/>
      <c r="Y72" s="553"/>
      <c r="Z72" s="553"/>
      <c r="AA72" s="553"/>
      <c r="AB72" s="553"/>
      <c r="AC72" s="553"/>
      <c r="AD72" s="553"/>
      <c r="AE72" s="553"/>
      <c r="AF72" s="553"/>
      <c r="AG72" s="553"/>
      <c r="AH72" s="553"/>
      <c r="AI72" s="553"/>
      <c r="AJ72" s="553"/>
      <c r="AK72" s="553"/>
      <c r="AL72" s="553"/>
      <c r="AM72" s="553"/>
      <c r="AN72" s="553"/>
      <c r="AO72" s="553"/>
      <c r="AP72" s="553"/>
      <c r="AQ72" s="553"/>
      <c r="AR72" s="553"/>
      <c r="AS72" s="553"/>
      <c r="AT72" s="553"/>
      <c r="AU72" s="553"/>
      <c r="AV72" s="553"/>
      <c r="AW72" s="553"/>
      <c r="AX72" s="553"/>
      <c r="AY72" s="553"/>
    </row>
    <row r="73" spans="1:51" x14ac:dyDescent="0.45">
      <c r="A73" s="545"/>
      <c r="B73" s="787" t="s">
        <v>191</v>
      </c>
      <c r="C73" s="796">
        <f>C72*$C$18/100*C151</f>
        <v>64121.764265209495</v>
      </c>
      <c r="D73" s="589" t="s">
        <v>190</v>
      </c>
      <c r="E73" s="589"/>
      <c r="F73" s="589"/>
      <c r="G73" s="589"/>
      <c r="H73" s="789"/>
      <c r="I73" s="553"/>
      <c r="J73" s="553"/>
      <c r="K73" s="553"/>
      <c r="L73" s="553"/>
      <c r="M73" s="553"/>
      <c r="N73" s="553"/>
      <c r="O73" s="639"/>
      <c r="P73" s="553"/>
      <c r="Q73" s="553"/>
      <c r="R73" s="553"/>
      <c r="S73" s="553"/>
      <c r="T73" s="553"/>
      <c r="U73" s="553"/>
      <c r="V73" s="553"/>
      <c r="W73" s="553"/>
      <c r="X73" s="553"/>
      <c r="Y73" s="553"/>
      <c r="Z73" s="553"/>
      <c r="AA73" s="553"/>
      <c r="AB73" s="553"/>
      <c r="AC73" s="553"/>
      <c r="AD73" s="553"/>
      <c r="AE73" s="553"/>
      <c r="AF73" s="553"/>
      <c r="AG73" s="553"/>
      <c r="AH73" s="553"/>
      <c r="AI73" s="553"/>
      <c r="AJ73" s="553"/>
      <c r="AK73" s="553"/>
      <c r="AL73" s="553"/>
      <c r="AM73" s="553"/>
      <c r="AN73" s="553"/>
      <c r="AO73" s="553"/>
      <c r="AP73" s="553"/>
      <c r="AQ73" s="553"/>
      <c r="AR73" s="553"/>
      <c r="AS73" s="553"/>
      <c r="AT73" s="553"/>
      <c r="AU73" s="553"/>
      <c r="AV73" s="553"/>
      <c r="AW73" s="553"/>
      <c r="AX73" s="553"/>
      <c r="AY73" s="553"/>
    </row>
    <row r="74" spans="1:51" x14ac:dyDescent="0.45">
      <c r="A74" s="545"/>
      <c r="B74" s="787" t="s">
        <v>193</v>
      </c>
      <c r="C74" s="796">
        <f>C73*24*365/1000000</f>
        <v>561.70665496323511</v>
      </c>
      <c r="D74" s="589" t="s">
        <v>18</v>
      </c>
      <c r="E74" s="589"/>
      <c r="F74" s="589"/>
      <c r="G74" s="589"/>
      <c r="H74" s="789"/>
      <c r="I74" s="553"/>
      <c r="J74" s="553"/>
      <c r="K74" s="553"/>
      <c r="L74" s="553"/>
      <c r="M74" s="553"/>
      <c r="N74" s="553"/>
      <c r="O74" s="639"/>
      <c r="P74" s="553"/>
      <c r="Q74" s="553"/>
      <c r="R74" s="553"/>
      <c r="S74" s="553"/>
      <c r="T74" s="553"/>
      <c r="U74" s="553"/>
      <c r="V74" s="553"/>
      <c r="W74" s="553"/>
      <c r="X74" s="553"/>
      <c r="Y74" s="553"/>
      <c r="Z74" s="553"/>
      <c r="AA74" s="553"/>
      <c r="AB74" s="553"/>
      <c r="AC74" s="553"/>
      <c r="AD74" s="553"/>
      <c r="AE74" s="553"/>
      <c r="AF74" s="553"/>
      <c r="AG74" s="553"/>
      <c r="AH74" s="553"/>
      <c r="AI74" s="553"/>
      <c r="AJ74" s="553"/>
      <c r="AK74" s="553"/>
      <c r="AL74" s="553"/>
      <c r="AM74" s="553"/>
      <c r="AN74" s="553"/>
      <c r="AO74" s="553"/>
      <c r="AP74" s="553"/>
      <c r="AQ74" s="553"/>
      <c r="AR74" s="553"/>
      <c r="AS74" s="553"/>
      <c r="AT74" s="553"/>
      <c r="AU74" s="553"/>
      <c r="AV74" s="553"/>
      <c r="AW74" s="553"/>
      <c r="AX74" s="553"/>
      <c r="AY74" s="553"/>
    </row>
    <row r="75" spans="1:51" x14ac:dyDescent="0.45">
      <c r="A75" s="545"/>
      <c r="B75" s="787" t="s">
        <v>142</v>
      </c>
      <c r="C75" s="589">
        <v>10</v>
      </c>
      <c r="D75" s="589" t="s">
        <v>111</v>
      </c>
      <c r="E75" s="589"/>
      <c r="F75" s="589"/>
      <c r="G75" s="589"/>
      <c r="H75" s="789"/>
      <c r="I75" s="553"/>
      <c r="J75" s="553"/>
      <c r="K75" s="553"/>
      <c r="L75" s="553"/>
      <c r="M75" s="553"/>
      <c r="N75" s="553"/>
      <c r="O75" s="639"/>
      <c r="P75" s="553"/>
      <c r="Q75" s="553"/>
      <c r="R75" s="553"/>
      <c r="S75" s="553"/>
      <c r="T75" s="553"/>
      <c r="U75" s="553"/>
      <c r="V75" s="553"/>
      <c r="W75" s="553"/>
      <c r="X75" s="553"/>
      <c r="Y75" s="553"/>
      <c r="Z75" s="553"/>
      <c r="AA75" s="553"/>
      <c r="AB75" s="553"/>
      <c r="AC75" s="553"/>
      <c r="AD75" s="553"/>
      <c r="AE75" s="553"/>
      <c r="AF75" s="553"/>
      <c r="AG75" s="553"/>
      <c r="AH75" s="553"/>
      <c r="AI75" s="553"/>
      <c r="AJ75" s="553"/>
      <c r="AK75" s="553"/>
      <c r="AL75" s="553"/>
      <c r="AM75" s="553"/>
      <c r="AN75" s="553"/>
      <c r="AO75" s="553"/>
      <c r="AP75" s="553"/>
      <c r="AQ75" s="553"/>
      <c r="AR75" s="553"/>
      <c r="AS75" s="553"/>
      <c r="AT75" s="553"/>
      <c r="AU75" s="553"/>
      <c r="AV75" s="553"/>
      <c r="AW75" s="553"/>
      <c r="AX75" s="553"/>
      <c r="AY75" s="553"/>
    </row>
    <row r="76" spans="1:51" x14ac:dyDescent="0.45">
      <c r="A76" s="545"/>
      <c r="B76" s="787" t="s">
        <v>143</v>
      </c>
      <c r="C76" s="589">
        <v>7</v>
      </c>
      <c r="D76" s="589" t="s">
        <v>111</v>
      </c>
      <c r="E76" s="589"/>
      <c r="F76" s="589"/>
      <c r="G76" s="589"/>
      <c r="H76" s="789"/>
      <c r="I76" s="553"/>
      <c r="J76" s="553"/>
      <c r="K76" s="553"/>
      <c r="L76" s="553"/>
      <c r="M76" s="553"/>
      <c r="N76" s="553"/>
      <c r="O76" s="639"/>
      <c r="P76" s="553"/>
      <c r="Q76" s="553"/>
      <c r="R76" s="553"/>
      <c r="S76" s="553"/>
      <c r="T76" s="553"/>
      <c r="U76" s="553"/>
      <c r="V76" s="553"/>
      <c r="W76" s="553"/>
      <c r="X76" s="553"/>
      <c r="Y76" s="553"/>
      <c r="Z76" s="553"/>
      <c r="AA76" s="553"/>
      <c r="AB76" s="553"/>
      <c r="AC76" s="553"/>
      <c r="AD76" s="553"/>
      <c r="AE76" s="553"/>
      <c r="AF76" s="553"/>
      <c r="AG76" s="553"/>
      <c r="AH76" s="553"/>
      <c r="AI76" s="553"/>
      <c r="AJ76" s="553"/>
      <c r="AK76" s="553"/>
      <c r="AL76" s="553"/>
      <c r="AM76" s="553"/>
      <c r="AN76" s="553"/>
      <c r="AO76" s="553"/>
      <c r="AP76" s="553"/>
      <c r="AQ76" s="553"/>
      <c r="AR76" s="553"/>
      <c r="AS76" s="553"/>
      <c r="AT76" s="553"/>
      <c r="AU76" s="553"/>
      <c r="AV76" s="553"/>
      <c r="AW76" s="553"/>
      <c r="AX76" s="553"/>
      <c r="AY76" s="553"/>
    </row>
    <row r="77" spans="1:51" x14ac:dyDescent="0.45">
      <c r="A77" s="545"/>
      <c r="B77" s="787" t="s">
        <v>140</v>
      </c>
      <c r="C77" s="589">
        <v>7</v>
      </c>
      <c r="D77" s="589" t="s">
        <v>111</v>
      </c>
      <c r="E77" s="589"/>
      <c r="F77" s="589"/>
      <c r="G77" s="589"/>
      <c r="H77" s="789"/>
      <c r="I77" s="553"/>
      <c r="J77" s="553"/>
      <c r="K77" s="553"/>
      <c r="L77" s="553"/>
      <c r="M77" s="553"/>
      <c r="N77" s="553"/>
      <c r="O77" s="639"/>
      <c r="P77" s="553"/>
      <c r="Q77" s="553"/>
      <c r="R77" s="553"/>
      <c r="S77" s="553"/>
      <c r="T77" s="553"/>
      <c r="U77" s="553"/>
      <c r="V77" s="553"/>
      <c r="W77" s="553"/>
      <c r="X77" s="553"/>
      <c r="Y77" s="553"/>
      <c r="Z77" s="553"/>
      <c r="AA77" s="553"/>
      <c r="AB77" s="553"/>
      <c r="AC77" s="553"/>
      <c r="AD77" s="553"/>
      <c r="AE77" s="553"/>
      <c r="AF77" s="553"/>
      <c r="AG77" s="553"/>
      <c r="AH77" s="553"/>
      <c r="AI77" s="553"/>
      <c r="AJ77" s="553"/>
      <c r="AK77" s="553"/>
      <c r="AL77" s="553"/>
      <c r="AM77" s="553"/>
      <c r="AN77" s="553"/>
      <c r="AO77" s="553"/>
      <c r="AP77" s="553"/>
      <c r="AQ77" s="553"/>
      <c r="AR77" s="553"/>
      <c r="AS77" s="553"/>
      <c r="AT77" s="553"/>
      <c r="AU77" s="553"/>
      <c r="AV77" s="553"/>
      <c r="AW77" s="553"/>
      <c r="AX77" s="553"/>
      <c r="AY77" s="553"/>
    </row>
    <row r="78" spans="1:51" x14ac:dyDescent="0.45">
      <c r="A78" s="545"/>
      <c r="B78" s="787" t="s">
        <v>141</v>
      </c>
      <c r="C78" s="589">
        <v>7</v>
      </c>
      <c r="D78" s="589" t="s">
        <v>111</v>
      </c>
      <c r="E78" s="589"/>
      <c r="F78" s="589"/>
      <c r="G78" s="589"/>
      <c r="H78" s="789"/>
      <c r="I78" s="553"/>
      <c r="J78" s="553"/>
      <c r="K78" s="553"/>
      <c r="L78" s="553"/>
      <c r="M78" s="553"/>
      <c r="N78" s="553"/>
      <c r="O78" s="639"/>
      <c r="P78" s="553"/>
      <c r="Q78" s="553"/>
      <c r="R78" s="553"/>
      <c r="S78" s="553"/>
      <c r="T78" s="553"/>
      <c r="U78" s="553"/>
      <c r="V78" s="553"/>
      <c r="W78" s="553"/>
      <c r="X78" s="553"/>
      <c r="Y78" s="553"/>
      <c r="Z78" s="553"/>
      <c r="AA78" s="553"/>
      <c r="AB78" s="553"/>
      <c r="AC78" s="553"/>
      <c r="AD78" s="553"/>
      <c r="AE78" s="553"/>
      <c r="AF78" s="553"/>
      <c r="AG78" s="553"/>
      <c r="AH78" s="553"/>
      <c r="AI78" s="553"/>
      <c r="AJ78" s="553"/>
      <c r="AK78" s="553"/>
      <c r="AL78" s="553"/>
      <c r="AM78" s="553"/>
      <c r="AN78" s="553"/>
      <c r="AO78" s="553"/>
      <c r="AP78" s="553"/>
      <c r="AQ78" s="553"/>
      <c r="AR78" s="553"/>
      <c r="AS78" s="553"/>
      <c r="AT78" s="553"/>
      <c r="AU78" s="553"/>
      <c r="AV78" s="553"/>
      <c r="AW78" s="553"/>
      <c r="AX78" s="553"/>
      <c r="AY78" s="553"/>
    </row>
    <row r="79" spans="1:51" x14ac:dyDescent="0.45">
      <c r="A79" s="545"/>
      <c r="B79" s="787" t="s">
        <v>132</v>
      </c>
      <c r="C79" s="589">
        <v>25</v>
      </c>
      <c r="D79" s="589" t="s">
        <v>63</v>
      </c>
      <c r="E79" s="589"/>
      <c r="F79" s="589"/>
      <c r="G79" s="589"/>
      <c r="H79" s="789"/>
      <c r="I79" s="553"/>
      <c r="J79" s="553"/>
      <c r="K79" s="553"/>
      <c r="L79" s="553"/>
      <c r="M79" s="553"/>
      <c r="N79" s="553"/>
      <c r="O79" s="639"/>
      <c r="P79" s="553"/>
      <c r="Q79" s="553"/>
      <c r="R79" s="553"/>
      <c r="S79" s="553"/>
      <c r="T79" s="553"/>
      <c r="U79" s="553"/>
      <c r="V79" s="553"/>
      <c r="W79" s="553"/>
      <c r="X79" s="553"/>
      <c r="Y79" s="553"/>
      <c r="Z79" s="553"/>
      <c r="AA79" s="553"/>
      <c r="AB79" s="553"/>
      <c r="AC79" s="553"/>
      <c r="AD79" s="553"/>
      <c r="AE79" s="553"/>
      <c r="AF79" s="553"/>
      <c r="AG79" s="553"/>
      <c r="AH79" s="553"/>
      <c r="AI79" s="553"/>
      <c r="AJ79" s="553"/>
      <c r="AK79" s="553"/>
      <c r="AL79" s="553"/>
      <c r="AM79" s="553"/>
      <c r="AN79" s="553"/>
      <c r="AO79" s="553"/>
      <c r="AP79" s="553"/>
      <c r="AQ79" s="553"/>
      <c r="AR79" s="553"/>
      <c r="AS79" s="553"/>
      <c r="AT79" s="553"/>
      <c r="AU79" s="553"/>
      <c r="AV79" s="553"/>
      <c r="AW79" s="553"/>
      <c r="AX79" s="553"/>
      <c r="AY79" s="553"/>
    </row>
    <row r="80" spans="1:51" x14ac:dyDescent="0.45">
      <c r="A80" s="545"/>
      <c r="B80" s="787" t="s">
        <v>151</v>
      </c>
      <c r="C80" s="589">
        <v>1</v>
      </c>
      <c r="D80" s="589" t="s">
        <v>22</v>
      </c>
      <c r="E80" s="589"/>
      <c r="F80" s="589"/>
      <c r="G80" s="589"/>
      <c r="H80" s="789"/>
      <c r="I80" s="553"/>
      <c r="J80" s="553"/>
      <c r="K80" s="553"/>
      <c r="L80" s="553"/>
      <c r="M80" s="553"/>
      <c r="N80" s="553"/>
      <c r="O80" s="639"/>
      <c r="P80" s="553"/>
      <c r="Q80" s="553"/>
      <c r="R80" s="553"/>
      <c r="S80" s="553"/>
      <c r="T80" s="553"/>
      <c r="U80" s="553"/>
      <c r="V80" s="553"/>
      <c r="W80" s="553"/>
      <c r="X80" s="553"/>
      <c r="Y80" s="553"/>
      <c r="Z80" s="553"/>
      <c r="AA80" s="553"/>
      <c r="AB80" s="553"/>
      <c r="AC80" s="553"/>
      <c r="AD80" s="553"/>
      <c r="AE80" s="553"/>
      <c r="AF80" s="553"/>
      <c r="AG80" s="553"/>
      <c r="AH80" s="553"/>
      <c r="AI80" s="553"/>
      <c r="AJ80" s="553"/>
      <c r="AK80" s="553"/>
      <c r="AL80" s="553"/>
      <c r="AM80" s="553"/>
      <c r="AN80" s="553"/>
      <c r="AO80" s="553"/>
      <c r="AP80" s="553"/>
      <c r="AQ80" s="553"/>
      <c r="AR80" s="553"/>
      <c r="AS80" s="553"/>
      <c r="AT80" s="553"/>
      <c r="AU80" s="553"/>
      <c r="AV80" s="553"/>
      <c r="AW80" s="553"/>
      <c r="AX80" s="553"/>
      <c r="AY80" s="553"/>
    </row>
    <row r="81" spans="1:51" x14ac:dyDescent="0.45">
      <c r="A81" s="545"/>
      <c r="B81" s="802"/>
      <c r="C81" s="589" t="s">
        <v>117</v>
      </c>
      <c r="D81" s="589" t="s">
        <v>118</v>
      </c>
      <c r="E81" s="589" t="s">
        <v>119</v>
      </c>
      <c r="F81" s="790" t="s">
        <v>175</v>
      </c>
      <c r="G81" s="589" t="s">
        <v>233</v>
      </c>
      <c r="H81" s="789" t="s">
        <v>232</v>
      </c>
      <c r="I81" s="553"/>
      <c r="J81" s="553"/>
      <c r="K81" s="553"/>
      <c r="L81" s="553"/>
      <c r="M81" s="553"/>
      <c r="N81" s="801"/>
      <c r="O81" s="553"/>
      <c r="P81" s="553"/>
      <c r="Q81" s="553"/>
      <c r="R81" s="553"/>
      <c r="S81" s="553"/>
      <c r="T81" s="553"/>
      <c r="U81" s="553"/>
      <c r="V81" s="553"/>
      <c r="W81" s="553"/>
      <c r="X81" s="553"/>
      <c r="Y81" s="553"/>
      <c r="Z81" s="553"/>
      <c r="AA81" s="553"/>
      <c r="AB81" s="553"/>
      <c r="AC81" s="553"/>
      <c r="AD81" s="553"/>
      <c r="AE81" s="553"/>
      <c r="AF81" s="553"/>
      <c r="AG81" s="553"/>
      <c r="AH81" s="553"/>
      <c r="AI81" s="553"/>
      <c r="AJ81" s="553"/>
      <c r="AK81" s="553"/>
      <c r="AL81" s="553"/>
      <c r="AM81" s="553"/>
      <c r="AN81" s="553"/>
      <c r="AO81" s="553"/>
      <c r="AP81" s="553"/>
      <c r="AQ81" s="553"/>
      <c r="AR81" s="553"/>
      <c r="AS81" s="553"/>
      <c r="AT81" s="553"/>
      <c r="AU81" s="553"/>
      <c r="AV81" s="553"/>
      <c r="AW81" s="553"/>
      <c r="AX81" s="553"/>
      <c r="AY81" s="553"/>
    </row>
    <row r="82" spans="1:51" x14ac:dyDescent="0.45">
      <c r="A82" s="545"/>
      <c r="B82" s="787" t="s">
        <v>90</v>
      </c>
      <c r="C82" s="796">
        <f>(80.5*1+16)*1.27*1000000*0.66*0.7*C80</f>
        <v>56620410</v>
      </c>
      <c r="D82" s="796">
        <f>(80.5*1+16*0)*1.27*1000000*0.66*0.7/C75*C80</f>
        <v>4723257</v>
      </c>
      <c r="E82" s="796">
        <f>((80.5*0+16*1)*1.27*1000000*0.66*0.7)/C79*C80</f>
        <v>375513.59999999998</v>
      </c>
      <c r="F82" s="518">
        <f>(D82+E82)/($C$74*1000000)</f>
        <v>9.0772835873445812E-3</v>
      </c>
      <c r="G82" s="788">
        <f>D82*C75/($C$74*1000000)</f>
        <v>8.4087609756183984E-2</v>
      </c>
      <c r="H82" s="372">
        <f>E82*$C$79/($C$74*1000000)</f>
        <v>1.671306529315458E-2</v>
      </c>
      <c r="I82" s="639"/>
      <c r="J82" s="553"/>
      <c r="K82" s="553"/>
      <c r="L82" s="553"/>
      <c r="M82" s="553"/>
      <c r="N82" s="553"/>
      <c r="O82" s="761"/>
      <c r="P82" s="553"/>
      <c r="Q82" s="553"/>
      <c r="R82" s="553"/>
      <c r="S82" s="553"/>
      <c r="T82" s="553"/>
      <c r="U82" s="553"/>
      <c r="V82" s="553"/>
      <c r="W82" s="553"/>
      <c r="X82" s="553"/>
      <c r="Y82" s="553"/>
      <c r="Z82" s="553"/>
      <c r="AA82" s="553"/>
      <c r="AB82" s="553"/>
      <c r="AC82" s="553"/>
      <c r="AD82" s="553"/>
      <c r="AE82" s="553"/>
      <c r="AF82" s="553"/>
      <c r="AG82" s="553"/>
      <c r="AH82" s="553"/>
      <c r="AI82" s="553"/>
      <c r="AJ82" s="553"/>
      <c r="AK82" s="553"/>
      <c r="AL82" s="553"/>
      <c r="AM82" s="553"/>
      <c r="AN82" s="553"/>
      <c r="AO82" s="553"/>
      <c r="AP82" s="553"/>
      <c r="AQ82" s="553"/>
      <c r="AR82" s="553"/>
      <c r="AS82" s="553"/>
      <c r="AT82" s="553"/>
      <c r="AU82" s="553"/>
      <c r="AV82" s="553"/>
      <c r="AW82" s="553"/>
      <c r="AX82" s="553"/>
      <c r="AY82" s="553"/>
    </row>
    <row r="83" spans="1:51" x14ac:dyDescent="0.45">
      <c r="A83" s="545"/>
      <c r="B83" s="787" t="s">
        <v>30</v>
      </c>
      <c r="C83" s="796">
        <f>(76.8*1+13)*1.27*1000000*0.66*0.9*C80</f>
        <v>67743324</v>
      </c>
      <c r="D83" s="796">
        <f>(76.8*1+13*0)*1.27*1000000*0.66*0.9/C76*C80</f>
        <v>8276626.2857142854</v>
      </c>
      <c r="E83" s="796">
        <f>((76.8*0+13*1)*1.27*1000000*0.66*0.9)/C79*C80</f>
        <v>392277.60000000009</v>
      </c>
      <c r="F83" s="518">
        <f>(D83+E83)/($C$74*1000000)</f>
        <v>1.5433151466367588E-2</v>
      </c>
      <c r="G83" s="788">
        <f>D83*C76/($C$74*1000000)</f>
        <v>0.1031434886663254</v>
      </c>
      <c r="H83" s="372">
        <f>E83*$C$79/($C$74*1000000)</f>
        <v>1.7459184279456127E-2</v>
      </c>
      <c r="I83" s="639"/>
      <c r="J83" s="553"/>
      <c r="K83" s="553"/>
      <c r="L83" s="703"/>
      <c r="M83" s="553"/>
      <c r="N83" s="553"/>
      <c r="O83" s="761"/>
      <c r="P83" s="553"/>
      <c r="Q83" s="553"/>
      <c r="R83" s="553"/>
      <c r="S83" s="553"/>
      <c r="T83" s="553"/>
      <c r="U83" s="553"/>
      <c r="V83" s="553"/>
      <c r="W83" s="553"/>
      <c r="X83" s="553"/>
      <c r="Y83" s="553"/>
      <c r="Z83" s="553"/>
      <c r="AA83" s="553"/>
      <c r="AB83" s="553"/>
      <c r="AC83" s="553"/>
      <c r="AD83" s="553"/>
      <c r="AE83" s="553"/>
      <c r="AF83" s="553"/>
      <c r="AG83" s="553"/>
      <c r="AH83" s="553"/>
      <c r="AI83" s="553"/>
      <c r="AJ83" s="553"/>
      <c r="AK83" s="553"/>
      <c r="AL83" s="553"/>
      <c r="AM83" s="553"/>
      <c r="AN83" s="553"/>
      <c r="AO83" s="553"/>
      <c r="AP83" s="553"/>
      <c r="AQ83" s="553"/>
      <c r="AR83" s="553"/>
      <c r="AS83" s="553"/>
      <c r="AT83" s="553"/>
      <c r="AU83" s="553"/>
      <c r="AV83" s="553"/>
      <c r="AW83" s="553"/>
      <c r="AX83" s="553"/>
      <c r="AY83" s="553"/>
    </row>
    <row r="84" spans="1:51" x14ac:dyDescent="0.45">
      <c r="A84" s="545"/>
      <c r="B84" s="787" t="s">
        <v>31</v>
      </c>
      <c r="C84" s="796">
        <f>(110*1+16.3)*1.27*1000000*0.66*0.9*C80</f>
        <v>95278194</v>
      </c>
      <c r="D84" s="796">
        <f>(110*1+16.3*0.85*0)*1.27*1000000*0.66*0.9/C77*C80</f>
        <v>11854542.857142856</v>
      </c>
      <c r="E84" s="796">
        <f>(110*0+16.3*1)*1.27*1000000*0.66*0.9/C79*C80</f>
        <v>491855.76</v>
      </c>
      <c r="F84" s="518">
        <f>(D84+E84)/($C$74*1000000)</f>
        <v>2.1980153711995729E-2</v>
      </c>
      <c r="G84" s="788">
        <f>D84*C77/($C$74*1000000)</f>
        <v>0.14773155928770565</v>
      </c>
      <c r="H84" s="372">
        <f>E84*$C$79/($C$74*1000000)</f>
        <v>2.1891131058087293E-2</v>
      </c>
      <c r="I84" s="639"/>
      <c r="J84" s="553"/>
      <c r="K84" s="553"/>
      <c r="L84" s="703"/>
      <c r="M84" s="553"/>
      <c r="N84" s="553"/>
      <c r="O84" s="761"/>
      <c r="P84" s="553"/>
      <c r="Q84" s="553"/>
      <c r="R84" s="553"/>
      <c r="S84" s="553"/>
      <c r="T84" s="547"/>
      <c r="U84" s="536"/>
      <c r="V84" s="536"/>
      <c r="W84" s="536"/>
      <c r="X84" s="536"/>
      <c r="Y84" s="536"/>
      <c r="Z84" s="536"/>
      <c r="AA84" s="536"/>
      <c r="AB84" s="536"/>
      <c r="AC84" s="536"/>
      <c r="AD84" s="536"/>
      <c r="AE84" s="553"/>
      <c r="AF84" s="553"/>
      <c r="AG84" s="553"/>
      <c r="AH84" s="553"/>
      <c r="AI84" s="553"/>
      <c r="AJ84" s="553"/>
      <c r="AK84" s="553"/>
      <c r="AL84" s="553"/>
      <c r="AM84" s="553"/>
      <c r="AN84" s="553"/>
      <c r="AO84" s="553"/>
      <c r="AP84" s="553"/>
      <c r="AQ84" s="553"/>
      <c r="AR84" s="553"/>
      <c r="AS84" s="553"/>
      <c r="AT84" s="553"/>
      <c r="AU84" s="553"/>
      <c r="AV84" s="553"/>
      <c r="AW84" s="553"/>
      <c r="AX84" s="553"/>
      <c r="AY84" s="553"/>
    </row>
    <row r="85" spans="1:51" ht="15.4" x14ac:dyDescent="0.45">
      <c r="A85" s="545"/>
      <c r="B85" s="787" t="s">
        <v>32</v>
      </c>
      <c r="C85" s="796">
        <f>(73.5*1+20)*1.27*1000000*0.66*0.9*0.6*C80</f>
        <v>42320718</v>
      </c>
      <c r="D85" s="796">
        <f>(73.5*1+20*0)*1.27*1000000*0.66*0.9*0.6/C78*C80</f>
        <v>4752594</v>
      </c>
      <c r="E85" s="796">
        <f>(73.5*0+20*1)*1.27*1000000*0.66*0.9*0.6/C79*C80</f>
        <v>362102.4</v>
      </c>
      <c r="F85" s="518">
        <f>(D85+E85)/($C$74*1000000)</f>
        <v>9.1056361088240403E-3</v>
      </c>
      <c r="G85" s="788">
        <f>D85*C78/($C$74*1000000)</f>
        <v>5.9226925132616542E-2</v>
      </c>
      <c r="H85" s="372">
        <f>E85*$C$79/($C$74*1000000)</f>
        <v>1.6116170104113346E-2</v>
      </c>
      <c r="I85" s="639"/>
      <c r="J85" s="553"/>
      <c r="K85" s="553"/>
      <c r="L85" s="703"/>
      <c r="M85" s="553"/>
      <c r="N85" s="553"/>
      <c r="O85" s="761"/>
      <c r="P85" s="553"/>
      <c r="Q85" s="553"/>
      <c r="R85" s="537"/>
      <c r="S85" s="553"/>
      <c r="T85" s="538"/>
      <c r="U85" s="553"/>
      <c r="V85" s="553"/>
      <c r="W85" s="553"/>
      <c r="X85" s="553"/>
      <c r="Y85" s="553"/>
      <c r="Z85" s="553"/>
      <c r="AA85" s="553"/>
      <c r="AB85" s="553"/>
      <c r="AC85" s="553"/>
      <c r="AD85" s="553"/>
      <c r="AE85" s="553"/>
      <c r="AF85" s="553"/>
      <c r="AG85" s="553"/>
      <c r="AH85" s="553"/>
      <c r="AI85" s="553"/>
      <c r="AJ85" s="553"/>
      <c r="AK85" s="553"/>
      <c r="AL85" s="553"/>
      <c r="AM85" s="553"/>
      <c r="AN85" s="553"/>
      <c r="AO85" s="553"/>
      <c r="AP85" s="553"/>
      <c r="AQ85" s="553"/>
      <c r="AR85" s="553"/>
      <c r="AS85" s="553"/>
      <c r="AT85" s="553"/>
      <c r="AU85" s="553"/>
      <c r="AV85" s="553"/>
      <c r="AW85" s="553"/>
      <c r="AX85" s="553"/>
      <c r="AY85" s="553"/>
    </row>
    <row r="86" spans="1:51" x14ac:dyDescent="0.45">
      <c r="A86" s="545"/>
      <c r="B86" s="373" t="s">
        <v>234</v>
      </c>
      <c r="C86" s="807">
        <f>SUM(C82:C85)/1000000/C74</f>
        <v>0.46636913357764298</v>
      </c>
      <c r="D86" s="791"/>
      <c r="E86" s="808" t="s">
        <v>176</v>
      </c>
      <c r="F86" s="809">
        <f>SUM(F82:F85)</f>
        <v>5.559622487453194E-2</v>
      </c>
      <c r="G86" s="807">
        <f>SUM(G82:G85)</f>
        <v>0.39418958284283157</v>
      </c>
      <c r="H86" s="821">
        <f>SUM(H82:H85)</f>
        <v>7.2179550734811346E-2</v>
      </c>
      <c r="I86" s="553"/>
      <c r="J86" s="553"/>
      <c r="K86" s="553"/>
      <c r="L86" s="553"/>
      <c r="M86" s="553"/>
      <c r="N86" s="553"/>
      <c r="O86" s="639"/>
      <c r="P86" s="553"/>
      <c r="Q86" s="553"/>
      <c r="R86" s="537"/>
      <c r="S86" s="553"/>
      <c r="T86" s="553"/>
      <c r="U86" s="553"/>
      <c r="V86" s="553"/>
      <c r="W86" s="553"/>
      <c r="X86" s="553"/>
      <c r="Y86" s="553"/>
      <c r="Z86" s="553"/>
      <c r="AA86" s="553"/>
      <c r="AB86" s="553"/>
      <c r="AC86" s="553"/>
      <c r="AD86" s="553"/>
      <c r="AE86" s="553"/>
      <c r="AF86" s="553"/>
      <c r="AG86" s="553"/>
      <c r="AH86" s="553"/>
      <c r="AI86" s="553"/>
      <c r="AJ86" s="553"/>
      <c r="AK86" s="553"/>
      <c r="AL86" s="553"/>
      <c r="AM86" s="553"/>
      <c r="AN86" s="553"/>
      <c r="AO86" s="553"/>
      <c r="AP86" s="553"/>
      <c r="AQ86" s="553"/>
      <c r="AR86" s="553"/>
      <c r="AS86" s="553"/>
      <c r="AT86" s="553"/>
      <c r="AU86" s="553"/>
      <c r="AV86" s="553"/>
      <c r="AW86" s="553"/>
      <c r="AX86" s="553"/>
      <c r="AY86" s="553"/>
    </row>
    <row r="87" spans="1:51" x14ac:dyDescent="0.45">
      <c r="A87" s="545"/>
      <c r="B87" s="553"/>
      <c r="C87" s="553"/>
      <c r="D87" s="553"/>
      <c r="E87" s="547"/>
      <c r="F87" s="547"/>
      <c r="G87" s="553"/>
      <c r="H87" s="553"/>
      <c r="I87" s="553"/>
      <c r="J87" s="553"/>
      <c r="K87" s="553"/>
      <c r="L87" s="553"/>
      <c r="M87" s="548"/>
      <c r="N87" s="703"/>
      <c r="O87" s="703"/>
      <c r="P87" s="703"/>
      <c r="Q87" s="553"/>
      <c r="R87" s="553"/>
      <c r="S87" s="553"/>
      <c r="T87" s="553"/>
      <c r="U87" s="553"/>
      <c r="V87" s="553"/>
      <c r="W87" s="553"/>
      <c r="X87" s="553"/>
      <c r="Y87" s="553"/>
      <c r="Z87" s="553"/>
      <c r="AA87" s="553"/>
      <c r="AB87" s="553"/>
      <c r="AC87" s="553"/>
      <c r="AD87" s="553"/>
      <c r="AE87" s="553"/>
      <c r="AF87" s="553"/>
      <c r="AG87" s="553"/>
      <c r="AH87" s="553"/>
      <c r="AI87" s="553"/>
      <c r="AJ87" s="553"/>
      <c r="AK87" s="553"/>
      <c r="AL87" s="553"/>
      <c r="AM87" s="553"/>
      <c r="AN87" s="553"/>
      <c r="AO87" s="553"/>
      <c r="AP87" s="553"/>
      <c r="AQ87" s="553"/>
      <c r="AR87" s="553"/>
      <c r="AS87" s="553"/>
      <c r="AT87" s="553"/>
      <c r="AU87" s="553"/>
      <c r="AV87" s="553"/>
      <c r="AW87" s="553"/>
      <c r="AX87" s="553"/>
      <c r="AY87" s="553"/>
    </row>
    <row r="88" spans="1:51" x14ac:dyDescent="0.45">
      <c r="A88" s="545"/>
      <c r="B88" s="713" t="s">
        <v>61</v>
      </c>
      <c r="C88" s="714"/>
      <c r="D88" s="714"/>
      <c r="E88" s="714"/>
      <c r="F88" s="715"/>
      <c r="G88" s="550"/>
      <c r="H88" s="550"/>
      <c r="I88" s="550"/>
      <c r="J88" s="553"/>
      <c r="K88" s="553"/>
      <c r="L88" s="553"/>
      <c r="M88" s="548"/>
      <c r="N88" s="703"/>
      <c r="O88" s="703"/>
      <c r="P88" s="703"/>
      <c r="Q88" s="553"/>
      <c r="R88" s="553"/>
      <c r="S88" s="553"/>
      <c r="T88" s="553"/>
      <c r="U88" s="553"/>
      <c r="V88" s="553"/>
      <c r="W88" s="553"/>
      <c r="X88" s="553"/>
      <c r="Y88" s="553"/>
      <c r="Z88" s="553"/>
      <c r="AA88" s="553"/>
      <c r="AB88" s="553"/>
      <c r="AC88" s="553"/>
      <c r="AD88" s="553"/>
      <c r="AE88" s="553"/>
      <c r="AF88" s="553"/>
      <c r="AG88" s="553"/>
      <c r="AH88" s="553"/>
      <c r="AI88" s="553"/>
      <c r="AJ88" s="553"/>
      <c r="AK88" s="553"/>
      <c r="AL88" s="553"/>
      <c r="AM88" s="553"/>
      <c r="AN88" s="553"/>
      <c r="AO88" s="553"/>
      <c r="AP88" s="553"/>
      <c r="AQ88" s="553"/>
      <c r="AR88" s="553"/>
      <c r="AS88" s="553"/>
      <c r="AT88" s="553"/>
      <c r="AU88" s="553"/>
      <c r="AV88" s="553"/>
      <c r="AW88" s="553"/>
      <c r="AX88" s="553"/>
      <c r="AY88" s="553"/>
    </row>
    <row r="89" spans="1:51" x14ac:dyDescent="0.45">
      <c r="A89" s="545"/>
      <c r="B89" s="651" t="s">
        <v>229</v>
      </c>
      <c r="C89" s="663">
        <v>0.05</v>
      </c>
      <c r="D89" s="1026" t="s">
        <v>22</v>
      </c>
      <c r="E89" s="1026"/>
      <c r="F89" s="1030" t="s">
        <v>366</v>
      </c>
      <c r="G89" s="550"/>
      <c r="H89" s="550"/>
      <c r="I89" s="550"/>
      <c r="J89" s="553"/>
      <c r="K89" s="553"/>
      <c r="L89" s="553"/>
      <c r="M89" s="548"/>
      <c r="N89" s="703"/>
      <c r="O89" s="703"/>
      <c r="P89" s="703"/>
      <c r="Q89" s="553"/>
      <c r="R89" s="553"/>
      <c r="S89" s="553"/>
      <c r="T89" s="553"/>
      <c r="U89" s="553"/>
      <c r="V89" s="553"/>
      <c r="W89" s="553"/>
      <c r="X89" s="553"/>
      <c r="Y89" s="553"/>
      <c r="Z89" s="553"/>
      <c r="AA89" s="553"/>
      <c r="AB89" s="553"/>
      <c r="AC89" s="553"/>
      <c r="AD89" s="553"/>
      <c r="AE89" s="553"/>
      <c r="AF89" s="553"/>
      <c r="AG89" s="553"/>
      <c r="AH89" s="553"/>
      <c r="AI89" s="553"/>
      <c r="AJ89" s="553"/>
      <c r="AK89" s="553"/>
      <c r="AL89" s="553"/>
      <c r="AM89" s="553"/>
      <c r="AN89" s="553"/>
      <c r="AO89" s="553"/>
      <c r="AP89" s="553"/>
      <c r="AQ89" s="553"/>
      <c r="AR89" s="553"/>
      <c r="AS89" s="553"/>
      <c r="AT89" s="553"/>
      <c r="AU89" s="553"/>
      <c r="AV89" s="553"/>
      <c r="AW89" s="553"/>
      <c r="AX89" s="553"/>
      <c r="AY89" s="553"/>
    </row>
    <row r="90" spans="1:51" x14ac:dyDescent="0.45">
      <c r="A90" s="545"/>
      <c r="B90" s="651" t="s">
        <v>230</v>
      </c>
      <c r="C90" s="663">
        <v>0.03</v>
      </c>
      <c r="D90" s="1026" t="s">
        <v>22</v>
      </c>
      <c r="E90" s="1026"/>
      <c r="F90" s="1030">
        <v>0</v>
      </c>
      <c r="G90" s="550"/>
      <c r="H90" s="550"/>
      <c r="I90" s="550"/>
      <c r="J90" s="553"/>
      <c r="K90" s="553"/>
      <c r="L90" s="553"/>
      <c r="M90" s="548"/>
      <c r="N90" s="703"/>
      <c r="O90" s="703"/>
      <c r="P90" s="703"/>
      <c r="Q90" s="553"/>
      <c r="R90" s="553"/>
      <c r="S90" s="553"/>
      <c r="T90" s="553"/>
      <c r="U90" s="553"/>
      <c r="V90" s="553"/>
      <c r="W90" s="553"/>
      <c r="X90" s="553"/>
      <c r="Y90" s="553"/>
      <c r="Z90" s="553"/>
      <c r="AA90" s="553"/>
      <c r="AB90" s="553"/>
      <c r="AC90" s="553"/>
      <c r="AD90" s="553"/>
      <c r="AE90" s="553"/>
      <c r="AF90" s="553"/>
      <c r="AG90" s="553"/>
      <c r="AH90" s="553"/>
      <c r="AI90" s="553"/>
      <c r="AJ90" s="553"/>
      <c r="AK90" s="553"/>
      <c r="AL90" s="553"/>
      <c r="AM90" s="553"/>
      <c r="AN90" s="553"/>
      <c r="AO90" s="553"/>
      <c r="AP90" s="553"/>
      <c r="AQ90" s="553"/>
      <c r="AR90" s="553"/>
      <c r="AS90" s="553"/>
      <c r="AT90" s="553"/>
      <c r="AU90" s="553"/>
      <c r="AV90" s="553"/>
      <c r="AW90" s="553"/>
      <c r="AX90" s="553"/>
      <c r="AY90" s="553"/>
    </row>
    <row r="91" spans="1:51" x14ac:dyDescent="0.45">
      <c r="A91" s="545"/>
      <c r="B91" s="651"/>
      <c r="C91" s="663" t="s">
        <v>64</v>
      </c>
      <c r="D91" s="1027" t="s">
        <v>175</v>
      </c>
      <c r="E91" s="663"/>
      <c r="F91" s="663" t="s">
        <v>387</v>
      </c>
      <c r="G91" s="365"/>
      <c r="H91" s="365"/>
      <c r="I91" s="550"/>
      <c r="J91" s="553"/>
      <c r="K91" s="553"/>
      <c r="L91" s="553"/>
      <c r="M91" s="548"/>
      <c r="N91" s="703"/>
      <c r="O91" s="703"/>
      <c r="P91" s="703"/>
      <c r="Q91" s="553"/>
      <c r="R91" s="553"/>
      <c r="S91" s="553"/>
      <c r="T91" s="533"/>
      <c r="U91" s="553"/>
      <c r="V91" s="553"/>
      <c r="W91" s="801"/>
      <c r="X91" s="553"/>
      <c r="Y91" s="553"/>
      <c r="Z91" s="553"/>
      <c r="AA91" s="553"/>
      <c r="AB91" s="801"/>
      <c r="AC91" s="553"/>
      <c r="AD91" s="553"/>
      <c r="AE91" s="801"/>
      <c r="AF91" s="553"/>
      <c r="AG91" s="553"/>
      <c r="AH91" s="553"/>
      <c r="AI91" s="553"/>
      <c r="AJ91" s="553"/>
      <c r="AK91" s="553"/>
      <c r="AL91" s="553"/>
      <c r="AM91" s="553"/>
      <c r="AN91" s="553"/>
      <c r="AO91" s="553"/>
      <c r="AP91" s="553"/>
      <c r="AQ91" s="553"/>
      <c r="AR91" s="553"/>
      <c r="AS91" s="553"/>
      <c r="AT91" s="553"/>
      <c r="AU91" s="553"/>
      <c r="AV91" s="553"/>
      <c r="AW91" s="553"/>
      <c r="AX91" s="553"/>
      <c r="AY91" s="553"/>
    </row>
    <row r="92" spans="1:51" x14ac:dyDescent="0.45">
      <c r="A92" s="545"/>
      <c r="B92" s="651" t="s">
        <v>90</v>
      </c>
      <c r="C92" s="716">
        <f>IF(F90=1,F92,D82*C75*C89+E82*C79*C90)</f>
        <v>2643263.7000000002</v>
      </c>
      <c r="D92" s="1028">
        <f>C92/($C$74*1000000)</f>
        <v>4.7057724466038368E-3</v>
      </c>
      <c r="E92" s="663"/>
      <c r="F92" s="1031">
        <v>2643263.7000000002</v>
      </c>
      <c r="G92" s="550"/>
      <c r="H92" s="550"/>
      <c r="I92" s="550"/>
      <c r="J92" s="553"/>
      <c r="K92" s="553"/>
      <c r="L92" s="553"/>
      <c r="M92" s="548"/>
      <c r="N92" s="703"/>
      <c r="O92" s="703"/>
      <c r="P92" s="703"/>
      <c r="Q92" s="553"/>
      <c r="R92" s="553"/>
      <c r="S92" s="553"/>
      <c r="T92" s="533"/>
      <c r="U92" s="553"/>
      <c r="V92" s="553"/>
      <c r="W92" s="801"/>
      <c r="X92" s="553"/>
      <c r="Y92" s="553"/>
      <c r="Z92" s="553"/>
      <c r="AA92" s="548"/>
      <c r="AB92" s="553"/>
      <c r="AC92" s="553"/>
      <c r="AD92" s="553"/>
      <c r="AE92" s="801"/>
      <c r="AF92" s="553"/>
      <c r="AG92" s="553"/>
      <c r="AH92" s="553"/>
      <c r="AI92" s="553"/>
      <c r="AJ92" s="553"/>
      <c r="AK92" s="553"/>
      <c r="AL92" s="553"/>
      <c r="AM92" s="553"/>
      <c r="AN92" s="553"/>
      <c r="AO92" s="553"/>
      <c r="AP92" s="553"/>
      <c r="AQ92" s="553"/>
      <c r="AR92" s="548"/>
      <c r="AS92" s="553"/>
      <c r="AT92" s="553"/>
      <c r="AU92" s="553"/>
      <c r="AV92" s="553"/>
      <c r="AW92" s="553"/>
      <c r="AX92" s="553"/>
      <c r="AY92" s="553"/>
    </row>
    <row r="93" spans="1:51" x14ac:dyDescent="0.45">
      <c r="A93" s="545"/>
      <c r="B93" s="651" t="s">
        <v>30</v>
      </c>
      <c r="C93" s="716">
        <f>IF(F90=1,F93,D83*C76*C89+E83*C79*C90)</f>
        <v>3191027.4000000004</v>
      </c>
      <c r="D93" s="1028">
        <f>C93/($C$74*1000000)</f>
        <v>5.6809499616999552E-3</v>
      </c>
      <c r="E93" s="663"/>
      <c r="F93" s="1031">
        <v>3191027.4000000004</v>
      </c>
      <c r="G93" s="550"/>
      <c r="H93" s="550"/>
      <c r="I93" s="550"/>
      <c r="J93" s="553"/>
      <c r="K93" s="553"/>
      <c r="L93" s="553"/>
      <c r="M93" s="548"/>
      <c r="N93" s="703"/>
      <c r="O93" s="703"/>
      <c r="P93" s="703"/>
      <c r="Q93" s="553"/>
      <c r="R93" s="553"/>
      <c r="S93" s="553"/>
      <c r="T93" s="553"/>
      <c r="U93" s="553"/>
      <c r="V93" s="553"/>
      <c r="W93" s="801"/>
      <c r="X93" s="553"/>
      <c r="Y93" s="553"/>
      <c r="Z93" s="553"/>
      <c r="AA93" s="548"/>
      <c r="AB93" s="553"/>
      <c r="AC93" s="553"/>
      <c r="AD93" s="553"/>
      <c r="AE93" s="801"/>
      <c r="AF93" s="553"/>
      <c r="AG93" s="553"/>
      <c r="AH93" s="553"/>
      <c r="AI93" s="553"/>
      <c r="AJ93" s="553"/>
      <c r="AK93" s="553"/>
      <c r="AL93" s="553"/>
      <c r="AM93" s="553"/>
      <c r="AN93" s="553"/>
      <c r="AO93" s="553"/>
      <c r="AP93" s="553"/>
      <c r="AQ93" s="553"/>
      <c r="AR93" s="548"/>
      <c r="AS93" s="553"/>
      <c r="AT93" s="553"/>
      <c r="AU93" s="553"/>
      <c r="AV93" s="553"/>
      <c r="AW93" s="553"/>
      <c r="AX93" s="553"/>
      <c r="AY93" s="553"/>
    </row>
    <row r="94" spans="1:51" x14ac:dyDescent="0.45">
      <c r="A94" s="545"/>
      <c r="B94" s="651" t="s">
        <v>31</v>
      </c>
      <c r="C94" s="716">
        <f>IF(F90=1,F94,D84*C77*C89+E84*C79*C90)</f>
        <v>4517981.82</v>
      </c>
      <c r="D94" s="1028">
        <f>C94/($C$74*1000000)</f>
        <v>8.043311896127902E-3</v>
      </c>
      <c r="E94" s="663"/>
      <c r="F94" s="1031">
        <v>4517981.82</v>
      </c>
      <c r="G94" s="550"/>
      <c r="H94" s="550"/>
      <c r="I94" s="550"/>
      <c r="J94" s="553"/>
      <c r="K94" s="553"/>
      <c r="L94" s="553"/>
      <c r="M94" s="548"/>
      <c r="N94" s="703"/>
      <c r="O94" s="703"/>
      <c r="P94" s="703"/>
      <c r="Q94" s="553"/>
      <c r="R94" s="553"/>
      <c r="S94" s="553"/>
      <c r="T94" s="553"/>
      <c r="U94" s="553"/>
      <c r="V94" s="553"/>
      <c r="W94" s="801"/>
      <c r="X94" s="553"/>
      <c r="Y94" s="553"/>
      <c r="Z94" s="553"/>
      <c r="AA94" s="548"/>
      <c r="AB94" s="553"/>
      <c r="AC94" s="553"/>
      <c r="AD94" s="553"/>
      <c r="AE94" s="801"/>
      <c r="AF94" s="553"/>
      <c r="AG94" s="553"/>
      <c r="AH94" s="553"/>
      <c r="AI94" s="553"/>
      <c r="AJ94" s="553"/>
      <c r="AK94" s="553"/>
      <c r="AL94" s="553"/>
      <c r="AM94" s="553"/>
      <c r="AN94" s="553"/>
      <c r="AO94" s="553"/>
      <c r="AP94" s="553"/>
      <c r="AQ94" s="553"/>
      <c r="AR94" s="553"/>
      <c r="AS94" s="553"/>
      <c r="AT94" s="553"/>
      <c r="AU94" s="553"/>
      <c r="AV94" s="553"/>
      <c r="AW94" s="553"/>
      <c r="AX94" s="553"/>
      <c r="AY94" s="553"/>
    </row>
    <row r="95" spans="1:51" x14ac:dyDescent="0.45">
      <c r="A95" s="545"/>
      <c r="B95" s="651" t="s">
        <v>32</v>
      </c>
      <c r="C95" s="716">
        <f>IF(F90=1,F95,D85*C78*C89+E85*C79*C90)</f>
        <v>1934984.7000000002</v>
      </c>
      <c r="D95" s="1028">
        <f>C95/($C$74*1000000)</f>
        <v>3.4448313597542279E-3</v>
      </c>
      <c r="E95" s="663"/>
      <c r="F95" s="1031">
        <v>1934984.7000000002</v>
      </c>
      <c r="G95" s="550"/>
      <c r="H95" s="550"/>
      <c r="I95" s="756"/>
      <c r="J95" s="553"/>
      <c r="K95" s="553"/>
      <c r="L95" s="553"/>
      <c r="M95" s="548"/>
      <c r="N95" s="703"/>
      <c r="O95" s="703"/>
      <c r="P95" s="703"/>
      <c r="Q95" s="553"/>
      <c r="R95" s="553"/>
      <c r="S95" s="553"/>
      <c r="T95" s="553"/>
      <c r="U95" s="553"/>
      <c r="V95" s="553"/>
      <c r="W95" s="801"/>
      <c r="X95" s="553"/>
      <c r="Y95" s="553"/>
      <c r="Z95" s="553"/>
      <c r="AA95" s="548"/>
      <c r="AB95" s="553"/>
      <c r="AC95" s="553"/>
      <c r="AD95" s="553"/>
      <c r="AE95" s="801"/>
      <c r="AF95" s="553"/>
      <c r="AG95" s="553"/>
      <c r="AH95" s="553"/>
      <c r="AI95" s="553"/>
      <c r="AJ95" s="553"/>
      <c r="AK95" s="553"/>
      <c r="AL95" s="553"/>
      <c r="AM95" s="553"/>
      <c r="AN95" s="553"/>
      <c r="AO95" s="553"/>
      <c r="AP95" s="553"/>
      <c r="AQ95" s="553"/>
      <c r="AR95" s="553"/>
      <c r="AS95" s="553"/>
      <c r="AT95" s="553"/>
      <c r="AU95" s="553"/>
      <c r="AV95" s="553"/>
      <c r="AW95" s="553"/>
      <c r="AX95" s="553"/>
      <c r="AY95" s="553"/>
    </row>
    <row r="96" spans="1:51" x14ac:dyDescent="0.45">
      <c r="A96" s="545"/>
      <c r="B96" s="717"/>
      <c r="C96" s="718" t="s">
        <v>176</v>
      </c>
      <c r="D96" s="1029">
        <f>SUM(D92:D95)</f>
        <v>2.1874865664185922E-2</v>
      </c>
      <c r="E96" s="1032"/>
      <c r="F96" s="1033"/>
      <c r="G96" s="550"/>
      <c r="H96" s="550"/>
      <c r="I96" s="756"/>
      <c r="J96" s="553"/>
      <c r="K96" s="553"/>
      <c r="L96" s="553"/>
      <c r="M96" s="548"/>
      <c r="N96" s="703"/>
      <c r="O96" s="703"/>
      <c r="P96" s="703"/>
      <c r="Q96" s="553"/>
      <c r="R96" s="553"/>
      <c r="S96" s="553"/>
      <c r="T96" s="553"/>
      <c r="U96" s="553"/>
      <c r="V96" s="553"/>
      <c r="W96" s="801"/>
      <c r="X96" s="553"/>
      <c r="Y96" s="553"/>
      <c r="Z96" s="553"/>
      <c r="AA96" s="548"/>
      <c r="AB96" s="553"/>
      <c r="AC96" s="553"/>
      <c r="AD96" s="553"/>
      <c r="AE96" s="801"/>
      <c r="AF96" s="553"/>
      <c r="AG96" s="553"/>
      <c r="AH96" s="553"/>
      <c r="AI96" s="553"/>
      <c r="AJ96" s="553"/>
      <c r="AK96" s="553"/>
      <c r="AL96" s="553"/>
      <c r="AM96" s="553"/>
      <c r="AN96" s="553"/>
      <c r="AO96" s="553"/>
      <c r="AP96" s="553"/>
      <c r="AQ96" s="553"/>
      <c r="AR96" s="553"/>
      <c r="AS96" s="553"/>
      <c r="AT96" s="553"/>
      <c r="AU96" s="553"/>
      <c r="AV96" s="553"/>
      <c r="AW96" s="553"/>
      <c r="AX96" s="553"/>
      <c r="AY96" s="553"/>
    </row>
    <row r="97" spans="1:51" x14ac:dyDescent="0.45">
      <c r="A97" s="545"/>
      <c r="B97" s="550"/>
      <c r="C97" s="550"/>
      <c r="D97" s="550"/>
      <c r="E97" s="550"/>
      <c r="F97" s="550"/>
      <c r="G97" s="550"/>
      <c r="H97" s="550"/>
      <c r="I97" s="756"/>
      <c r="J97" s="553"/>
      <c r="K97" s="553"/>
      <c r="L97" s="553"/>
      <c r="M97" s="548"/>
      <c r="N97" s="703"/>
      <c r="O97" s="703"/>
      <c r="P97" s="703"/>
      <c r="Q97" s="553"/>
      <c r="R97" s="553"/>
      <c r="S97" s="553"/>
      <c r="T97" s="553"/>
      <c r="U97" s="553"/>
      <c r="V97" s="553"/>
      <c r="W97" s="801"/>
      <c r="X97" s="553"/>
      <c r="Y97" s="553"/>
      <c r="Z97" s="553"/>
      <c r="AA97" s="548"/>
      <c r="AB97" s="553"/>
      <c r="AC97" s="553"/>
      <c r="AD97" s="553"/>
      <c r="AE97" s="801"/>
      <c r="AF97" s="553"/>
      <c r="AG97" s="553"/>
      <c r="AH97" s="553"/>
      <c r="AI97" s="553"/>
      <c r="AJ97" s="553"/>
      <c r="AK97" s="553"/>
      <c r="AL97" s="553"/>
      <c r="AM97" s="553"/>
      <c r="AN97" s="553"/>
      <c r="AO97" s="553"/>
      <c r="AP97" s="553"/>
      <c r="AQ97" s="553"/>
      <c r="AR97" s="553"/>
      <c r="AS97" s="553"/>
      <c r="AT97" s="553"/>
      <c r="AU97" s="553"/>
      <c r="AV97" s="553"/>
      <c r="AW97" s="553"/>
      <c r="AX97" s="553"/>
      <c r="AY97" s="553"/>
    </row>
    <row r="98" spans="1:51" x14ac:dyDescent="0.45">
      <c r="A98" s="545"/>
      <c r="B98" s="602" t="s">
        <v>25</v>
      </c>
      <c r="C98" s="603"/>
      <c r="D98" s="488"/>
      <c r="E98" s="488"/>
      <c r="F98" s="488"/>
      <c r="G98" s="494"/>
      <c r="H98" s="488"/>
      <c r="I98" s="604"/>
      <c r="Q98" s="553"/>
      <c r="R98" s="553"/>
      <c r="S98" s="553"/>
      <c r="T98" s="553"/>
      <c r="U98" s="553"/>
      <c r="V98" s="553"/>
      <c r="W98" s="801"/>
      <c r="X98" s="553"/>
      <c r="Y98" s="553"/>
      <c r="Z98" s="553"/>
      <c r="AA98" s="548"/>
      <c r="AB98" s="553"/>
      <c r="AC98" s="553"/>
      <c r="AD98" s="553"/>
      <c r="AE98" s="801"/>
      <c r="AF98" s="553"/>
      <c r="AG98" s="553"/>
      <c r="AH98" s="553"/>
      <c r="AI98" s="553"/>
      <c r="AJ98" s="553"/>
      <c r="AK98" s="553"/>
      <c r="AL98" s="553"/>
      <c r="AM98" s="553"/>
      <c r="AN98" s="553"/>
      <c r="AO98" s="553"/>
      <c r="AP98" s="553"/>
      <c r="AQ98" s="553"/>
      <c r="AR98" s="553"/>
      <c r="AS98" s="553"/>
      <c r="AT98" s="553"/>
      <c r="AU98" s="553"/>
      <c r="AV98" s="553"/>
      <c r="AW98" s="553"/>
      <c r="AX98" s="553"/>
      <c r="AY98" s="553"/>
    </row>
    <row r="99" spans="1:51" x14ac:dyDescent="0.45">
      <c r="A99" s="545"/>
      <c r="B99" s="588"/>
      <c r="C99" s="704" t="s">
        <v>210</v>
      </c>
      <c r="D99" s="586" t="s">
        <v>194</v>
      </c>
      <c r="E99" s="586" t="s">
        <v>195</v>
      </c>
      <c r="F99" s="586" t="s">
        <v>327</v>
      </c>
      <c r="G99" s="495" t="s">
        <v>200</v>
      </c>
      <c r="H99" s="586" t="s">
        <v>201</v>
      </c>
      <c r="I99" s="597" t="s">
        <v>202</v>
      </c>
      <c r="Q99" s="553"/>
      <c r="R99" s="553"/>
      <c r="S99" s="553"/>
      <c r="T99" s="548"/>
      <c r="U99" s="553"/>
      <c r="V99" s="553"/>
      <c r="W99" s="801"/>
      <c r="X99" s="553"/>
      <c r="Y99" s="553"/>
      <c r="Z99" s="553"/>
      <c r="AA99" s="548"/>
      <c r="AB99" s="553"/>
      <c r="AC99" s="553"/>
      <c r="AD99" s="553"/>
      <c r="AE99" s="801"/>
      <c r="AF99" s="553"/>
      <c r="AG99" s="553"/>
      <c r="AH99" s="553"/>
      <c r="AI99" s="553"/>
      <c r="AJ99" s="553"/>
      <c r="AK99" s="553"/>
      <c r="AL99" s="553"/>
      <c r="AM99" s="553"/>
      <c r="AN99" s="553"/>
      <c r="AO99" s="553"/>
      <c r="AP99" s="553"/>
      <c r="AQ99" s="553"/>
      <c r="AR99" s="553"/>
      <c r="AS99" s="553"/>
      <c r="AT99" s="553"/>
      <c r="AU99" s="553"/>
      <c r="AV99" s="553"/>
      <c r="AW99" s="553"/>
      <c r="AX99" s="553"/>
      <c r="AY99" s="553"/>
    </row>
    <row r="100" spans="1:51" x14ac:dyDescent="0.45">
      <c r="A100" s="545"/>
      <c r="B100" s="588" t="s">
        <v>90</v>
      </c>
      <c r="C100" s="704">
        <f>70/1.35</f>
        <v>51.851851851851848</v>
      </c>
      <c r="D100" s="532">
        <f>16/1.35</f>
        <v>11.851851851851851</v>
      </c>
      <c r="E100" s="532">
        <f>0.05*(C100+D100)</f>
        <v>3.1851851851851851</v>
      </c>
      <c r="F100" s="704">
        <f>C100*$C$12*$C$15+D100*$C$13*$C$15+E100*$C$14*$C$15</f>
        <v>1434.9465370370367</v>
      </c>
      <c r="G100" s="688">
        <f>F100/$C$73</f>
        <v>2.2378463123722794E-2</v>
      </c>
      <c r="H100" s="596">
        <f>SUM(C100:E100)/$C$74</f>
        <v>0.1190815317886289</v>
      </c>
      <c r="I100" s="496">
        <f>SUM(C100:E100)*4/$C$74</f>
        <v>0.47632612715451561</v>
      </c>
      <c r="Q100" s="553"/>
      <c r="R100" s="553"/>
      <c r="S100" s="553"/>
      <c r="T100" s="553"/>
      <c r="U100" s="553"/>
      <c r="V100" s="553"/>
      <c r="W100" s="801"/>
      <c r="X100" s="553"/>
      <c r="Y100" s="553"/>
      <c r="Z100" s="553"/>
      <c r="AA100" s="548"/>
      <c r="AB100" s="553"/>
      <c r="AC100" s="553"/>
      <c r="AD100" s="553"/>
      <c r="AE100" s="801"/>
      <c r="AF100" s="553"/>
      <c r="AG100" s="553"/>
      <c r="AH100" s="553"/>
      <c r="AI100" s="553"/>
      <c r="AJ100" s="553"/>
      <c r="AK100" s="553"/>
      <c r="AL100" s="553"/>
      <c r="AM100" s="553"/>
      <c r="AN100" s="553"/>
      <c r="AO100" s="553"/>
      <c r="AP100" s="553"/>
      <c r="AQ100" s="553"/>
      <c r="AR100" s="553"/>
      <c r="AS100" s="553"/>
      <c r="AT100" s="553"/>
      <c r="AU100" s="553"/>
      <c r="AV100" s="553"/>
      <c r="AW100" s="553"/>
      <c r="AX100" s="553"/>
      <c r="AY100" s="553"/>
    </row>
    <row r="101" spans="1:51" x14ac:dyDescent="0.45">
      <c r="A101" s="545"/>
      <c r="B101" s="588" t="s">
        <v>30</v>
      </c>
      <c r="C101" s="704">
        <f>39/1.32</f>
        <v>29.545454545454543</v>
      </c>
      <c r="D101" s="532">
        <f>8/1.32</f>
        <v>6.0606060606060606</v>
      </c>
      <c r="E101" s="532">
        <f>0.05*(C101+D101)</f>
        <v>1.7803030303030303</v>
      </c>
      <c r="F101" s="704">
        <f>C101*$C$12*$C$15+D101*$C$13*$C$15+E101*$C$14*$C$15</f>
        <v>797.47383522727262</v>
      </c>
      <c r="G101" s="688">
        <f>F101/$C$73</f>
        <v>1.2436866707673504E-2</v>
      </c>
      <c r="H101" s="596">
        <f>SUM(C101:E101)/$C$74</f>
        <v>6.6558520013993164E-2</v>
      </c>
      <c r="I101" s="496">
        <f>SUM(C101:E101)*4/$C$74</f>
        <v>0.26623408005597266</v>
      </c>
      <c r="Q101" s="553"/>
      <c r="R101" s="553"/>
      <c r="S101" s="553"/>
      <c r="T101" s="548"/>
      <c r="U101" s="553"/>
      <c r="V101" s="553"/>
      <c r="W101" s="801"/>
      <c r="X101" s="553"/>
      <c r="Y101" s="553"/>
      <c r="Z101" s="553"/>
      <c r="AA101" s="548"/>
      <c r="AB101" s="553"/>
      <c r="AC101" s="553"/>
      <c r="AD101" s="553"/>
      <c r="AE101" s="801"/>
      <c r="AF101" s="553"/>
      <c r="AG101" s="553"/>
      <c r="AH101" s="553"/>
      <c r="AI101" s="553"/>
      <c r="AJ101" s="553"/>
      <c r="AK101" s="553"/>
      <c r="AL101" s="553"/>
      <c r="AM101" s="553"/>
      <c r="AN101" s="553"/>
      <c r="AO101" s="553"/>
      <c r="AP101" s="553"/>
      <c r="AQ101" s="553"/>
      <c r="AR101" s="553"/>
      <c r="AS101" s="553"/>
      <c r="AT101" s="553"/>
      <c r="AU101" s="553"/>
      <c r="AV101" s="553"/>
      <c r="AW101" s="553"/>
      <c r="AX101" s="553"/>
      <c r="AY101" s="553"/>
    </row>
    <row r="102" spans="1:51" x14ac:dyDescent="0.45">
      <c r="A102" s="545"/>
      <c r="B102" s="588" t="s">
        <v>31</v>
      </c>
      <c r="C102" s="704">
        <f>62/2/1.48</f>
        <v>20.945945945945947</v>
      </c>
      <c r="D102" s="532">
        <f>16/1.48</f>
        <v>10.810810810810811</v>
      </c>
      <c r="E102" s="532">
        <f>0.05*(C102+D102)</f>
        <v>1.5878378378378379</v>
      </c>
      <c r="F102" s="704">
        <f>C102*$C$12*$C$15+D102*$C$13*$C$15+E102*$C$14*$C$15</f>
        <v>755.02125844594593</v>
      </c>
      <c r="G102" s="688">
        <f>F102/$C$73</f>
        <v>1.1774804812343527E-2</v>
      </c>
      <c r="H102" s="596">
        <f>SUM(C102:E102)/$C$74</f>
        <v>5.936300433680472E-2</v>
      </c>
      <c r="I102" s="496">
        <f>SUM(C102:E102)*4/$C$74</f>
        <v>0.23745201734721888</v>
      </c>
      <c r="Q102" s="553"/>
      <c r="R102" s="553"/>
      <c r="S102" s="553"/>
      <c r="T102" s="548"/>
      <c r="U102" s="553"/>
      <c r="V102" s="553"/>
      <c r="W102" s="553"/>
      <c r="X102" s="553"/>
      <c r="Y102" s="553"/>
      <c r="Z102" s="553"/>
      <c r="AA102" s="548"/>
      <c r="AB102" s="553"/>
      <c r="AC102" s="553"/>
      <c r="AD102" s="553"/>
      <c r="AE102" s="801"/>
      <c r="AF102" s="553"/>
      <c r="AG102" s="553"/>
      <c r="AH102" s="553"/>
      <c r="AI102" s="553"/>
      <c r="AJ102" s="553"/>
      <c r="AK102" s="553"/>
      <c r="AL102" s="553"/>
      <c r="AM102" s="553"/>
      <c r="AN102" s="553"/>
      <c r="AO102" s="553"/>
      <c r="AP102" s="553"/>
      <c r="AQ102" s="553"/>
      <c r="AR102" s="553"/>
      <c r="AS102" s="553"/>
      <c r="AT102" s="553"/>
      <c r="AU102" s="553"/>
      <c r="AV102" s="553"/>
      <c r="AW102" s="553"/>
      <c r="AX102" s="553"/>
      <c r="AY102" s="553"/>
    </row>
    <row r="103" spans="1:51" x14ac:dyDescent="0.45">
      <c r="A103" s="545"/>
      <c r="B103" s="588" t="s">
        <v>32</v>
      </c>
      <c r="C103" s="704">
        <f>58/2/1.65</f>
        <v>17.575757575757578</v>
      </c>
      <c r="D103" s="532">
        <f>16/1.65</f>
        <v>9.6969696969696972</v>
      </c>
      <c r="E103" s="532">
        <f>0.05*(C103+D103)</f>
        <v>1.3636363636363638</v>
      </c>
      <c r="F103" s="704">
        <f>C103*$C$12*$C$15+D103*$C$13*$C$15+E103*$C$14*$C$15</f>
        <v>651.75344696969694</v>
      </c>
      <c r="G103" s="688">
        <f>F103/$C$73</f>
        <v>1.0164309333006272E-2</v>
      </c>
      <c r="H103" s="596">
        <f>SUM(C103:E103)/$C$74</f>
        <v>5.0980994053271361E-2</v>
      </c>
      <c r="I103" s="496">
        <f>SUM(C103:E103)*4/$C$74</f>
        <v>0.20392397621308544</v>
      </c>
      <c r="Q103" s="553"/>
      <c r="R103" s="553"/>
      <c r="S103" s="553"/>
      <c r="T103" s="548"/>
      <c r="U103" s="553"/>
      <c r="V103" s="553"/>
      <c r="W103" s="553"/>
      <c r="X103" s="553"/>
      <c r="Y103" s="553"/>
      <c r="Z103" s="553"/>
      <c r="AA103" s="553"/>
      <c r="AB103" s="553"/>
      <c r="AC103" s="553"/>
      <c r="AD103" s="553"/>
      <c r="AE103" s="801"/>
      <c r="AF103" s="553"/>
      <c r="AG103" s="553"/>
      <c r="AH103" s="553"/>
      <c r="AI103" s="553"/>
      <c r="AJ103" s="553"/>
      <c r="AK103" s="553"/>
      <c r="AL103" s="553"/>
      <c r="AM103" s="553"/>
      <c r="AN103" s="553"/>
      <c r="AO103" s="553"/>
      <c r="AP103" s="553"/>
      <c r="AQ103" s="553"/>
      <c r="AR103" s="553"/>
      <c r="AS103" s="553"/>
      <c r="AT103" s="553"/>
      <c r="AU103" s="553"/>
      <c r="AV103" s="553"/>
      <c r="AW103" s="553"/>
      <c r="AX103" s="553"/>
      <c r="AY103" s="553"/>
    </row>
    <row r="104" spans="1:51" x14ac:dyDescent="0.45">
      <c r="A104" s="545"/>
      <c r="B104" s="489" t="s">
        <v>3</v>
      </c>
      <c r="C104" s="490">
        <f>SUM(C100:C103)</f>
        <v>119.91900991900992</v>
      </c>
      <c r="D104" s="490">
        <f t="shared" ref="D104:I104" si="3">SUM(D100:D103)</f>
        <v>38.42023842023842</v>
      </c>
      <c r="E104" s="490">
        <f t="shared" si="3"/>
        <v>7.9169624169624164</v>
      </c>
      <c r="F104" s="491">
        <f t="shared" si="3"/>
        <v>3639.1950776799522</v>
      </c>
      <c r="G104" s="689">
        <f>SUM(G100:G103)</f>
        <v>5.6754443976746095E-2</v>
      </c>
      <c r="H104" s="492">
        <f t="shared" si="3"/>
        <v>0.29598405019269813</v>
      </c>
      <c r="I104" s="493">
        <f t="shared" si="3"/>
        <v>1.1839362007707925</v>
      </c>
      <c r="Q104" s="553"/>
      <c r="R104" s="553"/>
      <c r="S104" s="553"/>
      <c r="T104" s="548"/>
      <c r="U104" s="553"/>
      <c r="V104" s="553"/>
      <c r="W104" s="553"/>
      <c r="X104" s="553"/>
      <c r="Y104" s="553"/>
      <c r="Z104" s="553"/>
      <c r="AA104" s="553"/>
      <c r="AB104" s="553"/>
      <c r="AC104" s="553"/>
      <c r="AD104" s="553"/>
      <c r="AE104" s="801"/>
      <c r="AF104" s="553"/>
      <c r="AG104" s="553"/>
      <c r="AH104" s="553"/>
      <c r="AI104" s="553"/>
      <c r="AJ104" s="553"/>
      <c r="AK104" s="553"/>
      <c r="AL104" s="553"/>
      <c r="AM104" s="553"/>
      <c r="AN104" s="553"/>
      <c r="AO104" s="553"/>
      <c r="AP104" s="553"/>
      <c r="AQ104" s="553"/>
      <c r="AR104" s="553"/>
      <c r="AS104" s="553"/>
      <c r="AT104" s="553"/>
      <c r="AU104" s="553"/>
      <c r="AV104" s="553"/>
      <c r="AW104" s="553"/>
      <c r="AX104" s="553"/>
      <c r="AY104" s="553"/>
    </row>
    <row r="105" spans="1:51" x14ac:dyDescent="0.45">
      <c r="A105" s="545"/>
      <c r="Q105" s="553"/>
      <c r="R105" s="553"/>
      <c r="S105" s="553"/>
      <c r="T105" s="548"/>
      <c r="U105" s="553"/>
      <c r="V105" s="553"/>
      <c r="W105" s="553"/>
      <c r="X105" s="553"/>
      <c r="Y105" s="553"/>
      <c r="Z105" s="553"/>
      <c r="AA105" s="553"/>
      <c r="AB105" s="553"/>
      <c r="AC105" s="553"/>
      <c r="AD105" s="553"/>
      <c r="AE105" s="801"/>
      <c r="AF105" s="553"/>
      <c r="AG105" s="553"/>
      <c r="AH105" s="553"/>
      <c r="AI105" s="553"/>
      <c r="AJ105" s="553"/>
      <c r="AK105" s="553"/>
      <c r="AL105" s="553"/>
      <c r="AM105" s="553"/>
      <c r="AN105" s="553"/>
      <c r="AO105" s="553"/>
      <c r="AP105" s="553"/>
      <c r="AQ105" s="553"/>
      <c r="AR105" s="553"/>
      <c r="AS105" s="553"/>
      <c r="AT105" s="553"/>
      <c r="AU105" s="553"/>
      <c r="AV105" s="553"/>
      <c r="AW105" s="553"/>
      <c r="AX105" s="553"/>
      <c r="AY105" s="553"/>
    </row>
    <row r="106" spans="1:51" x14ac:dyDescent="0.45">
      <c r="A106" s="545"/>
      <c r="B106" s="735" t="s">
        <v>207</v>
      </c>
      <c r="C106" s="736"/>
      <c r="D106" s="737"/>
      <c r="Q106" s="553"/>
      <c r="R106" s="553"/>
      <c r="S106" s="394"/>
      <c r="T106" s="374"/>
      <c r="U106" s="394"/>
      <c r="V106" s="394"/>
      <c r="W106" s="394"/>
      <c r="X106" s="394"/>
      <c r="Y106" s="394"/>
      <c r="Z106" s="394"/>
      <c r="AA106" s="394"/>
      <c r="AB106" s="394"/>
      <c r="AC106" s="394"/>
      <c r="AD106" s="394"/>
      <c r="AE106" s="394"/>
      <c r="AF106" s="394"/>
      <c r="AG106" s="394"/>
      <c r="AH106" s="394"/>
      <c r="AI106" s="553"/>
      <c r="AJ106" s="553"/>
      <c r="AK106" s="553"/>
      <c r="AL106" s="553"/>
      <c r="AM106" s="553"/>
      <c r="AN106" s="553"/>
      <c r="AO106" s="553"/>
      <c r="AP106" s="553"/>
      <c r="AQ106" s="553"/>
      <c r="AR106" s="553"/>
      <c r="AS106" s="553"/>
      <c r="AT106" s="553"/>
      <c r="AU106" s="553"/>
      <c r="AV106" s="553"/>
      <c r="AW106" s="553"/>
      <c r="AX106" s="553"/>
      <c r="AY106" s="553"/>
    </row>
    <row r="107" spans="1:51" x14ac:dyDescent="0.45">
      <c r="A107" s="545"/>
      <c r="B107" s="672" t="s">
        <v>204</v>
      </c>
      <c r="C107" s="670">
        <v>1000</v>
      </c>
      <c r="D107" s="683" t="s">
        <v>205</v>
      </c>
      <c r="Q107" s="553"/>
      <c r="R107" s="553"/>
      <c r="S107" s="553"/>
      <c r="T107" s="553"/>
      <c r="U107" s="553"/>
      <c r="V107" s="553"/>
      <c r="W107" s="553"/>
      <c r="X107" s="553"/>
      <c r="Y107" s="553"/>
      <c r="Z107" s="553"/>
      <c r="AA107" s="553"/>
      <c r="AB107" s="553"/>
      <c r="AC107" s="553"/>
      <c r="AD107" s="553"/>
      <c r="AE107" s="553"/>
      <c r="AF107" s="553"/>
      <c r="AG107" s="553"/>
      <c r="AH107" s="553"/>
      <c r="AI107" s="553"/>
      <c r="AJ107" s="553"/>
      <c r="AK107" s="553"/>
      <c r="AL107" s="553"/>
      <c r="AM107" s="553"/>
      <c r="AN107" s="553"/>
      <c r="AO107" s="553"/>
      <c r="AP107" s="553"/>
      <c r="AQ107" s="553"/>
      <c r="AR107" s="553"/>
      <c r="AS107" s="553"/>
      <c r="AT107" s="553"/>
      <c r="AU107" s="553"/>
      <c r="AV107" s="553"/>
      <c r="AW107" s="553"/>
      <c r="AX107" s="553"/>
      <c r="AY107" s="553"/>
    </row>
    <row r="108" spans="1:51" x14ac:dyDescent="0.45">
      <c r="A108" s="545"/>
      <c r="B108" s="672" t="s">
        <v>206</v>
      </c>
      <c r="C108" s="370">
        <f>0.7143*C107+953.57</f>
        <v>1667.8700000000001</v>
      </c>
      <c r="D108" s="683" t="s">
        <v>259</v>
      </c>
      <c r="Q108" s="553"/>
      <c r="R108" s="553"/>
      <c r="S108" s="553"/>
      <c r="T108" s="553"/>
      <c r="U108" s="553"/>
      <c r="V108" s="553"/>
      <c r="W108" s="553"/>
      <c r="X108" s="553"/>
      <c r="Y108" s="553"/>
      <c r="Z108" s="553"/>
      <c r="AA108" s="553"/>
      <c r="AB108" s="553"/>
      <c r="AC108" s="553"/>
      <c r="AD108" s="553"/>
      <c r="AE108" s="553"/>
      <c r="AF108" s="553"/>
      <c r="AG108" s="553"/>
      <c r="AH108" s="553"/>
      <c r="AI108" s="553"/>
      <c r="AJ108" s="553"/>
      <c r="AK108" s="553"/>
      <c r="AL108" s="553"/>
      <c r="AM108" s="553"/>
      <c r="AN108" s="553"/>
      <c r="AO108" s="553"/>
      <c r="AP108" s="553"/>
      <c r="AQ108" s="553"/>
      <c r="AR108" s="553"/>
      <c r="AS108" s="553"/>
      <c r="AT108" s="553"/>
      <c r="AU108" s="553"/>
      <c r="AV108" s="553"/>
      <c r="AW108" s="553"/>
      <c r="AX108" s="553"/>
      <c r="AY108" s="553"/>
    </row>
    <row r="109" spans="1:51" x14ac:dyDescent="0.45">
      <c r="A109" s="545"/>
      <c r="B109" s="672" t="s">
        <v>347</v>
      </c>
      <c r="C109" s="929">
        <f>C108/C107*C25/1000</f>
        <v>3.8311000755997721E-3</v>
      </c>
      <c r="D109" s="932" t="s">
        <v>138</v>
      </c>
      <c r="Q109" s="553"/>
      <c r="R109" s="553"/>
      <c r="S109" s="553"/>
      <c r="T109" s="553"/>
      <c r="U109" s="553"/>
      <c r="V109" s="553"/>
      <c r="W109" s="553"/>
      <c r="X109" s="553"/>
      <c r="Y109" s="553"/>
      <c r="Z109" s="553"/>
      <c r="AA109" s="553"/>
      <c r="AB109" s="553"/>
      <c r="AC109" s="553"/>
      <c r="AD109" s="553"/>
      <c r="AE109" s="553"/>
      <c r="AF109" s="553"/>
      <c r="AG109" s="553"/>
      <c r="AH109" s="553"/>
      <c r="AI109" s="553"/>
      <c r="AJ109" s="553"/>
      <c r="AK109" s="553"/>
      <c r="AL109" s="553"/>
      <c r="AM109" s="553"/>
      <c r="AN109" s="553"/>
      <c r="AO109" s="553"/>
      <c r="AP109" s="553"/>
      <c r="AQ109" s="553"/>
      <c r="AR109" s="553"/>
      <c r="AS109" s="553"/>
      <c r="AT109" s="553"/>
      <c r="AU109" s="553"/>
      <c r="AV109" s="553"/>
      <c r="AW109" s="553"/>
      <c r="AX109" s="553"/>
      <c r="AY109" s="553"/>
    </row>
    <row r="110" spans="1:51" x14ac:dyDescent="0.45">
      <c r="A110" s="545"/>
      <c r="B110" s="672" t="s">
        <v>339</v>
      </c>
      <c r="C110" s="669">
        <f>$C$148*$C$149*$C$150</f>
        <v>0.96042374999999991</v>
      </c>
      <c r="D110" s="683" t="s">
        <v>22</v>
      </c>
      <c r="Q110" s="553"/>
      <c r="R110" s="553"/>
      <c r="S110" s="553"/>
      <c r="T110" s="553"/>
      <c r="U110" s="553"/>
      <c r="V110" s="553"/>
      <c r="W110" s="553"/>
      <c r="X110" s="553"/>
      <c r="Y110" s="553"/>
      <c r="Z110" s="553"/>
      <c r="AA110" s="553"/>
      <c r="AB110" s="553"/>
      <c r="AC110" s="553"/>
      <c r="AD110" s="553"/>
      <c r="AE110" s="553"/>
      <c r="AF110" s="553"/>
      <c r="AG110" s="553"/>
      <c r="AH110" s="553"/>
      <c r="AI110" s="553"/>
      <c r="AJ110" s="553"/>
      <c r="AK110" s="553"/>
      <c r="AL110" s="553"/>
      <c r="AM110" s="553"/>
      <c r="AN110" s="553"/>
      <c r="AO110" s="553"/>
      <c r="AP110" s="553"/>
      <c r="AQ110" s="553"/>
      <c r="AR110" s="553"/>
      <c r="AS110" s="553"/>
      <c r="AT110" s="553"/>
      <c r="AU110" s="553"/>
      <c r="AV110" s="553"/>
      <c r="AW110" s="553"/>
      <c r="AX110" s="553"/>
      <c r="AY110" s="553"/>
    </row>
    <row r="111" spans="1:51" x14ac:dyDescent="0.45">
      <c r="A111" s="545"/>
      <c r="B111" s="925" t="s">
        <v>206</v>
      </c>
      <c r="C111" s="503">
        <f>C109/C110</f>
        <v>3.9889684897939813E-3</v>
      </c>
      <c r="D111" s="738" t="s">
        <v>138</v>
      </c>
      <c r="Q111" s="553"/>
      <c r="R111" s="553"/>
      <c r="S111" s="553"/>
      <c r="T111" s="553"/>
      <c r="U111" s="553"/>
      <c r="V111" s="553"/>
      <c r="W111" s="553"/>
      <c r="X111" s="553"/>
      <c r="Y111" s="553"/>
      <c r="Z111" s="553"/>
      <c r="AA111" s="553"/>
      <c r="AB111" s="553"/>
      <c r="AC111" s="553"/>
      <c r="AD111" s="553"/>
      <c r="AE111" s="553"/>
      <c r="AF111" s="553"/>
      <c r="AG111" s="553"/>
      <c r="AH111" s="553"/>
      <c r="AI111" s="553"/>
      <c r="AJ111" s="553"/>
      <c r="AK111" s="553"/>
      <c r="AL111" s="553"/>
      <c r="AM111" s="553"/>
      <c r="AN111" s="553"/>
      <c r="AO111" s="553"/>
      <c r="AP111" s="553"/>
      <c r="AQ111" s="553"/>
      <c r="AR111" s="553"/>
      <c r="AS111" s="553"/>
      <c r="AT111" s="553"/>
      <c r="AU111" s="553"/>
      <c r="AV111" s="553"/>
      <c r="AW111" s="553"/>
      <c r="AX111" s="553"/>
      <c r="AY111" s="553"/>
    </row>
    <row r="112" spans="1:51" x14ac:dyDescent="0.45">
      <c r="A112" s="545"/>
      <c r="Q112" s="553"/>
      <c r="R112" s="553"/>
      <c r="S112" s="553"/>
      <c r="T112" s="553"/>
      <c r="U112" s="553"/>
      <c r="V112" s="553"/>
      <c r="W112" s="553"/>
      <c r="X112" s="553"/>
      <c r="Y112" s="553"/>
      <c r="Z112" s="553"/>
      <c r="AA112" s="553"/>
      <c r="AB112" s="553"/>
      <c r="AC112" s="553"/>
      <c r="AD112" s="553"/>
      <c r="AE112" s="553"/>
      <c r="AF112" s="553"/>
      <c r="AG112" s="553"/>
      <c r="AH112" s="553"/>
      <c r="AI112" s="553"/>
      <c r="AJ112" s="553"/>
      <c r="AK112" s="553"/>
      <c r="AL112" s="553"/>
      <c r="AM112" s="553"/>
      <c r="AN112" s="553"/>
      <c r="AO112" s="553"/>
      <c r="AP112" s="553"/>
      <c r="AQ112" s="553"/>
      <c r="AR112" s="553"/>
      <c r="AS112" s="553"/>
      <c r="AT112" s="553"/>
      <c r="AU112" s="553"/>
      <c r="AV112" s="553"/>
      <c r="AW112" s="553"/>
      <c r="AX112" s="553"/>
      <c r="AY112" s="553"/>
    </row>
    <row r="113" spans="1:51" x14ac:dyDescent="0.45">
      <c r="A113" s="545"/>
      <c r="B113" s="366" t="s">
        <v>208</v>
      </c>
      <c r="C113" s="367"/>
      <c r="D113" s="368"/>
      <c r="Q113" s="553"/>
      <c r="R113" s="553"/>
      <c r="S113" s="553"/>
      <c r="T113" s="553"/>
      <c r="U113" s="553"/>
      <c r="V113" s="553"/>
      <c r="W113" s="553"/>
      <c r="X113" s="553"/>
      <c r="Y113" s="553"/>
      <c r="Z113" s="553"/>
      <c r="AA113" s="553"/>
      <c r="AB113" s="553"/>
      <c r="AC113" s="553"/>
      <c r="AD113" s="553"/>
      <c r="AE113" s="553"/>
      <c r="AF113" s="553"/>
      <c r="AG113" s="553"/>
      <c r="AH113" s="553"/>
      <c r="AI113" s="553"/>
      <c r="AJ113" s="553"/>
      <c r="AK113" s="553"/>
      <c r="AL113" s="553"/>
      <c r="AM113" s="553"/>
      <c r="AN113" s="553"/>
      <c r="AO113" s="553"/>
      <c r="AP113" s="553"/>
      <c r="AQ113" s="553"/>
      <c r="AR113" s="553"/>
      <c r="AS113" s="553"/>
      <c r="AT113" s="553"/>
      <c r="AU113" s="553"/>
      <c r="AV113" s="553"/>
      <c r="AW113" s="553"/>
      <c r="AX113" s="553"/>
      <c r="AY113" s="553"/>
    </row>
    <row r="114" spans="1:51" x14ac:dyDescent="0.45">
      <c r="A114" s="545"/>
      <c r="B114" s="505" t="s">
        <v>212</v>
      </c>
      <c r="C114" s="367">
        <v>0.9</v>
      </c>
      <c r="D114" s="368" t="s">
        <v>211</v>
      </c>
      <c r="Q114" s="553"/>
      <c r="R114" s="553"/>
      <c r="S114" s="553"/>
      <c r="T114" s="553"/>
      <c r="U114" s="553"/>
      <c r="V114" s="553"/>
      <c r="W114" s="553"/>
      <c r="X114" s="553"/>
      <c r="Y114" s="553"/>
      <c r="Z114" s="553"/>
      <c r="AA114" s="553"/>
      <c r="AB114" s="553"/>
      <c r="AC114" s="553"/>
      <c r="AD114" s="553"/>
      <c r="AE114" s="553"/>
      <c r="AF114" s="553"/>
      <c r="AG114" s="553"/>
      <c r="AH114" s="553"/>
      <c r="AI114" s="553"/>
      <c r="AJ114" s="553"/>
      <c r="AK114" s="553"/>
      <c r="AL114" s="553"/>
      <c r="AM114" s="553"/>
      <c r="AN114" s="553"/>
      <c r="AO114" s="553"/>
      <c r="AP114" s="553"/>
      <c r="AQ114" s="553"/>
      <c r="AR114" s="553"/>
      <c r="AS114" s="553"/>
      <c r="AT114" s="553"/>
      <c r="AU114" s="553"/>
      <c r="AV114" s="553"/>
      <c r="AW114" s="553"/>
      <c r="AX114" s="553"/>
      <c r="AY114" s="553"/>
    </row>
    <row r="115" spans="1:51" x14ac:dyDescent="0.45">
      <c r="A115" s="545"/>
      <c r="B115" s="506" t="s">
        <v>213</v>
      </c>
      <c r="C115" s="369">
        <v>12</v>
      </c>
      <c r="D115" s="595" t="s">
        <v>214</v>
      </c>
      <c r="Q115" s="553"/>
      <c r="R115" s="553"/>
      <c r="S115" s="553"/>
      <c r="T115" s="553"/>
      <c r="U115" s="553"/>
      <c r="V115" s="553"/>
      <c r="W115" s="553"/>
      <c r="X115" s="553"/>
      <c r="Y115" s="553"/>
      <c r="Z115" s="553"/>
      <c r="AA115" s="553"/>
      <c r="AB115" s="553"/>
      <c r="AC115" s="553"/>
      <c r="AD115" s="553"/>
      <c r="AE115" s="553"/>
      <c r="AF115" s="553"/>
      <c r="AG115" s="553"/>
      <c r="AH115" s="553"/>
      <c r="AI115" s="553"/>
      <c r="AJ115" s="553"/>
      <c r="AK115" s="553"/>
      <c r="AL115" s="553"/>
      <c r="AM115" s="553"/>
      <c r="AN115" s="553"/>
      <c r="AO115" s="553"/>
      <c r="AP115" s="553"/>
      <c r="AQ115" s="553"/>
      <c r="AR115" s="553"/>
      <c r="AS115" s="553"/>
      <c r="AT115" s="553"/>
      <c r="AU115" s="553"/>
      <c r="AV115" s="553"/>
      <c r="AW115" s="553"/>
      <c r="AX115" s="553"/>
      <c r="AY115" s="553"/>
    </row>
    <row r="116" spans="1:51" x14ac:dyDescent="0.45">
      <c r="A116" s="545"/>
      <c r="B116" s="580" t="s">
        <v>216</v>
      </c>
      <c r="C116" s="369">
        <v>210</v>
      </c>
      <c r="D116" s="595" t="s">
        <v>215</v>
      </c>
      <c r="Q116" s="553"/>
      <c r="R116" s="553"/>
      <c r="S116" s="553"/>
      <c r="T116" s="553"/>
      <c r="U116" s="553"/>
      <c r="V116" s="553"/>
      <c r="W116" s="553"/>
      <c r="X116" s="553"/>
      <c r="Y116" s="553"/>
      <c r="Z116" s="553"/>
      <c r="AA116" s="553"/>
      <c r="AB116" s="553"/>
      <c r="AC116" s="553"/>
      <c r="AD116" s="553"/>
      <c r="AE116" s="553"/>
      <c r="AF116" s="553"/>
      <c r="AG116" s="553"/>
      <c r="AH116" s="553"/>
      <c r="AI116" s="553"/>
      <c r="AJ116" s="553"/>
      <c r="AK116" s="553"/>
      <c r="AL116" s="553"/>
      <c r="AM116" s="553"/>
      <c r="AN116" s="553"/>
      <c r="AO116" s="553"/>
      <c r="AP116" s="553"/>
      <c r="AQ116" s="553"/>
      <c r="AR116" s="553"/>
      <c r="AS116" s="553"/>
      <c r="AT116" s="553"/>
      <c r="AU116" s="553"/>
      <c r="AV116" s="553"/>
      <c r="AW116" s="553"/>
      <c r="AX116" s="553"/>
      <c r="AY116" s="553"/>
    </row>
    <row r="117" spans="1:51" x14ac:dyDescent="0.45">
      <c r="A117" s="545"/>
      <c r="B117" s="580" t="s">
        <v>222</v>
      </c>
      <c r="C117" s="369">
        <f>156*1000/C116/60</f>
        <v>12.380952380952381</v>
      </c>
      <c r="D117" s="595" t="s">
        <v>218</v>
      </c>
      <c r="Q117" s="553"/>
      <c r="R117" s="553"/>
      <c r="S117" s="553"/>
      <c r="T117" s="553"/>
      <c r="U117" s="553"/>
      <c r="V117" s="553"/>
      <c r="W117" s="553"/>
      <c r="X117" s="553"/>
      <c r="Y117" s="553"/>
      <c r="Z117" s="553"/>
      <c r="AA117" s="553"/>
      <c r="AB117" s="553"/>
      <c r="AC117" s="553"/>
      <c r="AD117" s="553"/>
      <c r="AE117" s="553"/>
      <c r="AF117" s="553"/>
      <c r="AG117" s="553"/>
      <c r="AH117" s="553"/>
      <c r="AI117" s="553"/>
      <c r="AJ117" s="553"/>
      <c r="AK117" s="553"/>
      <c r="AL117" s="553"/>
      <c r="AM117" s="553"/>
      <c r="AN117" s="553"/>
      <c r="AO117" s="553"/>
      <c r="AP117" s="553"/>
      <c r="AQ117" s="553"/>
      <c r="AR117" s="553"/>
      <c r="AS117" s="553"/>
      <c r="AT117" s="553"/>
      <c r="AU117" s="553"/>
      <c r="AV117" s="553"/>
      <c r="AW117" s="553"/>
      <c r="AX117" s="553"/>
      <c r="AY117" s="553"/>
    </row>
    <row r="118" spans="1:51" x14ac:dyDescent="0.45">
      <c r="A118" s="545"/>
      <c r="B118" s="580" t="s">
        <v>225</v>
      </c>
      <c r="C118" s="369">
        <f>C115*C117*60*60/1000*C114</f>
        <v>481.37142857142874</v>
      </c>
      <c r="D118" s="595" t="s">
        <v>1</v>
      </c>
      <c r="Q118" s="553"/>
      <c r="R118" s="553"/>
      <c r="S118" s="553"/>
      <c r="T118" s="553"/>
      <c r="U118" s="553"/>
      <c r="V118" s="553"/>
      <c r="W118" s="553"/>
      <c r="X118" s="553"/>
      <c r="Y118" s="553"/>
      <c r="Z118" s="553"/>
      <c r="AA118" s="553"/>
      <c r="AB118" s="553"/>
      <c r="AC118" s="553"/>
      <c r="AD118" s="553"/>
      <c r="AE118" s="553"/>
      <c r="AF118" s="553"/>
      <c r="AG118" s="553"/>
      <c r="AH118" s="553"/>
      <c r="AI118" s="553"/>
      <c r="AJ118" s="553"/>
      <c r="AK118" s="553"/>
      <c r="AL118" s="553"/>
      <c r="AM118" s="553"/>
      <c r="AN118" s="553"/>
      <c r="AO118" s="553"/>
      <c r="AP118" s="553"/>
      <c r="AQ118" s="553"/>
      <c r="AR118" s="553"/>
      <c r="AS118" s="553"/>
      <c r="AT118" s="553"/>
      <c r="AU118" s="553"/>
      <c r="AV118" s="553"/>
      <c r="AW118" s="553"/>
      <c r="AX118" s="553"/>
      <c r="AY118" s="553"/>
    </row>
    <row r="119" spans="1:51" x14ac:dyDescent="0.45">
      <c r="A119" s="545"/>
      <c r="B119" s="580" t="s">
        <v>219</v>
      </c>
      <c r="C119" s="369">
        <v>1.73</v>
      </c>
      <c r="D119" s="595" t="s">
        <v>217</v>
      </c>
      <c r="Q119" s="553"/>
      <c r="R119" s="553"/>
      <c r="S119" s="553"/>
      <c r="T119" s="553"/>
      <c r="U119" s="553"/>
      <c r="V119" s="553"/>
      <c r="W119" s="553"/>
      <c r="X119" s="553"/>
      <c r="Y119" s="553"/>
      <c r="Z119" s="553"/>
      <c r="AA119" s="553"/>
      <c r="AB119" s="553"/>
      <c r="AC119" s="553"/>
      <c r="AD119" s="553"/>
      <c r="AE119" s="553"/>
      <c r="AF119" s="553"/>
      <c r="AG119" s="553"/>
      <c r="AH119" s="553"/>
      <c r="AI119" s="553"/>
      <c r="AJ119" s="553"/>
      <c r="AK119" s="553"/>
      <c r="AL119" s="553"/>
      <c r="AM119" s="553"/>
      <c r="AN119" s="553"/>
      <c r="AO119" s="553"/>
      <c r="AP119" s="553"/>
      <c r="AQ119" s="553"/>
      <c r="AR119" s="553"/>
      <c r="AS119" s="553"/>
      <c r="AT119" s="553"/>
      <c r="AU119" s="553"/>
      <c r="AV119" s="553"/>
      <c r="AW119" s="553"/>
      <c r="AX119" s="553"/>
      <c r="AY119" s="553"/>
    </row>
    <row r="120" spans="1:51" x14ac:dyDescent="0.45">
      <c r="A120" s="545"/>
      <c r="B120" s="580" t="s">
        <v>221</v>
      </c>
      <c r="C120" s="369">
        <v>130</v>
      </c>
      <c r="D120" s="595" t="s">
        <v>220</v>
      </c>
      <c r="Q120" s="553"/>
      <c r="R120" s="553"/>
      <c r="S120" s="553"/>
      <c r="T120" s="553"/>
      <c r="U120" s="553"/>
      <c r="V120" s="553"/>
      <c r="W120" s="553"/>
      <c r="X120" s="553"/>
      <c r="Y120" s="553"/>
      <c r="Z120" s="553"/>
      <c r="AA120" s="553"/>
      <c r="AB120" s="553"/>
      <c r="AC120" s="553"/>
      <c r="AD120" s="553"/>
      <c r="AE120" s="553"/>
      <c r="AF120" s="553"/>
      <c r="AG120" s="553"/>
      <c r="AH120" s="553"/>
      <c r="AI120" s="553"/>
      <c r="AJ120" s="553"/>
      <c r="AK120" s="553"/>
      <c r="AL120" s="553"/>
      <c r="AM120" s="553"/>
      <c r="AN120" s="553"/>
      <c r="AO120" s="553"/>
      <c r="AP120" s="553"/>
      <c r="AQ120" s="553"/>
      <c r="AR120" s="553"/>
      <c r="AS120" s="553"/>
      <c r="AT120" s="553"/>
      <c r="AU120" s="553"/>
      <c r="AV120" s="553"/>
      <c r="AW120" s="553"/>
      <c r="AX120" s="553"/>
      <c r="AY120" s="553"/>
    </row>
    <row r="121" spans="1:51" x14ac:dyDescent="0.45">
      <c r="A121" s="545"/>
      <c r="B121" s="580" t="s">
        <v>223</v>
      </c>
      <c r="C121" s="509">
        <f>C119*1000000/(C120+C9)</f>
        <v>6920</v>
      </c>
      <c r="D121" s="595" t="s">
        <v>224</v>
      </c>
      <c r="Q121" s="553"/>
      <c r="R121" s="553"/>
      <c r="S121" s="553"/>
      <c r="T121" s="553"/>
      <c r="U121" s="553"/>
      <c r="V121" s="553"/>
      <c r="W121" s="553"/>
      <c r="X121" s="553"/>
      <c r="Y121" s="553"/>
      <c r="Z121" s="553"/>
      <c r="AA121" s="553"/>
      <c r="AB121" s="553"/>
      <c r="AC121" s="553"/>
      <c r="AD121" s="553"/>
      <c r="AE121" s="553"/>
      <c r="AF121" s="553"/>
      <c r="AG121" s="553"/>
      <c r="AH121" s="553"/>
      <c r="AI121" s="553"/>
      <c r="AJ121" s="553"/>
      <c r="AK121" s="553"/>
      <c r="AL121" s="553"/>
      <c r="AM121" s="553"/>
      <c r="AN121" s="553"/>
      <c r="AO121" s="553"/>
      <c r="AP121" s="553"/>
      <c r="AQ121" s="553"/>
      <c r="AR121" s="553"/>
      <c r="AS121" s="553"/>
      <c r="AT121" s="553"/>
      <c r="AU121" s="553"/>
      <c r="AV121" s="553"/>
      <c r="AW121" s="553"/>
      <c r="AX121" s="553"/>
      <c r="AY121" s="553"/>
    </row>
    <row r="122" spans="1:51" x14ac:dyDescent="0.45">
      <c r="A122" s="545"/>
      <c r="B122" s="580" t="s">
        <v>346</v>
      </c>
      <c r="C122" s="945">
        <f>C118/C121</f>
        <v>6.9562345169281614E-2</v>
      </c>
      <c r="D122" s="947" t="s">
        <v>226</v>
      </c>
      <c r="Q122" s="553"/>
      <c r="R122" s="553"/>
      <c r="S122" s="553"/>
      <c r="T122" s="553"/>
      <c r="U122" s="553"/>
      <c r="V122" s="553"/>
      <c r="W122" s="553"/>
      <c r="X122" s="553"/>
      <c r="Y122" s="553"/>
      <c r="Z122" s="553"/>
      <c r="AA122" s="553"/>
      <c r="AB122" s="553"/>
      <c r="AC122" s="553"/>
      <c r="AD122" s="553"/>
      <c r="AE122" s="553"/>
      <c r="AF122" s="553"/>
      <c r="AG122" s="553"/>
      <c r="AH122" s="553"/>
      <c r="AI122" s="553"/>
      <c r="AJ122" s="553"/>
      <c r="AK122" s="553"/>
      <c r="AL122" s="553"/>
      <c r="AM122" s="553"/>
      <c r="AN122" s="553"/>
      <c r="AO122" s="553"/>
      <c r="AP122" s="553"/>
      <c r="AQ122" s="553"/>
      <c r="AR122" s="553"/>
      <c r="AS122" s="553"/>
      <c r="AT122" s="553"/>
      <c r="AU122" s="553"/>
      <c r="AV122" s="553"/>
      <c r="AW122" s="553"/>
      <c r="AX122" s="553"/>
      <c r="AY122" s="553"/>
    </row>
    <row r="123" spans="1:51" x14ac:dyDescent="0.45">
      <c r="A123" s="545"/>
      <c r="B123" s="580" t="s">
        <v>339</v>
      </c>
      <c r="C123" s="578">
        <f>$C$148*$C$149*$C$150</f>
        <v>0.96042374999999991</v>
      </c>
      <c r="D123" s="595" t="s">
        <v>22</v>
      </c>
      <c r="Q123" s="553"/>
      <c r="R123" s="553"/>
      <c r="S123" s="553"/>
      <c r="T123" s="553"/>
      <c r="U123" s="553"/>
      <c r="V123" s="553"/>
      <c r="W123" s="553"/>
      <c r="X123" s="553"/>
      <c r="Y123" s="553"/>
      <c r="Z123" s="553"/>
      <c r="AA123" s="553"/>
      <c r="AB123" s="553"/>
      <c r="AC123" s="553"/>
      <c r="AD123" s="553"/>
      <c r="AE123" s="553"/>
      <c r="AF123" s="553"/>
      <c r="AG123" s="553"/>
      <c r="AH123" s="553"/>
      <c r="AI123" s="553"/>
      <c r="AJ123" s="553"/>
      <c r="AK123" s="553"/>
      <c r="AL123" s="553"/>
      <c r="AM123" s="553"/>
      <c r="AN123" s="553"/>
      <c r="AO123" s="553"/>
      <c r="AP123" s="553"/>
      <c r="AQ123" s="553"/>
      <c r="AR123" s="553"/>
      <c r="AS123" s="553"/>
      <c r="AT123" s="553"/>
      <c r="AU123" s="553"/>
      <c r="AV123" s="553"/>
      <c r="AW123" s="553"/>
      <c r="AX123" s="553"/>
      <c r="AY123" s="553"/>
    </row>
    <row r="124" spans="1:51" x14ac:dyDescent="0.45">
      <c r="A124" s="545"/>
      <c r="B124" s="504" t="s">
        <v>340</v>
      </c>
      <c r="C124" s="510">
        <f>C122/C123</f>
        <v>7.2428805690489872E-2</v>
      </c>
      <c r="D124" s="507" t="s">
        <v>226</v>
      </c>
      <c r="Q124" s="553"/>
      <c r="R124" s="553"/>
      <c r="S124" s="553"/>
      <c r="T124" s="553"/>
      <c r="U124" s="553"/>
      <c r="V124" s="553"/>
      <c r="W124" s="553"/>
      <c r="X124" s="553"/>
      <c r="Y124" s="553"/>
      <c r="Z124" s="553"/>
      <c r="AA124" s="553"/>
      <c r="AB124" s="553"/>
      <c r="AC124" s="553"/>
      <c r="AD124" s="553"/>
      <c r="AE124" s="553"/>
      <c r="AF124" s="553"/>
      <c r="AG124" s="553"/>
      <c r="AH124" s="553"/>
      <c r="AI124" s="553"/>
      <c r="AJ124" s="553"/>
      <c r="AK124" s="553"/>
      <c r="AL124" s="553"/>
      <c r="AM124" s="553"/>
      <c r="AN124" s="553"/>
      <c r="AO124" s="553"/>
      <c r="AP124" s="553"/>
      <c r="AQ124" s="553"/>
      <c r="AR124" s="553"/>
      <c r="AS124" s="553"/>
      <c r="AT124" s="553"/>
      <c r="AU124" s="553"/>
      <c r="AV124" s="553"/>
      <c r="AW124" s="553"/>
      <c r="AX124" s="553"/>
      <c r="AY124" s="553"/>
    </row>
    <row r="125" spans="1:51" x14ac:dyDescent="0.45">
      <c r="A125" s="545"/>
      <c r="B125" s="511" t="s">
        <v>227</v>
      </c>
      <c r="C125" s="512">
        <f>C115*C117*60*60/C121</f>
        <v>77.291494632535105</v>
      </c>
      <c r="D125" s="513" t="s">
        <v>228</v>
      </c>
      <c r="Q125" s="553"/>
      <c r="R125" s="553"/>
      <c r="S125" s="553"/>
      <c r="T125" s="553"/>
      <c r="U125" s="553"/>
      <c r="V125" s="553"/>
      <c r="W125" s="553"/>
      <c r="X125" s="553"/>
      <c r="Y125" s="553"/>
      <c r="Z125" s="553"/>
      <c r="AA125" s="553"/>
      <c r="AB125" s="553"/>
      <c r="AC125" s="553"/>
      <c r="AD125" s="553"/>
      <c r="AE125" s="553"/>
      <c r="AF125" s="553"/>
      <c r="AG125" s="553"/>
      <c r="AH125" s="553"/>
      <c r="AI125" s="553"/>
      <c r="AJ125" s="553"/>
      <c r="AK125" s="553"/>
      <c r="AL125" s="553"/>
      <c r="AM125" s="553"/>
      <c r="AN125" s="553"/>
      <c r="AO125" s="553"/>
      <c r="AP125" s="553"/>
      <c r="AQ125" s="553"/>
      <c r="AR125" s="553"/>
      <c r="AS125" s="553"/>
      <c r="AT125" s="553"/>
      <c r="AU125" s="553"/>
      <c r="AV125" s="553"/>
      <c r="AW125" s="553"/>
      <c r="AX125" s="553"/>
      <c r="AY125" s="553"/>
    </row>
    <row r="126" spans="1:51" x14ac:dyDescent="0.45">
      <c r="A126" s="545"/>
      <c r="Q126" s="553"/>
      <c r="R126" s="553"/>
      <c r="S126" s="553"/>
      <c r="T126" s="553"/>
      <c r="U126" s="553"/>
      <c r="V126" s="553"/>
      <c r="W126" s="553"/>
      <c r="X126" s="553"/>
      <c r="Y126" s="553"/>
      <c r="Z126" s="553"/>
      <c r="AA126" s="553"/>
      <c r="AB126" s="553"/>
      <c r="AC126" s="553"/>
      <c r="AD126" s="553"/>
      <c r="AE126" s="553"/>
      <c r="AF126" s="553"/>
      <c r="AG126" s="553"/>
      <c r="AH126" s="553"/>
      <c r="AI126" s="553"/>
      <c r="AJ126" s="553"/>
      <c r="AK126" s="553"/>
      <c r="AL126" s="553"/>
      <c r="AM126" s="553"/>
      <c r="AN126" s="553"/>
      <c r="AO126" s="553"/>
      <c r="AP126" s="553"/>
      <c r="AQ126" s="553"/>
      <c r="AR126" s="553"/>
      <c r="AS126" s="553"/>
      <c r="AT126" s="553"/>
      <c r="AU126" s="553"/>
      <c r="AV126" s="553"/>
      <c r="AW126" s="553"/>
      <c r="AX126" s="553"/>
      <c r="AY126" s="553"/>
    </row>
    <row r="127" spans="1:51" x14ac:dyDescent="0.45">
      <c r="A127" s="545"/>
      <c r="B127" s="677" t="s">
        <v>209</v>
      </c>
      <c r="C127" s="678"/>
      <c r="D127" s="679"/>
      <c r="Q127" s="553"/>
      <c r="R127" s="553"/>
      <c r="S127" s="553"/>
      <c r="T127" s="553"/>
      <c r="U127" s="553"/>
      <c r="V127" s="553"/>
      <c r="W127" s="553"/>
      <c r="X127" s="553"/>
      <c r="Y127" s="553"/>
      <c r="Z127" s="553"/>
      <c r="AA127" s="553"/>
      <c r="AB127" s="553"/>
      <c r="AC127" s="553"/>
      <c r="AD127" s="553"/>
      <c r="AE127" s="553"/>
      <c r="AF127" s="553"/>
      <c r="AG127" s="553"/>
      <c r="AH127" s="553"/>
      <c r="AI127" s="553"/>
      <c r="AJ127" s="553"/>
      <c r="AK127" s="553"/>
      <c r="AL127" s="553"/>
      <c r="AM127" s="553"/>
      <c r="AN127" s="553"/>
      <c r="AO127" s="553"/>
      <c r="AP127" s="553"/>
      <c r="AQ127" s="553"/>
      <c r="AR127" s="553"/>
      <c r="AS127" s="553"/>
      <c r="AT127" s="553"/>
      <c r="AU127" s="553"/>
      <c r="AV127" s="553"/>
      <c r="AW127" s="553"/>
      <c r="AX127" s="553"/>
      <c r="AY127" s="553"/>
    </row>
    <row r="128" spans="1:51" x14ac:dyDescent="0.45">
      <c r="A128" s="545"/>
      <c r="B128" s="824" t="s">
        <v>262</v>
      </c>
      <c r="C128" s="823">
        <v>9.0999999999999998E-2</v>
      </c>
      <c r="D128" s="825" t="s">
        <v>260</v>
      </c>
      <c r="Q128" s="553"/>
      <c r="R128" s="553"/>
      <c r="S128" s="553"/>
      <c r="T128" s="553"/>
      <c r="U128" s="553"/>
      <c r="V128" s="553"/>
      <c r="W128" s="553"/>
      <c r="X128" s="553"/>
      <c r="Y128" s="553"/>
      <c r="Z128" s="553"/>
      <c r="AA128" s="553"/>
      <c r="AB128" s="553"/>
      <c r="AC128" s="553"/>
      <c r="AD128" s="553"/>
      <c r="AE128" s="553"/>
      <c r="AF128" s="553"/>
      <c r="AG128" s="553"/>
      <c r="AH128" s="553"/>
      <c r="AI128" s="553"/>
      <c r="AJ128" s="553"/>
      <c r="AK128" s="553"/>
      <c r="AL128" s="553"/>
      <c r="AM128" s="553"/>
      <c r="AN128" s="553"/>
      <c r="AO128" s="553"/>
      <c r="AP128" s="553"/>
      <c r="AQ128" s="553"/>
      <c r="AR128" s="553"/>
      <c r="AS128" s="553"/>
      <c r="AT128" s="553"/>
      <c r="AU128" s="553"/>
      <c r="AV128" s="553"/>
      <c r="AW128" s="553"/>
      <c r="AX128" s="553"/>
      <c r="AY128" s="553"/>
    </row>
    <row r="129" spans="1:51" x14ac:dyDescent="0.45">
      <c r="A129" s="545"/>
      <c r="B129" s="824" t="s">
        <v>261</v>
      </c>
      <c r="C129" s="823">
        <v>0.9</v>
      </c>
      <c r="D129" s="825" t="s">
        <v>12</v>
      </c>
      <c r="Q129" s="553"/>
      <c r="R129" s="553"/>
      <c r="S129" s="553"/>
      <c r="T129" s="553"/>
      <c r="U129" s="553"/>
      <c r="V129" s="553"/>
      <c r="W129" s="553"/>
      <c r="X129" s="553"/>
      <c r="Y129" s="553"/>
      <c r="Z129" s="553"/>
      <c r="AA129" s="553"/>
      <c r="AB129" s="553"/>
      <c r="AC129" s="553"/>
      <c r="AD129" s="553"/>
      <c r="AE129" s="553"/>
      <c r="AF129" s="553"/>
      <c r="AG129" s="553"/>
      <c r="AH129" s="553"/>
      <c r="AI129" s="553"/>
      <c r="AJ129" s="553"/>
      <c r="AK129" s="553"/>
      <c r="AL129" s="553"/>
      <c r="AM129" s="553"/>
      <c r="AN129" s="553"/>
      <c r="AO129" s="553"/>
      <c r="AP129" s="553"/>
      <c r="AQ129" s="553"/>
      <c r="AR129" s="553"/>
      <c r="AS129" s="553"/>
      <c r="AT129" s="553"/>
      <c r="AU129" s="553"/>
      <c r="AV129" s="553"/>
      <c r="AW129" s="553"/>
      <c r="AX129" s="553"/>
      <c r="AY129" s="553"/>
    </row>
    <row r="130" spans="1:51" x14ac:dyDescent="0.45">
      <c r="A130" s="545"/>
      <c r="B130" s="915" t="s">
        <v>346</v>
      </c>
      <c r="C130" s="823">
        <f>C128*C129</f>
        <v>8.1900000000000001E-2</v>
      </c>
      <c r="D130" s="935" t="s">
        <v>226</v>
      </c>
      <c r="Q130" s="553"/>
      <c r="R130" s="553"/>
      <c r="S130" s="553"/>
      <c r="T130" s="553"/>
      <c r="U130" s="553"/>
      <c r="V130" s="553"/>
      <c r="W130" s="553"/>
      <c r="X130" s="553"/>
      <c r="Y130" s="553"/>
      <c r="Z130" s="553"/>
      <c r="AA130" s="553"/>
      <c r="AB130" s="553"/>
      <c r="AC130" s="553"/>
      <c r="AD130" s="553"/>
      <c r="AE130" s="553"/>
      <c r="AF130" s="553"/>
      <c r="AG130" s="553"/>
      <c r="AH130" s="553"/>
      <c r="AI130" s="553"/>
      <c r="AJ130" s="553"/>
      <c r="AK130" s="553"/>
      <c r="AL130" s="553"/>
      <c r="AM130" s="553"/>
      <c r="AN130" s="553"/>
      <c r="AO130" s="553"/>
      <c r="AP130" s="553"/>
      <c r="AQ130" s="553"/>
      <c r="AR130" s="553"/>
      <c r="AS130" s="553"/>
      <c r="AT130" s="553"/>
      <c r="AU130" s="553"/>
      <c r="AV130" s="553"/>
      <c r="AW130" s="553"/>
      <c r="AX130" s="553"/>
      <c r="AY130" s="553"/>
    </row>
    <row r="131" spans="1:51" x14ac:dyDescent="0.45">
      <c r="A131" s="545"/>
      <c r="B131" s="915" t="s">
        <v>339</v>
      </c>
      <c r="C131" s="662">
        <f>$C$148*$C$149*$C$150</f>
        <v>0.96042374999999991</v>
      </c>
      <c r="D131" s="916" t="s">
        <v>22</v>
      </c>
      <c r="Q131" s="553"/>
      <c r="R131" s="553"/>
      <c r="S131" s="553"/>
      <c r="T131" s="553"/>
      <c r="U131" s="553"/>
      <c r="V131" s="553"/>
      <c r="W131" s="553"/>
      <c r="X131" s="553"/>
      <c r="Y131" s="553"/>
      <c r="Z131" s="553"/>
      <c r="AA131" s="553"/>
      <c r="AB131" s="553"/>
      <c r="AC131" s="553"/>
      <c r="AD131" s="553"/>
      <c r="AE131" s="553"/>
      <c r="AF131" s="553"/>
      <c r="AG131" s="553"/>
      <c r="AH131" s="553"/>
      <c r="AI131" s="553"/>
      <c r="AJ131" s="553"/>
      <c r="AK131" s="553"/>
      <c r="AL131" s="553"/>
      <c r="AM131" s="553"/>
      <c r="AN131" s="553"/>
      <c r="AO131" s="553"/>
      <c r="AP131" s="553"/>
      <c r="AQ131" s="553"/>
      <c r="AR131" s="553"/>
      <c r="AS131" s="553"/>
      <c r="AT131" s="553"/>
      <c r="AU131" s="553"/>
      <c r="AV131" s="553"/>
      <c r="AW131" s="553"/>
      <c r="AX131" s="553"/>
      <c r="AY131" s="553"/>
    </row>
    <row r="132" spans="1:51" x14ac:dyDescent="0.45">
      <c r="A132" s="545"/>
      <c r="B132" s="680" t="s">
        <v>341</v>
      </c>
      <c r="C132" s="681">
        <f>C130/C131</f>
        <v>8.5274859144205892E-2</v>
      </c>
      <c r="D132" s="682" t="s">
        <v>226</v>
      </c>
      <c r="Q132" s="553"/>
      <c r="R132" s="553"/>
      <c r="S132" s="553"/>
      <c r="T132" s="553"/>
      <c r="U132" s="553"/>
      <c r="V132" s="553"/>
      <c r="W132" s="553"/>
      <c r="X132" s="553"/>
      <c r="Y132" s="553"/>
      <c r="Z132" s="553"/>
      <c r="AA132" s="553"/>
      <c r="AB132" s="553"/>
      <c r="AC132" s="553"/>
      <c r="AD132" s="553"/>
      <c r="AE132" s="553"/>
      <c r="AF132" s="553"/>
      <c r="AG132" s="553"/>
      <c r="AH132" s="553"/>
      <c r="AI132" s="553"/>
      <c r="AJ132" s="553"/>
      <c r="AK132" s="553"/>
      <c r="AL132" s="553"/>
      <c r="AM132" s="553"/>
      <c r="AN132" s="553"/>
      <c r="AO132" s="553"/>
      <c r="AP132" s="553"/>
      <c r="AQ132" s="553"/>
      <c r="AR132" s="553"/>
      <c r="AS132" s="553"/>
      <c r="AT132" s="553"/>
      <c r="AU132" s="553"/>
      <c r="AV132" s="553"/>
      <c r="AW132" s="553"/>
      <c r="AX132" s="553"/>
      <c r="AY132" s="553"/>
    </row>
    <row r="133" spans="1:51" x14ac:dyDescent="0.45">
      <c r="A133" s="545"/>
      <c r="Q133" s="553"/>
      <c r="R133" s="553"/>
      <c r="S133" s="553"/>
      <c r="T133" s="553"/>
      <c r="U133" s="553"/>
      <c r="V133" s="553"/>
      <c r="W133" s="553"/>
      <c r="X133" s="553"/>
      <c r="Y133" s="553"/>
      <c r="Z133" s="553"/>
      <c r="AA133" s="553"/>
      <c r="AB133" s="553"/>
      <c r="AC133" s="553"/>
      <c r="AD133" s="553"/>
      <c r="AE133" s="553"/>
      <c r="AF133" s="553"/>
      <c r="AG133" s="553"/>
      <c r="AH133" s="553"/>
      <c r="AI133" s="553"/>
      <c r="AJ133" s="553"/>
      <c r="AK133" s="553"/>
      <c r="AL133" s="553"/>
      <c r="AM133" s="553"/>
      <c r="AN133" s="553"/>
      <c r="AO133" s="553"/>
      <c r="AP133" s="553"/>
      <c r="AQ133" s="553"/>
      <c r="AR133" s="553"/>
      <c r="AS133" s="553"/>
      <c r="AT133" s="553"/>
      <c r="AU133" s="553"/>
      <c r="AV133" s="553"/>
      <c r="AW133" s="553"/>
      <c r="AX133" s="553"/>
      <c r="AY133" s="553"/>
    </row>
    <row r="134" spans="1:51" x14ac:dyDescent="0.45">
      <c r="A134" s="545"/>
      <c r="B134" s="599" t="s">
        <v>20</v>
      </c>
      <c r="C134" s="600"/>
      <c r="D134" s="978"/>
      <c r="E134" s="601"/>
      <c r="F134" s="995"/>
      <c r="G134" s="995"/>
      <c r="Q134" s="553"/>
      <c r="R134" s="553"/>
      <c r="S134" s="553"/>
      <c r="T134" s="553"/>
      <c r="U134" s="553"/>
      <c r="V134" s="553"/>
      <c r="W134" s="553"/>
      <c r="X134" s="553"/>
      <c r="Y134" s="553"/>
      <c r="Z134" s="553"/>
      <c r="AA134" s="553"/>
      <c r="AB134" s="553"/>
      <c r="AC134" s="553"/>
      <c r="AD134" s="553"/>
      <c r="AE134" s="553"/>
      <c r="AF134" s="553"/>
      <c r="AG134" s="553"/>
      <c r="AH134" s="553"/>
      <c r="AI134" s="553"/>
      <c r="AJ134" s="553"/>
      <c r="AK134" s="553"/>
      <c r="AL134" s="553"/>
      <c r="AM134" s="553"/>
      <c r="AN134" s="553"/>
      <c r="AO134" s="553"/>
      <c r="AP134" s="553"/>
      <c r="AQ134" s="553"/>
      <c r="AR134" s="553"/>
      <c r="AS134" s="553"/>
      <c r="AT134" s="553"/>
      <c r="AU134" s="553"/>
      <c r="AV134" s="553"/>
      <c r="AW134" s="553"/>
      <c r="AX134" s="553"/>
      <c r="AY134" s="553"/>
    </row>
    <row r="135" spans="1:51" x14ac:dyDescent="0.45">
      <c r="A135" s="545"/>
      <c r="B135" s="955" t="s">
        <v>62</v>
      </c>
      <c r="C135" s="937">
        <v>13.6</v>
      </c>
      <c r="D135" s="953" t="s">
        <v>0</v>
      </c>
      <c r="E135" s="598"/>
      <c r="F135" s="995"/>
      <c r="G135" s="995"/>
      <c r="Q135" s="553"/>
      <c r="R135" s="553"/>
      <c r="S135" s="553"/>
      <c r="T135" s="553"/>
      <c r="U135" s="553"/>
      <c r="V135" s="553"/>
      <c r="W135" s="553"/>
      <c r="X135" s="553"/>
      <c r="Y135" s="553"/>
      <c r="Z135" s="553"/>
      <c r="AA135" s="553"/>
      <c r="AB135" s="553"/>
      <c r="AC135" s="553"/>
      <c r="AD135" s="553"/>
      <c r="AE135" s="553"/>
      <c r="AF135" s="553"/>
      <c r="AG135" s="553"/>
      <c r="AH135" s="553"/>
      <c r="AI135" s="553"/>
      <c r="AJ135" s="553"/>
      <c r="AK135" s="553"/>
      <c r="AL135" s="553"/>
      <c r="AM135" s="553"/>
      <c r="AN135" s="553"/>
      <c r="AO135" s="553"/>
      <c r="AP135" s="553"/>
      <c r="AQ135" s="553"/>
      <c r="AR135" s="553"/>
      <c r="AS135" s="553"/>
      <c r="AT135" s="553"/>
      <c r="AU135" s="553"/>
      <c r="AV135" s="553"/>
      <c r="AW135" s="553"/>
      <c r="AX135" s="553"/>
      <c r="AY135" s="553"/>
    </row>
    <row r="136" spans="1:51" x14ac:dyDescent="0.45">
      <c r="A136" s="545"/>
      <c r="B136" s="576" t="s">
        <v>236</v>
      </c>
      <c r="C136" s="776">
        <v>25.9</v>
      </c>
      <c r="D136" s="585" t="s">
        <v>53</v>
      </c>
      <c r="E136" s="598"/>
      <c r="F136" s="995"/>
      <c r="G136" s="995"/>
      <c r="Q136" s="553"/>
      <c r="R136" s="553"/>
      <c r="S136" s="553"/>
      <c r="T136" s="553"/>
      <c r="U136" s="553"/>
      <c r="V136" s="553"/>
      <c r="W136" s="553"/>
      <c r="X136" s="553"/>
      <c r="Y136" s="553"/>
      <c r="Z136" s="553"/>
      <c r="AA136" s="553"/>
      <c r="AB136" s="553"/>
      <c r="AC136" s="553"/>
      <c r="AD136" s="553"/>
      <c r="AE136" s="553"/>
      <c r="AF136" s="553"/>
      <c r="AG136" s="553"/>
      <c r="AH136" s="553"/>
      <c r="AI136" s="553"/>
      <c r="AJ136" s="553"/>
      <c r="AK136" s="553"/>
      <c r="AL136" s="553"/>
      <c r="AM136" s="553"/>
      <c r="AN136" s="553"/>
      <c r="AO136" s="553"/>
      <c r="AP136" s="553"/>
      <c r="AQ136" s="553"/>
      <c r="AR136" s="553"/>
      <c r="AS136" s="553"/>
      <c r="AT136" s="553"/>
      <c r="AU136" s="553"/>
      <c r="AV136" s="553"/>
      <c r="AW136" s="553"/>
      <c r="AX136" s="553"/>
      <c r="AY136" s="553"/>
    </row>
    <row r="137" spans="1:51" x14ac:dyDescent="0.45">
      <c r="A137" s="545"/>
      <c r="B137" s="576" t="s">
        <v>101</v>
      </c>
      <c r="C137" s="666">
        <v>0.2</v>
      </c>
      <c r="D137" s="585" t="s">
        <v>235</v>
      </c>
      <c r="E137" s="598"/>
      <c r="F137" s="639"/>
      <c r="G137" s="995"/>
      <c r="Q137" s="553"/>
      <c r="R137" s="553"/>
      <c r="S137" s="553"/>
      <c r="T137" s="553"/>
      <c r="U137" s="553"/>
      <c r="V137" s="553"/>
      <c r="W137" s="553"/>
      <c r="X137" s="553"/>
      <c r="Y137" s="553"/>
      <c r="Z137" s="553"/>
      <c r="AA137" s="553"/>
      <c r="AB137" s="553"/>
      <c r="AC137" s="553"/>
      <c r="AD137" s="553"/>
      <c r="AE137" s="553"/>
      <c r="AF137" s="553"/>
      <c r="AG137" s="553"/>
      <c r="AH137" s="553"/>
      <c r="AI137" s="553"/>
      <c r="AJ137" s="553"/>
      <c r="AK137" s="553"/>
      <c r="AL137" s="553"/>
      <c r="AM137" s="553"/>
      <c r="AN137" s="553"/>
      <c r="AO137" s="553"/>
      <c r="AP137" s="553"/>
      <c r="AQ137" s="553"/>
      <c r="AR137" s="553"/>
      <c r="AS137" s="553"/>
      <c r="AT137" s="553"/>
      <c r="AU137" s="553"/>
      <c r="AV137" s="553"/>
      <c r="AW137" s="553"/>
      <c r="AX137" s="553"/>
      <c r="AY137" s="553"/>
    </row>
    <row r="138" spans="1:51" x14ac:dyDescent="0.45">
      <c r="A138" s="545"/>
      <c r="B138" s="576" t="s">
        <v>102</v>
      </c>
      <c r="C138" s="666">
        <v>0.34</v>
      </c>
      <c r="D138" s="585" t="s">
        <v>235</v>
      </c>
      <c r="E138" s="956"/>
      <c r="F138" s="995"/>
      <c r="G138" s="995"/>
      <c r="Q138" s="553"/>
      <c r="R138" s="553"/>
      <c r="S138" s="553"/>
      <c r="T138" s="553"/>
      <c r="U138" s="553"/>
      <c r="V138" s="553"/>
      <c r="W138" s="553"/>
      <c r="X138" s="553"/>
      <c r="Y138" s="553"/>
      <c r="Z138" s="553"/>
      <c r="AA138" s="553"/>
      <c r="AB138" s="553"/>
      <c r="AC138" s="553"/>
      <c r="AD138" s="553"/>
      <c r="AE138" s="553"/>
      <c r="AF138" s="553"/>
      <c r="AG138" s="553"/>
      <c r="AH138" s="553"/>
      <c r="AI138" s="553"/>
      <c r="AJ138" s="553"/>
      <c r="AK138" s="553"/>
      <c r="AL138" s="553"/>
      <c r="AM138" s="553"/>
      <c r="AN138" s="553"/>
      <c r="AO138" s="553"/>
      <c r="AP138" s="553"/>
      <c r="AQ138" s="553"/>
      <c r="AR138" s="553"/>
      <c r="AS138" s="553"/>
      <c r="AT138" s="553"/>
      <c r="AU138" s="553"/>
      <c r="AV138" s="553"/>
      <c r="AW138" s="553"/>
      <c r="AX138" s="553"/>
      <c r="AY138" s="553"/>
    </row>
    <row r="139" spans="1:51" x14ac:dyDescent="0.45">
      <c r="A139" s="545"/>
      <c r="B139" s="576" t="s">
        <v>103</v>
      </c>
      <c r="C139" s="666">
        <v>0.05</v>
      </c>
      <c r="D139" s="585" t="s">
        <v>235</v>
      </c>
      <c r="E139" s="956"/>
      <c r="F139" s="995"/>
      <c r="G139" s="995"/>
      <c r="Q139" s="553"/>
      <c r="R139" s="553"/>
      <c r="S139" s="553"/>
      <c r="T139" s="553"/>
      <c r="U139" s="553"/>
      <c r="V139" s="553"/>
      <c r="W139" s="553"/>
      <c r="X139" s="553"/>
      <c r="Y139" s="553"/>
      <c r="Z139" s="553"/>
      <c r="AA139" s="553"/>
      <c r="AB139" s="553"/>
      <c r="AC139" s="553"/>
      <c r="AD139" s="553"/>
      <c r="AE139" s="553"/>
      <c r="AF139" s="553"/>
      <c r="AG139" s="553"/>
      <c r="AH139" s="553"/>
      <c r="AI139" s="553"/>
      <c r="AJ139" s="553"/>
      <c r="AK139" s="553"/>
      <c r="AL139" s="553"/>
      <c r="AM139" s="553"/>
      <c r="AN139" s="553"/>
      <c r="AO139" s="553"/>
      <c r="AP139" s="553"/>
      <c r="AQ139" s="553"/>
      <c r="AR139" s="553"/>
      <c r="AS139" s="553"/>
      <c r="AT139" s="553"/>
      <c r="AU139" s="553"/>
      <c r="AV139" s="553"/>
      <c r="AW139" s="553"/>
      <c r="AX139" s="553"/>
      <c r="AY139" s="553"/>
    </row>
    <row r="140" spans="1:51" x14ac:dyDescent="0.45">
      <c r="A140" s="545"/>
      <c r="B140" s="576"/>
      <c r="C140" s="585" t="s">
        <v>345</v>
      </c>
      <c r="D140" s="585" t="s">
        <v>342</v>
      </c>
      <c r="E140" s="687" t="s">
        <v>171</v>
      </c>
      <c r="F140" s="995"/>
      <c r="G140" s="995"/>
      <c r="Q140" s="553"/>
      <c r="R140" s="553"/>
      <c r="S140" s="553"/>
      <c r="T140" s="553"/>
      <c r="U140" s="553"/>
      <c r="V140" s="553"/>
      <c r="W140" s="553"/>
      <c r="X140" s="553"/>
      <c r="Y140" s="553"/>
      <c r="Z140" s="553"/>
      <c r="AA140" s="553"/>
      <c r="AB140" s="553"/>
      <c r="AC140" s="553"/>
      <c r="AD140" s="553"/>
      <c r="AE140" s="553"/>
      <c r="AF140" s="553"/>
      <c r="AG140" s="553"/>
      <c r="AH140" s="553"/>
      <c r="AI140" s="553"/>
      <c r="AJ140" s="553"/>
      <c r="AK140" s="553"/>
      <c r="AL140" s="553"/>
      <c r="AM140" s="553"/>
      <c r="AN140" s="553"/>
      <c r="AO140" s="553"/>
      <c r="AP140" s="553"/>
      <c r="AQ140" s="553"/>
      <c r="AR140" s="553"/>
      <c r="AS140" s="553"/>
      <c r="AT140" s="553"/>
      <c r="AU140" s="553"/>
      <c r="AV140" s="553"/>
      <c r="AW140" s="553"/>
      <c r="AX140" s="553"/>
      <c r="AY140" s="553"/>
    </row>
    <row r="141" spans="1:51" x14ac:dyDescent="0.45">
      <c r="A141" s="545"/>
      <c r="B141" s="686" t="s">
        <v>281</v>
      </c>
      <c r="C141" s="951">
        <f>C136*C25/1000*C16</f>
        <v>4.099022343413185E-3</v>
      </c>
      <c r="D141" s="951">
        <f>$C$148*$C$149*$C$150</f>
        <v>0.96042374999999991</v>
      </c>
      <c r="E141" s="948">
        <f>C141/D141</f>
        <v>4.2679310496155322E-3</v>
      </c>
      <c r="F141" s="995"/>
      <c r="G141" s="995"/>
      <c r="Q141" s="553"/>
      <c r="R141" s="553"/>
      <c r="S141" s="553"/>
      <c r="T141" s="553"/>
      <c r="U141" s="553"/>
      <c r="V141" s="553"/>
      <c r="W141" s="553"/>
      <c r="X141" s="553"/>
      <c r="Y141" s="553"/>
      <c r="Z141" s="553"/>
      <c r="AA141" s="553"/>
      <c r="AB141" s="553"/>
      <c r="AC141" s="553"/>
      <c r="AD141" s="553"/>
      <c r="AE141" s="553"/>
      <c r="AF141" s="553"/>
      <c r="AG141" s="553"/>
      <c r="AH141" s="553"/>
      <c r="AI141" s="553"/>
      <c r="AJ141" s="553"/>
      <c r="AK141" s="553"/>
      <c r="AL141" s="553"/>
      <c r="AM141" s="553"/>
      <c r="AN141" s="553"/>
      <c r="AO141" s="553"/>
      <c r="AP141" s="553"/>
      <c r="AQ141" s="553"/>
      <c r="AR141" s="553"/>
      <c r="AS141" s="553"/>
      <c r="AT141" s="553"/>
      <c r="AU141" s="553"/>
      <c r="AV141" s="553"/>
      <c r="AW141" s="553"/>
      <c r="AX141" s="553"/>
      <c r="AY141" s="553"/>
    </row>
    <row r="142" spans="1:51" x14ac:dyDescent="0.45">
      <c r="A142" s="545"/>
      <c r="B142" s="686" t="s">
        <v>54</v>
      </c>
      <c r="C142" s="951">
        <f>C16*C137*(C135/C8)</f>
        <v>9.1418536585365865E-3</v>
      </c>
      <c r="D142" s="951">
        <f>$C$148*$C$149*$C$150</f>
        <v>0.96042374999999991</v>
      </c>
      <c r="E142" s="948">
        <f>C142/D142</f>
        <v>9.5185626745866985E-3</v>
      </c>
      <c r="F142" s="995"/>
      <c r="G142" s="995"/>
      <c r="Q142" s="553"/>
      <c r="R142" s="553"/>
      <c r="S142" s="553"/>
      <c r="T142" s="553"/>
      <c r="U142" s="553"/>
      <c r="V142" s="553"/>
      <c r="W142" s="553"/>
      <c r="X142" s="553"/>
      <c r="Y142" s="553"/>
      <c r="Z142" s="553"/>
      <c r="AA142" s="553"/>
      <c r="AB142" s="553"/>
      <c r="AC142" s="553"/>
      <c r="AD142" s="553"/>
      <c r="AE142" s="553"/>
      <c r="AF142" s="553"/>
      <c r="AG142" s="553"/>
      <c r="AH142" s="553"/>
      <c r="AI142" s="553"/>
      <c r="AJ142" s="553"/>
      <c r="AK142" s="553"/>
      <c r="AL142" s="553"/>
      <c r="AM142" s="553"/>
      <c r="AN142" s="553"/>
      <c r="AO142" s="553"/>
      <c r="AP142" s="553"/>
      <c r="AQ142" s="553"/>
      <c r="AR142" s="553"/>
      <c r="AS142" s="553"/>
      <c r="AT142" s="553"/>
      <c r="AU142" s="553"/>
      <c r="AV142" s="553"/>
      <c r="AW142" s="553"/>
      <c r="AX142" s="553"/>
      <c r="AY142" s="553"/>
    </row>
    <row r="143" spans="1:51" x14ac:dyDescent="0.45">
      <c r="A143" s="545"/>
      <c r="B143" s="686" t="s">
        <v>56</v>
      </c>
      <c r="C143" s="951">
        <f>C16*C138*(C135/C8)</f>
        <v>1.5541151219512198E-2</v>
      </c>
      <c r="D143" s="951">
        <f>$C$149*$C$150</f>
        <v>0.98504999999999998</v>
      </c>
      <c r="E143" s="948">
        <f>C143/D143</f>
        <v>1.5777017633127454E-2</v>
      </c>
      <c r="F143" s="995"/>
      <c r="G143" s="995"/>
      <c r="Q143" s="553"/>
      <c r="R143" s="553"/>
      <c r="S143" s="553"/>
      <c r="T143" s="553"/>
      <c r="U143" s="553"/>
      <c r="V143" s="553"/>
      <c r="W143" s="553"/>
      <c r="X143" s="553"/>
      <c r="Y143" s="553"/>
      <c r="Z143" s="553"/>
      <c r="AA143" s="553"/>
      <c r="AB143" s="553"/>
      <c r="AC143" s="553"/>
      <c r="AD143" s="553"/>
      <c r="AE143" s="553"/>
      <c r="AF143" s="553"/>
      <c r="AG143" s="553"/>
      <c r="AH143" s="553"/>
      <c r="AI143" s="553"/>
      <c r="AJ143" s="553"/>
      <c r="AK143" s="553"/>
      <c r="AL143" s="553"/>
      <c r="AM143" s="553"/>
      <c r="AN143" s="553"/>
      <c r="AO143" s="553"/>
      <c r="AP143" s="553"/>
      <c r="AQ143" s="553"/>
      <c r="AR143" s="553"/>
      <c r="AS143" s="553"/>
      <c r="AT143" s="553"/>
      <c r="AU143" s="553"/>
      <c r="AV143" s="553"/>
      <c r="AW143" s="553"/>
      <c r="AX143" s="553"/>
      <c r="AY143" s="553"/>
    </row>
    <row r="144" spans="1:51" x14ac:dyDescent="0.45">
      <c r="A144" s="545"/>
      <c r="B144" s="686" t="s">
        <v>65</v>
      </c>
      <c r="C144" s="951">
        <f>C16*C139*(C135/C8)</f>
        <v>2.2854634146341466E-3</v>
      </c>
      <c r="D144" s="951">
        <f>$C$150</f>
        <v>0.995</v>
      </c>
      <c r="E144" s="948">
        <f>C144/D144</f>
        <v>2.2969481554112026E-3</v>
      </c>
      <c r="F144" s="995"/>
      <c r="G144" s="995"/>
      <c r="Q144" s="553"/>
      <c r="R144" s="553"/>
      <c r="S144" s="553"/>
      <c r="T144" s="553"/>
      <c r="U144" s="553"/>
      <c r="V144" s="553"/>
      <c r="W144" s="553"/>
      <c r="X144" s="553"/>
      <c r="Y144" s="553"/>
      <c r="Z144" s="553"/>
      <c r="AA144" s="553"/>
      <c r="AB144" s="553"/>
      <c r="AC144" s="553"/>
      <c r="AD144" s="553"/>
      <c r="AE144" s="553"/>
      <c r="AF144" s="553"/>
      <c r="AG144" s="553"/>
      <c r="AH144" s="553"/>
      <c r="AI144" s="553"/>
      <c r="AJ144" s="553"/>
      <c r="AK144" s="553"/>
      <c r="AL144" s="553"/>
      <c r="AM144" s="553"/>
      <c r="AN144" s="553"/>
      <c r="AO144" s="553"/>
      <c r="AP144" s="553"/>
      <c r="AQ144" s="553"/>
      <c r="AR144" s="553"/>
      <c r="AS144" s="553"/>
      <c r="AT144" s="553"/>
      <c r="AU144" s="553"/>
      <c r="AV144" s="553"/>
      <c r="AW144" s="553"/>
      <c r="AX144" s="553"/>
      <c r="AY144" s="553"/>
    </row>
    <row r="145" spans="1:51" x14ac:dyDescent="0.45">
      <c r="A145" s="545"/>
      <c r="B145" s="632" t="s">
        <v>55</v>
      </c>
      <c r="C145" s="952"/>
      <c r="D145" s="954"/>
      <c r="E145" s="982">
        <f>SUM(E141:E144)</f>
        <v>3.1860459512740885E-2</v>
      </c>
      <c r="F145" s="995"/>
      <c r="G145" s="995"/>
      <c r="Q145" s="553"/>
      <c r="R145" s="553"/>
      <c r="S145" s="553"/>
      <c r="T145" s="553"/>
      <c r="U145" s="553"/>
      <c r="V145" s="553"/>
      <c r="W145" s="553"/>
      <c r="X145" s="553"/>
      <c r="Y145" s="553"/>
      <c r="Z145" s="553"/>
      <c r="AA145" s="553"/>
      <c r="AB145" s="553"/>
      <c r="AC145" s="553"/>
      <c r="AD145" s="553"/>
      <c r="AE145" s="553"/>
      <c r="AF145" s="553"/>
      <c r="AG145" s="553"/>
      <c r="AH145" s="553"/>
      <c r="AI145" s="553"/>
      <c r="AJ145" s="553"/>
      <c r="AK145" s="553"/>
      <c r="AL145" s="553"/>
      <c r="AM145" s="553"/>
      <c r="AN145" s="553"/>
      <c r="AO145" s="553"/>
      <c r="AP145" s="553"/>
      <c r="AQ145" s="553"/>
      <c r="AR145" s="553"/>
      <c r="AS145" s="553"/>
      <c r="AT145" s="553"/>
      <c r="AU145" s="553"/>
      <c r="AV145" s="553"/>
      <c r="AW145" s="553"/>
      <c r="AX145" s="553"/>
      <c r="AY145" s="553"/>
    </row>
    <row r="146" spans="1:51" x14ac:dyDescent="0.45">
      <c r="A146" s="545"/>
      <c r="F146" s="543"/>
      <c r="Q146" s="553"/>
      <c r="R146" s="553"/>
      <c r="S146" s="553"/>
      <c r="T146" s="553"/>
      <c r="U146" s="553"/>
      <c r="V146" s="553"/>
      <c r="W146" s="553"/>
      <c r="X146" s="553"/>
      <c r="Y146" s="553"/>
      <c r="Z146" s="553"/>
      <c r="AA146" s="553"/>
      <c r="AB146" s="553"/>
      <c r="AC146" s="553"/>
      <c r="AD146" s="553"/>
      <c r="AE146" s="553"/>
      <c r="AF146" s="553"/>
      <c r="AG146" s="553"/>
      <c r="AH146" s="553"/>
      <c r="AI146" s="553"/>
      <c r="AJ146" s="553"/>
      <c r="AK146" s="553"/>
      <c r="AL146" s="553"/>
      <c r="AM146" s="553"/>
      <c r="AN146" s="553"/>
      <c r="AO146" s="553"/>
      <c r="AP146" s="553"/>
      <c r="AQ146" s="553"/>
      <c r="AR146" s="553"/>
      <c r="AS146" s="553"/>
      <c r="AT146" s="553"/>
      <c r="AU146" s="553"/>
      <c r="AV146" s="553"/>
      <c r="AW146" s="553"/>
      <c r="AX146" s="553"/>
      <c r="AY146" s="553"/>
    </row>
    <row r="147" spans="1:51" x14ac:dyDescent="0.45">
      <c r="A147" s="545"/>
      <c r="B147" s="612" t="s">
        <v>26</v>
      </c>
      <c r="C147" s="613"/>
      <c r="D147" s="614"/>
      <c r="AA147" s="631"/>
      <c r="AB147" s="631"/>
      <c r="AC147" s="631"/>
      <c r="AD147" s="631"/>
      <c r="AE147" s="631"/>
      <c r="AF147" s="631"/>
      <c r="AG147" s="631"/>
      <c r="AH147" s="631"/>
      <c r="AI147" s="631"/>
      <c r="AJ147" s="631"/>
      <c r="AK147" s="631"/>
      <c r="AL147" s="631"/>
      <c r="AM147" s="631"/>
      <c r="AN147" s="631"/>
    </row>
    <row r="148" spans="1:51" x14ac:dyDescent="0.45">
      <c r="A148" s="545"/>
      <c r="B148" s="968" t="s">
        <v>58</v>
      </c>
      <c r="C148" s="983">
        <v>0.97499999999999998</v>
      </c>
      <c r="D148" s="984" t="s">
        <v>22</v>
      </c>
      <c r="AA148" s="631"/>
      <c r="AB148" s="631"/>
      <c r="AC148" s="631"/>
      <c r="AD148" s="631"/>
      <c r="AE148" s="631"/>
      <c r="AF148" s="631"/>
      <c r="AG148" s="631"/>
      <c r="AH148" s="631"/>
      <c r="AI148" s="631"/>
      <c r="AJ148" s="631"/>
      <c r="AK148" s="631"/>
      <c r="AL148" s="631"/>
      <c r="AM148" s="631"/>
      <c r="AN148" s="631"/>
    </row>
    <row r="149" spans="1:51" x14ac:dyDescent="0.45">
      <c r="A149" s="545"/>
      <c r="B149" s="591" t="s">
        <v>59</v>
      </c>
      <c r="C149" s="611">
        <v>0.99</v>
      </c>
      <c r="D149" s="610" t="s">
        <v>22</v>
      </c>
      <c r="AA149" s="631"/>
      <c r="AB149" s="631"/>
      <c r="AC149" s="631"/>
      <c r="AD149" s="631"/>
      <c r="AE149" s="631"/>
      <c r="AF149" s="631"/>
      <c r="AG149" s="631"/>
      <c r="AH149" s="631"/>
      <c r="AI149" s="631"/>
      <c r="AJ149" s="631"/>
      <c r="AK149" s="631"/>
      <c r="AL149" s="631"/>
      <c r="AM149" s="631"/>
      <c r="AN149" s="631"/>
    </row>
    <row r="150" spans="1:51" x14ac:dyDescent="0.45">
      <c r="A150" s="545"/>
      <c r="B150" s="591" t="s">
        <v>60</v>
      </c>
      <c r="C150" s="611">
        <v>0.995</v>
      </c>
      <c r="D150" s="610" t="s">
        <v>22</v>
      </c>
      <c r="AA150" s="631"/>
      <c r="AB150" s="631"/>
      <c r="AC150" s="631"/>
      <c r="AD150" s="631"/>
      <c r="AE150" s="631"/>
      <c r="AF150" s="631"/>
      <c r="AG150" s="631"/>
      <c r="AH150" s="631"/>
      <c r="AI150" s="631"/>
      <c r="AJ150" s="631"/>
      <c r="AK150" s="631"/>
      <c r="AL150" s="631"/>
      <c r="AM150" s="631"/>
      <c r="AN150" s="631"/>
    </row>
    <row r="151" spans="1:51" x14ac:dyDescent="0.45">
      <c r="A151" s="545"/>
      <c r="B151" s="985" t="s">
        <v>192</v>
      </c>
      <c r="C151" s="986">
        <f>C148*C149*C150</f>
        <v>0.96042374999999991</v>
      </c>
      <c r="D151" s="987" t="s">
        <v>22</v>
      </c>
      <c r="AA151" s="631"/>
      <c r="AB151" s="631"/>
      <c r="AC151" s="631"/>
      <c r="AD151" s="631"/>
      <c r="AE151" s="631"/>
      <c r="AF151" s="631"/>
      <c r="AG151" s="631"/>
      <c r="AH151" s="631"/>
      <c r="AI151" s="631"/>
      <c r="AJ151" s="631"/>
      <c r="AK151" s="631"/>
      <c r="AL151" s="631"/>
      <c r="AM151" s="631"/>
      <c r="AN151" s="631"/>
    </row>
    <row r="152" spans="1:51" x14ac:dyDescent="0.45">
      <c r="A152" s="545"/>
      <c r="AA152" s="631"/>
      <c r="AB152" s="631"/>
      <c r="AC152" s="631"/>
      <c r="AD152" s="631"/>
      <c r="AE152" s="631"/>
      <c r="AF152" s="631"/>
      <c r="AG152" s="631"/>
      <c r="AH152" s="631"/>
      <c r="AI152" s="631"/>
      <c r="AJ152" s="631"/>
      <c r="AK152" s="631"/>
      <c r="AL152" s="631"/>
      <c r="AM152" s="631"/>
      <c r="AN152" s="631"/>
    </row>
    <row r="153" spans="1:51" x14ac:dyDescent="0.45">
      <c r="A153" s="545"/>
      <c r="B153" s="764" t="s">
        <v>21</v>
      </c>
      <c r="C153" s="765"/>
      <c r="D153" s="766"/>
      <c r="AA153" s="631"/>
      <c r="AB153" s="631"/>
      <c r="AC153" s="631"/>
      <c r="AD153" s="631"/>
      <c r="AE153" s="631"/>
      <c r="AF153" s="631"/>
      <c r="AG153" s="631"/>
      <c r="AH153" s="631"/>
      <c r="AI153" s="631"/>
      <c r="AJ153" s="631"/>
      <c r="AK153" s="631"/>
      <c r="AL153" s="631"/>
      <c r="AM153" s="631"/>
      <c r="AN153" s="631"/>
    </row>
    <row r="154" spans="1:51" x14ac:dyDescent="0.45">
      <c r="A154" s="545"/>
      <c r="B154" s="767" t="s">
        <v>92</v>
      </c>
      <c r="C154" s="765">
        <f>0.15</f>
        <v>0.15</v>
      </c>
      <c r="D154" s="766" t="s">
        <v>23</v>
      </c>
      <c r="AA154" s="631"/>
      <c r="AB154" s="631"/>
      <c r="AC154" s="631"/>
      <c r="AD154" s="631"/>
      <c r="AE154" s="631"/>
      <c r="AF154" s="631"/>
      <c r="AG154" s="631"/>
      <c r="AH154" s="631"/>
      <c r="AI154" s="631"/>
      <c r="AJ154" s="631"/>
      <c r="AK154" s="631"/>
      <c r="AL154" s="631"/>
      <c r="AM154" s="631"/>
      <c r="AN154" s="631"/>
    </row>
    <row r="155" spans="1:51" x14ac:dyDescent="0.45">
      <c r="A155" s="545"/>
      <c r="B155" s="778" t="s">
        <v>21</v>
      </c>
      <c r="C155" s="777">
        <f>3*C154*C57</f>
        <v>0.88593977528089884</v>
      </c>
      <c r="D155" s="779" t="s">
        <v>98</v>
      </c>
      <c r="AA155" s="631"/>
      <c r="AB155" s="631"/>
      <c r="AC155" s="631"/>
      <c r="AD155" s="631"/>
      <c r="AE155" s="631"/>
      <c r="AF155" s="631"/>
      <c r="AG155" s="631"/>
      <c r="AH155" s="631"/>
      <c r="AI155" s="631"/>
      <c r="AJ155" s="631"/>
      <c r="AK155" s="631"/>
      <c r="AL155" s="631"/>
      <c r="AM155" s="631"/>
      <c r="AN155" s="631"/>
    </row>
    <row r="156" spans="1:51" x14ac:dyDescent="0.45">
      <c r="A156" s="545"/>
      <c r="B156" s="584" t="s">
        <v>344</v>
      </c>
      <c r="C156" s="777">
        <f>C155/C58</f>
        <v>2.1951219512195124E-3</v>
      </c>
      <c r="D156" s="779" t="s">
        <v>138</v>
      </c>
      <c r="AA156" s="631"/>
      <c r="AB156" s="631"/>
      <c r="AC156" s="631"/>
      <c r="AD156" s="631"/>
      <c r="AE156" s="631"/>
      <c r="AF156" s="631"/>
      <c r="AG156" s="631"/>
      <c r="AH156" s="631"/>
      <c r="AI156" s="631"/>
      <c r="AJ156" s="631"/>
      <c r="AK156" s="631"/>
      <c r="AL156" s="631"/>
      <c r="AM156" s="631"/>
      <c r="AN156" s="631"/>
    </row>
    <row r="157" spans="1:51" x14ac:dyDescent="0.45">
      <c r="A157" s="545"/>
      <c r="B157" s="778" t="s">
        <v>339</v>
      </c>
      <c r="C157" s="777">
        <f>$C$150</f>
        <v>0.995</v>
      </c>
      <c r="D157" s="779" t="s">
        <v>22</v>
      </c>
      <c r="AA157" s="631"/>
      <c r="AB157" s="631"/>
      <c r="AC157" s="631"/>
      <c r="AD157" s="631"/>
      <c r="AE157" s="631"/>
      <c r="AF157" s="631"/>
      <c r="AG157" s="631"/>
      <c r="AH157" s="631"/>
      <c r="AI157" s="631"/>
      <c r="AJ157" s="631"/>
      <c r="AK157" s="631"/>
      <c r="AL157" s="631"/>
      <c r="AM157" s="631"/>
      <c r="AN157" s="631"/>
    </row>
    <row r="158" spans="1:51" x14ac:dyDescent="0.45">
      <c r="A158" s="545"/>
      <c r="B158" s="633" t="s">
        <v>99</v>
      </c>
      <c r="C158" s="634">
        <f>C156/C157</f>
        <v>2.2061527147934799E-3</v>
      </c>
      <c r="D158" s="635" t="s">
        <v>138</v>
      </c>
      <c r="AA158" s="631"/>
      <c r="AB158" s="631"/>
      <c r="AC158" s="631"/>
      <c r="AD158" s="631"/>
      <c r="AE158" s="631"/>
      <c r="AF158" s="631"/>
      <c r="AG158" s="631"/>
      <c r="AH158" s="631"/>
      <c r="AI158" s="631"/>
      <c r="AJ158" s="631"/>
      <c r="AK158" s="631"/>
      <c r="AL158" s="631"/>
      <c r="AM158" s="631"/>
      <c r="AN158" s="631"/>
    </row>
    <row r="159" spans="1:51" x14ac:dyDescent="0.45">
      <c r="A159" s="545"/>
      <c r="B159" s="547"/>
      <c r="C159" s="740"/>
      <c r="D159" s="547"/>
      <c r="AA159" s="631"/>
      <c r="AB159" s="631"/>
      <c r="AC159" s="631"/>
      <c r="AD159" s="631"/>
      <c r="AE159" s="631"/>
      <c r="AF159" s="631"/>
      <c r="AG159" s="631"/>
      <c r="AH159" s="631"/>
      <c r="AI159" s="631"/>
      <c r="AJ159" s="631"/>
      <c r="AK159" s="631"/>
      <c r="AL159" s="631"/>
      <c r="AM159" s="631"/>
      <c r="AN159" s="631"/>
    </row>
    <row r="160" spans="1:51" x14ac:dyDescent="0.45">
      <c r="A160" s="545"/>
      <c r="B160" s="746" t="s">
        <v>29</v>
      </c>
      <c r="C160" s="747"/>
      <c r="D160" s="748"/>
      <c r="AA160" s="631"/>
      <c r="AB160" s="631"/>
      <c r="AC160" s="631"/>
      <c r="AD160" s="631"/>
      <c r="AE160" s="631"/>
      <c r="AF160" s="631"/>
      <c r="AG160" s="631"/>
      <c r="AH160" s="631"/>
      <c r="AI160" s="631"/>
      <c r="AJ160" s="631"/>
      <c r="AK160" s="631"/>
      <c r="AL160" s="631"/>
      <c r="AM160" s="631"/>
      <c r="AN160" s="631"/>
    </row>
    <row r="161" spans="1:40" x14ac:dyDescent="0.45">
      <c r="A161" s="545"/>
      <c r="B161" s="804" t="s">
        <v>285</v>
      </c>
      <c r="C161" s="876">
        <f>0.25*1100</f>
        <v>275</v>
      </c>
      <c r="D161" s="806" t="s">
        <v>12</v>
      </c>
      <c r="AA161" s="631"/>
      <c r="AB161" s="631"/>
      <c r="AC161" s="631"/>
      <c r="AD161" s="631"/>
      <c r="AE161" s="631"/>
      <c r="AF161" s="631"/>
      <c r="AG161" s="631"/>
      <c r="AH161" s="631"/>
      <c r="AI161" s="631"/>
      <c r="AJ161" s="631"/>
      <c r="AK161" s="631"/>
      <c r="AL161" s="631"/>
      <c r="AM161" s="631"/>
      <c r="AN161" s="631"/>
    </row>
    <row r="162" spans="1:40" x14ac:dyDescent="0.45">
      <c r="A162" s="545"/>
      <c r="B162" s="751" t="s">
        <v>286</v>
      </c>
      <c r="C162" s="803">
        <v>0.22500000000000001</v>
      </c>
      <c r="D162" s="799" t="s">
        <v>85</v>
      </c>
      <c r="AA162" s="631"/>
      <c r="AB162" s="631"/>
      <c r="AC162" s="631"/>
      <c r="AD162" s="631"/>
      <c r="AE162" s="631"/>
      <c r="AF162" s="631"/>
      <c r="AG162" s="631"/>
      <c r="AH162" s="631"/>
      <c r="AI162" s="631"/>
      <c r="AJ162" s="631"/>
      <c r="AK162" s="631"/>
      <c r="AL162" s="631"/>
      <c r="AM162" s="631"/>
      <c r="AN162" s="631"/>
    </row>
    <row r="163" spans="1:40" x14ac:dyDescent="0.45">
      <c r="A163" s="545"/>
      <c r="B163" s="972" t="s">
        <v>353</v>
      </c>
      <c r="C163" s="958">
        <f>C161*C162/1000</f>
        <v>6.1874999999999999E-2</v>
      </c>
      <c r="D163" s="799" t="s">
        <v>16</v>
      </c>
      <c r="AA163" s="631"/>
      <c r="AB163" s="631"/>
      <c r="AC163" s="631"/>
      <c r="AD163" s="631"/>
      <c r="AE163" s="631"/>
      <c r="AF163" s="631"/>
      <c r="AG163" s="631"/>
      <c r="AH163" s="631"/>
      <c r="AI163" s="631"/>
      <c r="AJ163" s="631"/>
      <c r="AK163" s="631"/>
      <c r="AL163" s="631"/>
      <c r="AM163" s="631"/>
      <c r="AN163" s="631"/>
    </row>
    <row r="164" spans="1:40" x14ac:dyDescent="0.45">
      <c r="A164" s="545"/>
      <c r="B164" s="972" t="s">
        <v>114</v>
      </c>
      <c r="C164" s="958">
        <v>50</v>
      </c>
      <c r="D164" s="799" t="s">
        <v>12</v>
      </c>
      <c r="AA164" s="631"/>
      <c r="AB164" s="631"/>
      <c r="AC164" s="631"/>
      <c r="AD164" s="631"/>
      <c r="AE164" s="631"/>
      <c r="AF164" s="631"/>
      <c r="AG164" s="631"/>
      <c r="AH164" s="631"/>
      <c r="AI164" s="631"/>
      <c r="AJ164" s="631"/>
      <c r="AK164" s="631"/>
      <c r="AL164" s="631"/>
      <c r="AM164" s="631"/>
      <c r="AN164" s="631"/>
    </row>
    <row r="165" spans="1:40" x14ac:dyDescent="0.45">
      <c r="A165" s="545"/>
      <c r="B165" s="972" t="s">
        <v>115</v>
      </c>
      <c r="C165" s="958">
        <v>1.4</v>
      </c>
      <c r="D165" s="799" t="s">
        <v>85</v>
      </c>
      <c r="AA165" s="631"/>
      <c r="AB165" s="631"/>
      <c r="AC165" s="631"/>
      <c r="AD165" s="631"/>
      <c r="AE165" s="631"/>
      <c r="AF165" s="631"/>
      <c r="AG165" s="631"/>
      <c r="AH165" s="631"/>
      <c r="AI165" s="631"/>
      <c r="AJ165" s="631"/>
      <c r="AK165" s="631"/>
      <c r="AL165" s="631"/>
      <c r="AM165" s="631"/>
      <c r="AN165" s="631"/>
    </row>
    <row r="166" spans="1:40" x14ac:dyDescent="0.45">
      <c r="A166" s="545"/>
      <c r="B166" s="972" t="s">
        <v>352</v>
      </c>
      <c r="C166" s="958">
        <f>C164*C165/1000</f>
        <v>7.0000000000000007E-2</v>
      </c>
      <c r="D166" s="799" t="s">
        <v>16</v>
      </c>
      <c r="AA166" s="631"/>
      <c r="AB166" s="631"/>
      <c r="AC166" s="631"/>
      <c r="AD166" s="631"/>
      <c r="AE166" s="631"/>
      <c r="AF166" s="631"/>
      <c r="AG166" s="631"/>
      <c r="AH166" s="631"/>
      <c r="AI166" s="631"/>
      <c r="AJ166" s="631"/>
      <c r="AK166" s="631"/>
      <c r="AL166" s="631"/>
      <c r="AM166" s="631"/>
      <c r="AN166" s="631"/>
    </row>
    <row r="167" spans="1:40" x14ac:dyDescent="0.45">
      <c r="A167" s="545"/>
      <c r="B167" s="751" t="s">
        <v>343</v>
      </c>
      <c r="C167" s="958">
        <f>C163+C166</f>
        <v>0.13187500000000002</v>
      </c>
      <c r="D167" s="799" t="s">
        <v>16</v>
      </c>
      <c r="AA167" s="631"/>
      <c r="AB167" s="631"/>
      <c r="AC167" s="631"/>
      <c r="AD167" s="631"/>
      <c r="AE167" s="631"/>
      <c r="AF167" s="631"/>
      <c r="AG167" s="631"/>
      <c r="AH167" s="631"/>
      <c r="AI167" s="631"/>
      <c r="AJ167" s="631"/>
      <c r="AK167" s="631"/>
      <c r="AL167" s="631"/>
      <c r="AM167" s="631"/>
      <c r="AN167" s="631"/>
    </row>
    <row r="168" spans="1:40" x14ac:dyDescent="0.45">
      <c r="A168" s="545"/>
      <c r="B168" s="972" t="s">
        <v>339</v>
      </c>
      <c r="C168" s="749">
        <f>$C$149*$C$150</f>
        <v>0.98504999999999998</v>
      </c>
      <c r="D168" s="976" t="s">
        <v>22</v>
      </c>
      <c r="AA168" s="631"/>
      <c r="AB168" s="631"/>
      <c r="AC168" s="631"/>
      <c r="AD168" s="631"/>
      <c r="AE168" s="631"/>
      <c r="AF168" s="631"/>
      <c r="AG168" s="631"/>
      <c r="AH168" s="631"/>
      <c r="AI168" s="631"/>
      <c r="AJ168" s="631"/>
      <c r="AK168" s="631"/>
      <c r="AL168" s="631"/>
      <c r="AM168" s="631"/>
      <c r="AN168" s="631"/>
    </row>
    <row r="169" spans="1:40" x14ac:dyDescent="0.45">
      <c r="A169" s="545"/>
      <c r="B169" s="942" t="s">
        <v>86</v>
      </c>
      <c r="C169" s="943">
        <f>C167/C168</f>
        <v>0.13387645297193038</v>
      </c>
      <c r="D169" s="944" t="s">
        <v>16</v>
      </c>
      <c r="AA169" s="631"/>
      <c r="AB169" s="631"/>
      <c r="AC169" s="631"/>
      <c r="AD169" s="631"/>
      <c r="AE169" s="631"/>
      <c r="AF169" s="631"/>
      <c r="AG169" s="631"/>
      <c r="AH169" s="631"/>
      <c r="AI169" s="631"/>
      <c r="AJ169" s="631"/>
      <c r="AK169" s="631"/>
      <c r="AL169" s="631"/>
      <c r="AM169" s="631"/>
      <c r="AN169" s="631"/>
    </row>
    <row r="170" spans="1:40" x14ac:dyDescent="0.45">
      <c r="A170" s="545"/>
      <c r="AA170" s="631"/>
      <c r="AB170" s="631"/>
      <c r="AC170" s="631"/>
      <c r="AD170" s="631"/>
      <c r="AE170" s="631"/>
      <c r="AF170" s="631"/>
      <c r="AG170" s="631"/>
      <c r="AH170" s="631"/>
      <c r="AI170" s="631"/>
      <c r="AJ170" s="631"/>
      <c r="AK170" s="631"/>
      <c r="AL170" s="631"/>
      <c r="AM170" s="631"/>
      <c r="AN170" s="631"/>
    </row>
    <row r="171" spans="1:40" x14ac:dyDescent="0.45">
      <c r="A171" s="545"/>
      <c r="B171" s="386" t="s">
        <v>162</v>
      </c>
      <c r="C171" s="387"/>
      <c r="D171" s="388"/>
      <c r="AA171" s="631"/>
      <c r="AB171" s="631"/>
      <c r="AC171" s="631"/>
      <c r="AD171" s="631"/>
      <c r="AE171" s="631"/>
      <c r="AF171" s="631"/>
      <c r="AG171" s="631"/>
      <c r="AH171" s="631"/>
      <c r="AI171" s="631"/>
      <c r="AJ171" s="631"/>
      <c r="AK171" s="631"/>
      <c r="AL171" s="631"/>
      <c r="AM171" s="631"/>
      <c r="AN171" s="631"/>
    </row>
    <row r="172" spans="1:40" x14ac:dyDescent="0.45">
      <c r="A172" s="545"/>
      <c r="B172" s="382" t="s">
        <v>104</v>
      </c>
      <c r="C172" s="389">
        <v>4</v>
      </c>
      <c r="D172" s="390" t="s">
        <v>108</v>
      </c>
      <c r="AA172" s="631"/>
      <c r="AB172" s="631"/>
      <c r="AC172" s="631"/>
      <c r="AD172" s="631"/>
      <c r="AE172" s="631"/>
      <c r="AF172" s="631"/>
      <c r="AG172" s="631"/>
      <c r="AH172" s="631"/>
      <c r="AI172" s="631"/>
      <c r="AJ172" s="631"/>
      <c r="AK172" s="631"/>
      <c r="AL172" s="631"/>
      <c r="AM172" s="631"/>
      <c r="AN172" s="631"/>
    </row>
    <row r="173" spans="1:40" x14ac:dyDescent="0.45">
      <c r="A173" s="545"/>
      <c r="B173" s="382" t="s">
        <v>105</v>
      </c>
      <c r="C173" s="389">
        <v>8000</v>
      </c>
      <c r="D173" s="390" t="s">
        <v>106</v>
      </c>
      <c r="AA173" s="631"/>
      <c r="AB173" s="631"/>
      <c r="AC173" s="631"/>
      <c r="AD173" s="631"/>
      <c r="AE173" s="631"/>
      <c r="AF173" s="631"/>
      <c r="AG173" s="631"/>
      <c r="AH173" s="631"/>
      <c r="AI173" s="631"/>
      <c r="AJ173" s="631"/>
      <c r="AK173" s="631"/>
      <c r="AL173" s="631"/>
      <c r="AM173" s="631"/>
      <c r="AN173" s="631"/>
    </row>
    <row r="174" spans="1:40" x14ac:dyDescent="0.45">
      <c r="A174" s="545"/>
      <c r="B174" s="382" t="s">
        <v>107</v>
      </c>
      <c r="C174" s="389">
        <v>70</v>
      </c>
      <c r="D174" s="390" t="s">
        <v>397</v>
      </c>
      <c r="AA174" s="631"/>
      <c r="AB174" s="631"/>
      <c r="AC174" s="631"/>
      <c r="AD174" s="631"/>
      <c r="AE174" s="631"/>
      <c r="AF174" s="631"/>
      <c r="AG174" s="631"/>
      <c r="AH174" s="631"/>
      <c r="AI174" s="631"/>
      <c r="AJ174" s="631"/>
      <c r="AK174" s="631"/>
      <c r="AL174" s="631"/>
      <c r="AM174" s="631"/>
      <c r="AN174" s="631"/>
    </row>
    <row r="175" spans="1:40" x14ac:dyDescent="0.45">
      <c r="A175" s="545"/>
      <c r="B175" s="382" t="s">
        <v>350</v>
      </c>
      <c r="C175" s="389">
        <f>C174*C172/C173</f>
        <v>3.5000000000000003E-2</v>
      </c>
      <c r="D175" s="390" t="s">
        <v>16</v>
      </c>
      <c r="N175" s="553"/>
      <c r="O175" s="553"/>
      <c r="P175" s="553"/>
      <c r="Q175" s="553"/>
      <c r="R175" s="553"/>
      <c r="S175" s="553"/>
      <c r="T175" s="553"/>
      <c r="U175" s="553"/>
      <c r="V175" s="553"/>
      <c r="W175" s="553"/>
      <c r="X175" s="553"/>
      <c r="Y175" s="553"/>
      <c r="AA175" s="631"/>
      <c r="AB175" s="631"/>
      <c r="AC175" s="631"/>
      <c r="AD175" s="631"/>
      <c r="AE175" s="631"/>
      <c r="AF175" s="631"/>
      <c r="AG175" s="631"/>
      <c r="AH175" s="631"/>
      <c r="AI175" s="631"/>
      <c r="AJ175" s="631"/>
      <c r="AK175" s="631"/>
      <c r="AL175" s="631"/>
      <c r="AM175" s="631"/>
      <c r="AN175" s="631"/>
    </row>
    <row r="176" spans="1:40" x14ac:dyDescent="0.45">
      <c r="A176" s="545"/>
      <c r="B176" s="969" t="s">
        <v>339</v>
      </c>
      <c r="C176" s="381">
        <f>$C$149*$C$150</f>
        <v>0.98504999999999998</v>
      </c>
      <c r="D176" s="390" t="s">
        <v>22</v>
      </c>
      <c r="N176" s="553"/>
      <c r="O176" s="553"/>
      <c r="P176" s="553"/>
      <c r="Q176" s="553"/>
      <c r="R176" s="553"/>
      <c r="S176" s="553"/>
      <c r="T176" s="553"/>
      <c r="U176" s="553"/>
      <c r="V176" s="553"/>
      <c r="W176" s="553"/>
      <c r="X176" s="553"/>
      <c r="Y176" s="553"/>
      <c r="AA176" s="631"/>
      <c r="AB176" s="631"/>
      <c r="AC176" s="631"/>
      <c r="AD176" s="631"/>
      <c r="AE176" s="631"/>
      <c r="AF176" s="631"/>
      <c r="AG176" s="631"/>
      <c r="AH176" s="631"/>
      <c r="AI176" s="631"/>
      <c r="AJ176" s="631"/>
      <c r="AK176" s="631"/>
      <c r="AL176" s="631"/>
      <c r="AM176" s="631"/>
      <c r="AN176" s="631"/>
    </row>
    <row r="177" spans="1:40" x14ac:dyDescent="0.45">
      <c r="A177" s="545"/>
      <c r="B177" s="962" t="s">
        <v>107</v>
      </c>
      <c r="C177" s="970">
        <f>C175/C176</f>
        <v>3.5531191310085787E-2</v>
      </c>
      <c r="D177" s="971" t="s">
        <v>16</v>
      </c>
      <c r="N177" s="553"/>
      <c r="O177" s="553"/>
      <c r="P177" s="553"/>
      <c r="Q177" s="553"/>
      <c r="R177" s="553"/>
      <c r="S177" s="553"/>
      <c r="T177" s="553"/>
      <c r="U177" s="553"/>
      <c r="V177" s="553"/>
      <c r="W177" s="553"/>
      <c r="X177" s="553"/>
      <c r="Y177" s="553"/>
      <c r="AA177" s="631"/>
      <c r="AB177" s="631"/>
      <c r="AC177" s="631"/>
      <c r="AD177" s="631"/>
      <c r="AE177" s="631"/>
      <c r="AF177" s="631"/>
      <c r="AG177" s="631"/>
      <c r="AH177" s="631"/>
      <c r="AI177" s="631"/>
      <c r="AJ177" s="631"/>
      <c r="AK177" s="631"/>
      <c r="AL177" s="631"/>
      <c r="AM177" s="631"/>
      <c r="AN177" s="631"/>
    </row>
    <row r="178" spans="1:40" x14ac:dyDescent="0.45">
      <c r="A178" s="545"/>
      <c r="N178" s="553"/>
      <c r="O178" s="553"/>
      <c r="P178" s="553"/>
      <c r="Q178" s="553"/>
      <c r="R178" s="553"/>
      <c r="S178" s="553"/>
      <c r="T178" s="553"/>
      <c r="U178" s="553"/>
      <c r="V178" s="553"/>
      <c r="W178" s="553"/>
      <c r="X178" s="553"/>
      <c r="Y178" s="553"/>
      <c r="AA178" s="631"/>
      <c r="AB178" s="631"/>
      <c r="AC178" s="631"/>
      <c r="AD178" s="631"/>
      <c r="AE178" s="631"/>
      <c r="AF178" s="631"/>
      <c r="AG178" s="631"/>
      <c r="AH178" s="631"/>
      <c r="AI178" s="631"/>
      <c r="AJ178" s="631"/>
      <c r="AK178" s="631"/>
      <c r="AL178" s="631"/>
      <c r="AM178" s="631"/>
      <c r="AN178" s="631"/>
    </row>
    <row r="179" spans="1:40" x14ac:dyDescent="0.45">
      <c r="A179" s="545"/>
      <c r="B179" s="623" t="s">
        <v>144</v>
      </c>
      <c r="C179" s="624"/>
      <c r="D179" s="624"/>
      <c r="E179" s="624"/>
      <c r="F179" s="267"/>
      <c r="G179" s="553"/>
      <c r="H179" s="553"/>
      <c r="I179" s="553"/>
      <c r="J179" s="553"/>
      <c r="N179" s="553"/>
      <c r="O179" s="553"/>
      <c r="P179" s="553"/>
      <c r="Q179" s="553"/>
      <c r="R179" s="553"/>
      <c r="S179" s="553"/>
      <c r="T179" s="553"/>
      <c r="U179" s="553"/>
      <c r="V179" s="553"/>
      <c r="W179" s="553"/>
      <c r="X179" s="553"/>
      <c r="Y179" s="553"/>
      <c r="AA179" s="631"/>
      <c r="AB179" s="631"/>
      <c r="AC179" s="631"/>
      <c r="AD179" s="631"/>
      <c r="AE179" s="631"/>
      <c r="AF179" s="631"/>
      <c r="AG179" s="631"/>
      <c r="AH179" s="631"/>
      <c r="AI179" s="631"/>
      <c r="AJ179" s="631"/>
      <c r="AK179" s="631"/>
      <c r="AL179" s="631"/>
      <c r="AM179" s="631"/>
      <c r="AN179" s="631"/>
    </row>
    <row r="180" spans="1:40" x14ac:dyDescent="0.45">
      <c r="A180" s="545"/>
      <c r="B180" s="618"/>
      <c r="C180" s="819" t="s">
        <v>161</v>
      </c>
      <c r="D180" s="620" t="s">
        <v>171</v>
      </c>
      <c r="E180" s="620" t="s">
        <v>342</v>
      </c>
      <c r="F180" s="979" t="s">
        <v>171</v>
      </c>
      <c r="G180" s="553"/>
      <c r="H180" s="553"/>
      <c r="I180" s="553"/>
      <c r="J180" s="553"/>
      <c r="N180" s="553"/>
      <c r="O180" s="553"/>
      <c r="P180" s="391"/>
      <c r="Q180" s="553"/>
      <c r="R180" s="553"/>
      <c r="S180" s="391"/>
      <c r="T180" s="553"/>
      <c r="U180" s="553"/>
      <c r="V180" s="392"/>
      <c r="W180" s="553"/>
      <c r="X180" s="553"/>
      <c r="Y180" s="553"/>
      <c r="Z180" s="631"/>
      <c r="AA180" s="631"/>
      <c r="AB180" s="631"/>
      <c r="AC180" s="631"/>
      <c r="AD180" s="631"/>
      <c r="AE180" s="631"/>
      <c r="AF180" s="631"/>
      <c r="AG180" s="631"/>
      <c r="AH180" s="631"/>
      <c r="AI180" s="631"/>
      <c r="AJ180" s="631"/>
      <c r="AK180" s="631"/>
      <c r="AL180" s="631"/>
      <c r="AM180" s="631"/>
      <c r="AN180" s="631"/>
    </row>
    <row r="181" spans="1:40" x14ac:dyDescent="0.45">
      <c r="A181" s="545"/>
      <c r="B181" s="618" t="s">
        <v>7</v>
      </c>
      <c r="C181" s="620">
        <v>2.8</v>
      </c>
      <c r="D181" s="616">
        <f>C181*(C57*2+2)/C58</f>
        <v>4.1192376289311876E-2</v>
      </c>
      <c r="E181" s="616">
        <f>$C$150</f>
        <v>0.995</v>
      </c>
      <c r="F181" s="980">
        <f>D181/E181</f>
        <v>4.1399373155087314E-2</v>
      </c>
      <c r="G181" s="553"/>
      <c r="H181" s="553"/>
      <c r="I181" s="553"/>
      <c r="J181" s="553"/>
      <c r="N181" s="553"/>
      <c r="O181" s="553"/>
      <c r="P181" s="393"/>
      <c r="Q181" s="553"/>
      <c r="R181" s="553"/>
      <c r="S181" s="393"/>
      <c r="T181" s="553"/>
      <c r="U181" s="553"/>
      <c r="V181" s="392"/>
      <c r="W181" s="553"/>
      <c r="X181" s="553"/>
      <c r="Y181" s="553"/>
      <c r="Z181" s="631"/>
      <c r="AA181" s="631"/>
      <c r="AB181" s="631"/>
      <c r="AC181" s="631"/>
      <c r="AD181" s="631"/>
      <c r="AE181" s="631"/>
      <c r="AF181" s="631"/>
      <c r="AG181" s="631"/>
      <c r="AH181" s="631"/>
      <c r="AI181" s="631"/>
      <c r="AJ181" s="631"/>
      <c r="AK181" s="631"/>
      <c r="AL181" s="631"/>
      <c r="AM181" s="631"/>
      <c r="AN181" s="631"/>
    </row>
    <row r="182" spans="1:40" x14ac:dyDescent="0.45">
      <c r="A182" s="545"/>
      <c r="B182" s="618"/>
      <c r="C182" s="819" t="s">
        <v>159</v>
      </c>
      <c r="D182" s="620" t="s">
        <v>171</v>
      </c>
      <c r="E182" s="616"/>
      <c r="F182" s="980" t="s">
        <v>171</v>
      </c>
      <c r="G182" s="553"/>
      <c r="H182" s="553"/>
      <c r="I182" s="553"/>
      <c r="J182" s="553"/>
      <c r="N182" s="553"/>
      <c r="O182" s="553"/>
      <c r="P182" s="393"/>
      <c r="Q182" s="553"/>
      <c r="R182" s="553"/>
      <c r="S182" s="393"/>
      <c r="T182" s="553"/>
      <c r="U182" s="553"/>
      <c r="V182" s="392"/>
      <c r="W182" s="553"/>
      <c r="X182" s="553"/>
      <c r="Y182" s="553"/>
      <c r="Z182" s="631"/>
      <c r="AA182" s="631"/>
      <c r="AB182" s="631"/>
      <c r="AC182" s="631"/>
      <c r="AD182" s="631"/>
      <c r="AE182" s="631"/>
      <c r="AF182" s="631"/>
      <c r="AG182" s="631"/>
      <c r="AH182" s="631"/>
      <c r="AI182" s="631"/>
      <c r="AJ182" s="631"/>
      <c r="AK182" s="631"/>
      <c r="AL182" s="631"/>
      <c r="AM182" s="631"/>
      <c r="AN182" s="631"/>
    </row>
    <row r="183" spans="1:40" x14ac:dyDescent="0.45">
      <c r="A183" s="545"/>
      <c r="B183" s="618" t="s">
        <v>87</v>
      </c>
      <c r="C183" s="620">
        <v>7</v>
      </c>
      <c r="D183" s="616">
        <f>C183*$C$57/$C$58</f>
        <v>3.4146341463414637E-2</v>
      </c>
      <c r="E183" s="616">
        <f>$C$150</f>
        <v>0.995</v>
      </c>
      <c r="F183" s="980">
        <f>D183/E183</f>
        <v>3.4317931119009687E-2</v>
      </c>
      <c r="G183" s="553"/>
      <c r="H183" s="553"/>
      <c r="I183" s="553"/>
      <c r="J183" s="553"/>
      <c r="L183" s="546"/>
      <c r="N183" s="553"/>
      <c r="O183" s="553"/>
      <c r="P183" s="393"/>
      <c r="Q183" s="553"/>
      <c r="R183" s="553"/>
      <c r="S183" s="393"/>
      <c r="T183" s="553"/>
      <c r="U183" s="553"/>
      <c r="V183" s="392"/>
      <c r="W183" s="553"/>
      <c r="X183" s="553"/>
      <c r="Y183" s="553"/>
      <c r="Z183" s="631"/>
      <c r="AA183" s="631"/>
      <c r="AB183" s="631"/>
      <c r="AC183" s="631"/>
      <c r="AD183" s="631"/>
      <c r="AE183" s="631"/>
      <c r="AF183" s="631"/>
      <c r="AG183" s="631"/>
      <c r="AH183" s="631"/>
      <c r="AI183" s="631"/>
      <c r="AJ183" s="631"/>
      <c r="AK183" s="631"/>
      <c r="AL183" s="631"/>
      <c r="AM183" s="631"/>
      <c r="AN183" s="631"/>
    </row>
    <row r="184" spans="1:40" x14ac:dyDescent="0.45">
      <c r="A184" s="545"/>
      <c r="B184" s="618" t="s">
        <v>6</v>
      </c>
      <c r="C184" s="620">
        <v>2.5</v>
      </c>
      <c r="D184" s="616">
        <f>C184*$C$57*2/$C$58</f>
        <v>2.4390243902439025E-2</v>
      </c>
      <c r="E184" s="616">
        <f>$C$150</f>
        <v>0.995</v>
      </c>
      <c r="F184" s="980">
        <f>D184/E184</f>
        <v>2.4512807942149776E-2</v>
      </c>
      <c r="G184" s="553"/>
      <c r="H184" s="553"/>
      <c r="I184" s="553"/>
      <c r="J184" s="553"/>
      <c r="L184" s="546"/>
      <c r="N184" s="553"/>
      <c r="O184" s="553"/>
      <c r="P184" s="393"/>
      <c r="Q184" s="553"/>
      <c r="R184" s="553"/>
      <c r="S184" s="393"/>
      <c r="T184" s="553"/>
      <c r="U184" s="553"/>
      <c r="V184" s="392"/>
      <c r="W184" s="553"/>
      <c r="X184" s="553"/>
      <c r="Y184" s="553"/>
      <c r="Z184" s="631"/>
      <c r="AA184" s="631"/>
      <c r="AB184" s="631"/>
      <c r="AC184" s="631"/>
      <c r="AD184" s="631"/>
      <c r="AE184" s="631"/>
      <c r="AF184" s="631"/>
      <c r="AG184" s="631"/>
      <c r="AH184" s="631"/>
      <c r="AI184" s="631"/>
      <c r="AJ184" s="631"/>
      <c r="AK184" s="631"/>
      <c r="AL184" s="631"/>
      <c r="AM184" s="631"/>
      <c r="AN184" s="631"/>
    </row>
    <row r="185" spans="1:40" x14ac:dyDescent="0.45">
      <c r="A185" s="545"/>
      <c r="B185" s="618" t="s">
        <v>10</v>
      </c>
      <c r="C185" s="620">
        <v>7.3</v>
      </c>
      <c r="D185" s="616">
        <f>C185*$C$57/$C$58</f>
        <v>3.5609756097560979E-2</v>
      </c>
      <c r="E185" s="616">
        <f>$C$150</f>
        <v>0.995</v>
      </c>
      <c r="F185" s="980">
        <f>D185/E185</f>
        <v>3.5788699595538674E-2</v>
      </c>
      <c r="G185" s="553"/>
      <c r="H185" s="553"/>
      <c r="I185" s="553"/>
      <c r="J185" s="553"/>
      <c r="L185" s="546"/>
      <c r="N185" s="553"/>
      <c r="O185" s="553"/>
      <c r="P185" s="391"/>
      <c r="Q185" s="553"/>
      <c r="R185" s="553"/>
      <c r="S185" s="391"/>
      <c r="T185" s="553"/>
      <c r="U185" s="553"/>
      <c r="V185" s="392"/>
      <c r="W185" s="553"/>
      <c r="X185" s="553"/>
      <c r="Y185" s="553"/>
      <c r="Z185" s="631"/>
      <c r="AA185" s="631"/>
      <c r="AB185" s="631"/>
      <c r="AC185" s="631"/>
      <c r="AD185" s="631"/>
      <c r="AE185" s="631"/>
      <c r="AF185" s="631"/>
      <c r="AG185" s="631"/>
      <c r="AH185" s="631"/>
      <c r="AI185" s="631"/>
      <c r="AJ185" s="631"/>
      <c r="AK185" s="631"/>
      <c r="AL185" s="631"/>
      <c r="AM185" s="631"/>
      <c r="AN185" s="631"/>
    </row>
    <row r="186" spans="1:40" x14ac:dyDescent="0.45">
      <c r="A186" s="545"/>
      <c r="B186" s="618" t="s">
        <v>9</v>
      </c>
      <c r="C186" s="620">
        <v>4.7</v>
      </c>
      <c r="D186" s="616">
        <f>C186*$C$57/$C$58</f>
        <v>2.2926829268292686E-2</v>
      </c>
      <c r="E186" s="616">
        <f>$C$150</f>
        <v>0.995</v>
      </c>
      <c r="F186" s="980">
        <f>D186/E186</f>
        <v>2.3042039465620789E-2</v>
      </c>
      <c r="G186" s="553"/>
      <c r="H186" s="553"/>
      <c r="I186" s="548"/>
      <c r="J186" s="553"/>
      <c r="L186" s="546"/>
      <c r="N186" s="553"/>
      <c r="O186" s="553"/>
      <c r="P186" s="391"/>
      <c r="Q186" s="553"/>
      <c r="R186" s="553"/>
      <c r="S186" s="391"/>
      <c r="T186" s="553"/>
      <c r="U186" s="553"/>
      <c r="V186" s="392"/>
      <c r="W186" s="553"/>
      <c r="X186" s="553"/>
      <c r="Y186" s="553"/>
      <c r="Z186" s="631"/>
      <c r="AA186" s="631"/>
      <c r="AB186" s="631"/>
      <c r="AC186" s="631"/>
      <c r="AD186" s="631"/>
      <c r="AE186" s="631"/>
      <c r="AF186" s="631"/>
      <c r="AG186" s="631"/>
      <c r="AH186" s="631"/>
      <c r="AI186" s="631"/>
      <c r="AJ186" s="631"/>
      <c r="AK186" s="631"/>
      <c r="AL186" s="631"/>
      <c r="AM186" s="631"/>
      <c r="AN186" s="631"/>
    </row>
    <row r="187" spans="1:40" x14ac:dyDescent="0.45">
      <c r="A187" s="545"/>
      <c r="B187" s="618"/>
      <c r="C187" s="819" t="s">
        <v>160</v>
      </c>
      <c r="D187" s="620" t="s">
        <v>171</v>
      </c>
      <c r="E187" s="620"/>
      <c r="F187" s="980" t="s">
        <v>171</v>
      </c>
      <c r="G187" s="553"/>
      <c r="H187" s="553"/>
      <c r="I187" s="553"/>
      <c r="J187" s="553"/>
      <c r="L187" s="546"/>
      <c r="N187" s="553"/>
      <c r="O187" s="553"/>
      <c r="P187" s="393"/>
      <c r="Q187" s="553"/>
      <c r="R187" s="553"/>
      <c r="S187" s="393"/>
      <c r="T187" s="553"/>
      <c r="U187" s="553"/>
      <c r="V187" s="392"/>
      <c r="W187" s="553"/>
      <c r="X187" s="553"/>
      <c r="Y187" s="553"/>
      <c r="Z187" s="631"/>
      <c r="AA187" s="631"/>
      <c r="AB187" s="631"/>
      <c r="AC187" s="631"/>
      <c r="AD187" s="631"/>
      <c r="AE187" s="631"/>
      <c r="AF187" s="631"/>
      <c r="AG187" s="631"/>
      <c r="AH187" s="631"/>
      <c r="AI187" s="631"/>
      <c r="AJ187" s="631"/>
      <c r="AK187" s="631"/>
      <c r="AL187" s="631"/>
      <c r="AM187" s="631"/>
      <c r="AN187" s="631"/>
    </row>
    <row r="188" spans="1:40" x14ac:dyDescent="0.45">
      <c r="A188" s="545"/>
      <c r="B188" s="621" t="s">
        <v>8</v>
      </c>
      <c r="C188" s="622">
        <v>7.2</v>
      </c>
      <c r="D188" s="977">
        <f>C188/C58</f>
        <v>1.7839675438174503E-2</v>
      </c>
      <c r="E188" s="977">
        <f>$C$150</f>
        <v>0.995</v>
      </c>
      <c r="F188" s="981">
        <f>D188/E188</f>
        <v>1.7929322048416584E-2</v>
      </c>
      <c r="G188" s="553"/>
      <c r="H188" s="553"/>
      <c r="I188" s="553"/>
      <c r="J188" s="553"/>
      <c r="L188" s="546"/>
      <c r="N188" s="553"/>
      <c r="O188" s="553"/>
      <c r="P188" s="393"/>
      <c r="Q188" s="553"/>
      <c r="R188" s="553"/>
      <c r="S188" s="393"/>
      <c r="T188" s="553"/>
      <c r="U188" s="392"/>
      <c r="V188" s="392"/>
      <c r="W188" s="553"/>
      <c r="X188" s="553"/>
      <c r="Y188" s="553"/>
      <c r="Z188" s="631"/>
      <c r="AA188" s="631"/>
      <c r="AB188" s="631"/>
      <c r="AC188" s="631"/>
      <c r="AD188" s="631"/>
      <c r="AE188" s="631"/>
      <c r="AF188" s="631"/>
      <c r="AG188" s="631"/>
      <c r="AH188" s="631"/>
      <c r="AI188" s="631"/>
      <c r="AJ188" s="631"/>
      <c r="AK188" s="631"/>
      <c r="AL188" s="631"/>
      <c r="AM188" s="631"/>
      <c r="AN188" s="631"/>
    </row>
    <row r="189" spans="1:40" x14ac:dyDescent="0.45">
      <c r="A189" s="545"/>
      <c r="N189" s="553"/>
      <c r="O189" s="553"/>
      <c r="P189" s="553"/>
      <c r="Q189" s="553"/>
      <c r="R189" s="553"/>
      <c r="S189" s="553"/>
      <c r="T189" s="553"/>
      <c r="U189" s="553"/>
      <c r="V189" s="553"/>
      <c r="W189" s="553"/>
      <c r="X189" s="553"/>
      <c r="Y189" s="553"/>
      <c r="Z189" s="631"/>
      <c r="AA189" s="631"/>
      <c r="AB189" s="631"/>
      <c r="AC189" s="631"/>
      <c r="AD189" s="631"/>
      <c r="AE189" s="631"/>
      <c r="AF189" s="631"/>
      <c r="AG189" s="631"/>
      <c r="AH189" s="631"/>
      <c r="AI189" s="631"/>
      <c r="AJ189" s="631"/>
      <c r="AK189" s="631"/>
      <c r="AL189" s="631"/>
      <c r="AM189" s="631"/>
      <c r="AN189" s="631"/>
    </row>
    <row r="190" spans="1:40" x14ac:dyDescent="0.45">
      <c r="A190" s="545"/>
      <c r="B190" s="655" t="s">
        <v>43</v>
      </c>
      <c r="C190" s="656"/>
      <c r="D190" s="657"/>
      <c r="N190" s="553"/>
      <c r="O190" s="553"/>
      <c r="P190" s="553"/>
      <c r="Q190" s="553"/>
      <c r="R190" s="553"/>
      <c r="S190" s="553"/>
      <c r="T190" s="553"/>
      <c r="U190" s="553"/>
      <c r="V190" s="553"/>
      <c r="W190" s="553"/>
      <c r="X190" s="553"/>
      <c r="Y190" s="553"/>
      <c r="Z190" s="631"/>
      <c r="AA190" s="631"/>
      <c r="AB190" s="631"/>
      <c r="AC190" s="631"/>
      <c r="AD190" s="631"/>
      <c r="AE190" s="631"/>
      <c r="AF190" s="631"/>
      <c r="AG190" s="631"/>
      <c r="AH190" s="631"/>
      <c r="AI190" s="631"/>
      <c r="AJ190" s="631"/>
      <c r="AK190" s="631"/>
      <c r="AL190" s="631"/>
      <c r="AM190" s="631"/>
      <c r="AN190" s="631"/>
    </row>
    <row r="191" spans="1:40" x14ac:dyDescent="0.45">
      <c r="A191" s="545"/>
      <c r="B191" s="649" t="s">
        <v>46</v>
      </c>
      <c r="C191" s="658">
        <f>280*504*$C$8/14.4</f>
        <v>200900</v>
      </c>
      <c r="D191" s="659" t="s">
        <v>100</v>
      </c>
      <c r="N191" s="553"/>
      <c r="O191" s="553"/>
      <c r="P191" s="553"/>
      <c r="Q191" s="553"/>
      <c r="R191" s="553"/>
      <c r="S191" s="553"/>
      <c r="T191" s="553"/>
      <c r="U191" s="553"/>
      <c r="V191" s="553"/>
      <c r="W191" s="553"/>
      <c r="X191" s="553"/>
      <c r="Y191" s="553"/>
      <c r="Z191" s="631"/>
      <c r="AA191" s="631"/>
      <c r="AB191" s="631"/>
      <c r="AC191" s="631"/>
      <c r="AD191" s="631"/>
      <c r="AE191" s="631"/>
      <c r="AF191" s="631"/>
      <c r="AG191" s="631"/>
      <c r="AH191" s="631"/>
      <c r="AI191" s="631"/>
      <c r="AJ191" s="631"/>
      <c r="AK191" s="631"/>
      <c r="AL191" s="631"/>
      <c r="AM191" s="631"/>
      <c r="AN191" s="631"/>
    </row>
    <row r="192" spans="1:40" x14ac:dyDescent="0.45">
      <c r="A192" s="545"/>
      <c r="B192" s="649" t="s">
        <v>43</v>
      </c>
      <c r="C192" s="654">
        <f>C17</f>
        <v>0</v>
      </c>
      <c r="D192" s="659" t="s">
        <v>44</v>
      </c>
      <c r="Z192" s="631"/>
      <c r="AA192" s="631"/>
      <c r="AB192" s="631"/>
      <c r="AC192" s="631"/>
      <c r="AD192" s="631"/>
      <c r="AE192" s="631"/>
      <c r="AF192" s="631"/>
      <c r="AG192" s="631"/>
      <c r="AH192" s="631"/>
      <c r="AI192" s="631"/>
      <c r="AJ192" s="631"/>
      <c r="AK192" s="631"/>
      <c r="AL192" s="631"/>
      <c r="AM192" s="631"/>
      <c r="AN192" s="631"/>
    </row>
    <row r="193" spans="1:40" x14ac:dyDescent="0.45">
      <c r="A193" s="545"/>
      <c r="B193" s="660" t="s">
        <v>2</v>
      </c>
      <c r="C193" s="676">
        <f>C192/C191</f>
        <v>0</v>
      </c>
      <c r="D193" s="661" t="s">
        <v>138</v>
      </c>
      <c r="Z193" s="631"/>
      <c r="AA193" s="631"/>
      <c r="AB193" s="631"/>
      <c r="AC193" s="631"/>
      <c r="AD193" s="631"/>
      <c r="AE193" s="631"/>
      <c r="AF193" s="631"/>
      <c r="AG193" s="631"/>
      <c r="AH193" s="631"/>
      <c r="AI193" s="631"/>
      <c r="AJ193" s="631"/>
      <c r="AK193" s="631"/>
      <c r="AL193" s="631"/>
      <c r="AM193" s="631"/>
      <c r="AN193" s="631"/>
    </row>
    <row r="194" spans="1:40" x14ac:dyDescent="0.45">
      <c r="A194" s="545"/>
      <c r="Z194" s="631"/>
      <c r="AA194" s="631"/>
      <c r="AB194" s="631"/>
      <c r="AC194" s="631"/>
      <c r="AD194" s="631"/>
      <c r="AE194" s="631"/>
      <c r="AF194" s="631"/>
      <c r="AG194" s="631"/>
      <c r="AH194" s="631"/>
      <c r="AI194" s="631"/>
      <c r="AJ194" s="631"/>
      <c r="AK194" s="631"/>
      <c r="AL194" s="631"/>
      <c r="AM194" s="631"/>
      <c r="AN194" s="631"/>
    </row>
    <row r="195" spans="1:40" s="559" customFormat="1" ht="28.5" x14ac:dyDescent="0.85">
      <c r="A195" s="759"/>
      <c r="B195" s="641" t="s">
        <v>163</v>
      </c>
      <c r="G195" s="642"/>
    </row>
    <row r="196" spans="1:40" x14ac:dyDescent="0.45">
      <c r="A196" s="545"/>
      <c r="N196" s="631"/>
      <c r="Z196" s="631"/>
      <c r="AA196" s="631"/>
      <c r="AB196" s="631"/>
      <c r="AC196" s="631"/>
      <c r="AD196" s="631"/>
      <c r="AE196" s="631"/>
      <c r="AF196" s="631"/>
      <c r="AG196" s="631"/>
      <c r="AH196" s="631"/>
      <c r="AI196" s="631"/>
      <c r="AJ196" s="631"/>
      <c r="AK196" s="631"/>
      <c r="AL196" s="631"/>
      <c r="AM196" s="631"/>
      <c r="AN196" s="631"/>
    </row>
    <row r="197" spans="1:40" x14ac:dyDescent="0.45">
      <c r="A197" s="550"/>
      <c r="B197" s="1034" t="s">
        <v>127</v>
      </c>
      <c r="C197" s="350"/>
      <c r="D197" s="350"/>
      <c r="E197" s="350"/>
      <c r="F197" s="350"/>
      <c r="G197" s="350"/>
      <c r="H197" s="350"/>
      <c r="I197" s="350"/>
      <c r="J197" s="350"/>
      <c r="K197" s="350"/>
      <c r="L197" s="350"/>
      <c r="M197" s="350"/>
      <c r="N197" s="350"/>
      <c r="O197" s="350"/>
      <c r="P197" s="350"/>
      <c r="Q197" s="350"/>
      <c r="R197" s="350"/>
      <c r="S197" s="350"/>
      <c r="T197" s="350"/>
      <c r="U197" s="350"/>
      <c r="V197" s="350"/>
      <c r="W197" s="350"/>
      <c r="X197" s="1035"/>
    </row>
    <row r="198" spans="1:40" x14ac:dyDescent="0.45">
      <c r="A198" s="550"/>
      <c r="B198" s="344" t="s">
        <v>147</v>
      </c>
      <c r="C198" s="347">
        <f>C74</f>
        <v>561.70665496323511</v>
      </c>
      <c r="D198" s="345" t="s">
        <v>18</v>
      </c>
      <c r="E198" s="345"/>
      <c r="F198" s="345"/>
      <c r="G198" s="345"/>
      <c r="H198" s="345"/>
      <c r="I198" s="345"/>
      <c r="J198" s="345"/>
      <c r="K198" s="352"/>
      <c r="L198" s="345"/>
      <c r="M198" s="345"/>
      <c r="N198" s="345"/>
      <c r="O198" s="345"/>
      <c r="P198" s="345"/>
      <c r="Q198" s="345"/>
      <c r="R198" s="345"/>
      <c r="S198" s="345"/>
      <c r="T198" s="345"/>
      <c r="U198" s="345"/>
      <c r="V198" s="345"/>
      <c r="W198" s="345"/>
      <c r="X198" s="346"/>
    </row>
    <row r="199" spans="1:40" x14ac:dyDescent="0.45">
      <c r="A199" s="550"/>
      <c r="B199" s="344" t="s">
        <v>168</v>
      </c>
      <c r="C199" s="351">
        <v>2.1999999999999999E-2</v>
      </c>
      <c r="D199" s="345" t="s">
        <v>0</v>
      </c>
      <c r="E199" s="345"/>
      <c r="F199" s="345"/>
      <c r="G199" s="345"/>
      <c r="H199" s="345"/>
      <c r="I199" s="345"/>
      <c r="J199" s="345"/>
      <c r="K199" s="352"/>
      <c r="L199" s="345"/>
      <c r="M199" s="345"/>
      <c r="N199" s="345"/>
      <c r="O199" s="345"/>
      <c r="P199" s="345"/>
      <c r="Q199" s="345"/>
      <c r="R199" s="345"/>
      <c r="S199" s="345"/>
      <c r="T199" s="345"/>
      <c r="U199" s="345"/>
      <c r="V199" s="345"/>
      <c r="W199" s="345"/>
      <c r="X199" s="346"/>
    </row>
    <row r="200" spans="1:40" x14ac:dyDescent="0.45">
      <c r="A200" s="550"/>
      <c r="B200" s="344" t="s">
        <v>167</v>
      </c>
      <c r="C200" s="351">
        <v>2.1999999999999999E-2</v>
      </c>
      <c r="D200" s="345" t="s">
        <v>0</v>
      </c>
      <c r="E200" s="345"/>
      <c r="F200" s="345"/>
      <c r="G200" s="345"/>
      <c r="H200" s="345"/>
      <c r="I200" s="345"/>
      <c r="J200" s="345"/>
      <c r="K200" s="352"/>
      <c r="L200" s="345"/>
      <c r="M200" s="345"/>
      <c r="N200" s="345"/>
      <c r="O200" s="345"/>
      <c r="P200" s="345"/>
      <c r="Q200" s="345"/>
      <c r="R200" s="345"/>
      <c r="S200" s="345"/>
      <c r="T200" s="345"/>
      <c r="U200" s="345"/>
      <c r="V200" s="345"/>
      <c r="W200" s="345"/>
      <c r="X200" s="346"/>
    </row>
    <row r="201" spans="1:40" x14ac:dyDescent="0.45">
      <c r="A201" s="550"/>
      <c r="B201" s="344" t="s">
        <v>154</v>
      </c>
      <c r="C201" s="371">
        <f>10%*1</f>
        <v>0.1</v>
      </c>
      <c r="D201" s="345" t="s">
        <v>0</v>
      </c>
      <c r="E201" s="345"/>
      <c r="F201" s="345"/>
      <c r="G201" s="345"/>
      <c r="H201" s="345"/>
      <c r="I201" s="345"/>
      <c r="J201" s="345"/>
      <c r="K201" s="345"/>
      <c r="L201" s="345"/>
      <c r="M201" s="345"/>
      <c r="N201" s="345"/>
      <c r="O201" s="345"/>
      <c r="P201" s="345"/>
      <c r="Q201" s="345"/>
      <c r="R201" s="345"/>
      <c r="S201" s="345"/>
      <c r="T201" s="345"/>
      <c r="U201" s="345"/>
      <c r="V201" s="345"/>
      <c r="W201" s="345"/>
      <c r="X201" s="346"/>
    </row>
    <row r="202" spans="1:40" x14ac:dyDescent="0.45">
      <c r="A202" s="550"/>
      <c r="B202" s="344" t="s">
        <v>148</v>
      </c>
      <c r="C202" s="351">
        <f>27.9%*1</f>
        <v>0.27899999999999997</v>
      </c>
      <c r="D202" s="345" t="s">
        <v>0</v>
      </c>
      <c r="E202" s="345"/>
      <c r="F202" s="345"/>
      <c r="G202" s="345"/>
      <c r="H202" s="345"/>
      <c r="I202" s="345"/>
      <c r="J202" s="345"/>
      <c r="K202" s="345"/>
      <c r="L202" s="345"/>
      <c r="M202" s="345"/>
      <c r="N202" s="345"/>
      <c r="O202" s="345"/>
      <c r="P202" s="345"/>
      <c r="Q202" s="345"/>
      <c r="R202" s="345"/>
      <c r="S202" s="345"/>
      <c r="T202" s="345"/>
      <c r="U202" s="345"/>
      <c r="V202" s="345"/>
      <c r="W202" s="345"/>
      <c r="X202" s="346"/>
    </row>
    <row r="203" spans="1:40" x14ac:dyDescent="0.45">
      <c r="A203" s="550"/>
      <c r="B203" s="344" t="s">
        <v>145</v>
      </c>
      <c r="C203" s="371">
        <v>9.4E-2</v>
      </c>
      <c r="D203" s="345" t="s">
        <v>136</v>
      </c>
      <c r="E203" s="345"/>
      <c r="F203" s="345"/>
      <c r="G203" s="345"/>
      <c r="H203" s="345"/>
      <c r="I203" s="345"/>
      <c r="J203" s="345"/>
      <c r="K203" s="345"/>
      <c r="L203" s="345"/>
      <c r="M203" s="345"/>
      <c r="N203" s="345"/>
      <c r="O203" s="345"/>
      <c r="P203" s="345"/>
      <c r="Q203" s="345"/>
      <c r="R203" s="345"/>
      <c r="S203" s="345"/>
      <c r="T203" s="345"/>
      <c r="U203" s="345"/>
      <c r="V203" s="345"/>
      <c r="W203" s="345"/>
      <c r="X203" s="346"/>
    </row>
    <row r="204" spans="1:40" x14ac:dyDescent="0.45">
      <c r="A204" s="550"/>
      <c r="B204" s="344" t="s">
        <v>133</v>
      </c>
      <c r="C204" s="371">
        <v>1.0999999999999999E-2</v>
      </c>
      <c r="D204" s="345" t="s">
        <v>136</v>
      </c>
      <c r="E204" s="345"/>
      <c r="F204" s="345"/>
      <c r="G204" s="345"/>
      <c r="H204" s="345"/>
      <c r="I204" s="345"/>
      <c r="J204" s="345"/>
      <c r="K204" s="345"/>
      <c r="L204" s="345"/>
      <c r="M204" s="345"/>
      <c r="N204" s="345"/>
      <c r="O204" s="345"/>
      <c r="P204" s="345"/>
      <c r="Q204" s="345"/>
      <c r="R204" s="345"/>
      <c r="S204" s="345"/>
      <c r="T204" s="345"/>
      <c r="U204" s="345"/>
      <c r="V204" s="345"/>
      <c r="W204" s="345"/>
      <c r="X204" s="346"/>
    </row>
    <row r="205" spans="1:40" x14ac:dyDescent="0.45">
      <c r="A205" s="550"/>
      <c r="B205" s="344" t="s">
        <v>153</v>
      </c>
      <c r="C205" s="347">
        <v>3</v>
      </c>
      <c r="D205" s="345" t="s">
        <v>152</v>
      </c>
      <c r="E205" s="345"/>
      <c r="F205" s="345"/>
      <c r="G205" s="345"/>
      <c r="H205" s="376"/>
      <c r="I205" s="345"/>
      <c r="J205" s="345"/>
      <c r="K205" s="347"/>
      <c r="L205" s="345"/>
      <c r="M205" s="345"/>
      <c r="N205" s="345"/>
      <c r="O205" s="345"/>
      <c r="P205" s="345"/>
      <c r="Q205" s="345"/>
      <c r="R205" s="345"/>
      <c r="S205" s="345"/>
      <c r="T205" s="345"/>
      <c r="U205" s="345"/>
      <c r="V205" s="345"/>
      <c r="W205" s="345"/>
      <c r="X205" s="346"/>
    </row>
    <row r="206" spans="1:40" x14ac:dyDescent="0.45">
      <c r="A206" s="550"/>
      <c r="B206" s="357" t="s">
        <v>276</v>
      </c>
      <c r="C206" s="360">
        <f>SUM(C217,C246,C275,C304)</f>
        <v>0.59467788439360558</v>
      </c>
      <c r="D206" s="348" t="s">
        <v>138</v>
      </c>
      <c r="E206" s="345"/>
      <c r="F206" s="345"/>
      <c r="G206" s="345"/>
      <c r="H206" s="345"/>
      <c r="I206" s="345"/>
      <c r="J206" s="345"/>
      <c r="K206" s="347"/>
      <c r="L206" s="345"/>
      <c r="M206" s="345"/>
      <c r="N206" s="345"/>
      <c r="O206" s="345"/>
      <c r="P206" s="345"/>
      <c r="Q206" s="345"/>
      <c r="R206" s="345"/>
      <c r="S206" s="345"/>
      <c r="T206" s="345"/>
      <c r="U206" s="345"/>
      <c r="V206" s="345"/>
      <c r="W206" s="345"/>
      <c r="X206" s="346"/>
    </row>
    <row r="207" spans="1:40" x14ac:dyDescent="0.45">
      <c r="A207" s="550"/>
      <c r="B207" s="357" t="s">
        <v>390</v>
      </c>
      <c r="C207" s="989">
        <f>D378</f>
        <v>0.16781855220572128</v>
      </c>
      <c r="D207" s="348" t="s">
        <v>0</v>
      </c>
      <c r="E207" s="345"/>
      <c r="F207" s="345"/>
      <c r="G207" s="371"/>
      <c r="H207" s="345"/>
      <c r="I207" s="345"/>
      <c r="J207" s="345"/>
      <c r="K207" s="347"/>
      <c r="L207" s="345"/>
      <c r="M207" s="345"/>
      <c r="N207" s="345"/>
      <c r="O207" s="345"/>
      <c r="P207" s="345"/>
      <c r="Q207" s="345"/>
      <c r="R207" s="345"/>
      <c r="S207" s="345"/>
      <c r="T207" s="347"/>
      <c r="U207" s="345"/>
      <c r="V207" s="345"/>
      <c r="W207" s="345"/>
      <c r="X207" s="346"/>
    </row>
    <row r="208" spans="1:40" x14ac:dyDescent="0.45">
      <c r="A208" s="550"/>
      <c r="B208" s="357" t="s">
        <v>277</v>
      </c>
      <c r="C208" s="358">
        <f>D379</f>
        <v>3.5112119289704209E-2</v>
      </c>
      <c r="D208" s="348" t="s">
        <v>0</v>
      </c>
      <c r="E208" s="345"/>
      <c r="F208" s="345"/>
      <c r="G208" s="345"/>
      <c r="H208" s="345"/>
      <c r="I208" s="345"/>
      <c r="J208" s="345"/>
      <c r="K208" s="347"/>
      <c r="L208" s="345"/>
      <c r="M208" s="345"/>
      <c r="N208" s="345"/>
      <c r="O208" s="345"/>
      <c r="P208" s="345"/>
      <c r="Q208" s="345"/>
      <c r="R208" s="345"/>
      <c r="S208" s="345"/>
      <c r="T208" s="345"/>
      <c r="U208" s="345"/>
      <c r="V208" s="345"/>
      <c r="W208" s="345"/>
      <c r="X208" s="346"/>
    </row>
    <row r="209" spans="1:24" x14ac:dyDescent="0.45">
      <c r="A209" s="550"/>
      <c r="B209" s="357" t="s">
        <v>134</v>
      </c>
      <c r="C209" s="358">
        <f>X239</f>
        <v>0.10000000000000009</v>
      </c>
      <c r="D209" s="348" t="s">
        <v>0</v>
      </c>
      <c r="E209" s="345"/>
      <c r="F209" s="345"/>
      <c r="G209" s="345"/>
      <c r="H209" s="345"/>
      <c r="I209" s="345"/>
      <c r="J209" s="345"/>
      <c r="K209" s="345"/>
      <c r="L209" s="345"/>
      <c r="M209" s="345"/>
      <c r="N209" s="345"/>
      <c r="O209" s="345"/>
      <c r="P209" s="345"/>
      <c r="Q209" s="345"/>
      <c r="R209" s="345"/>
      <c r="S209" s="345"/>
      <c r="T209" s="345"/>
      <c r="U209" s="345"/>
      <c r="V209" s="345"/>
      <c r="W209" s="345"/>
      <c r="X209" s="346"/>
    </row>
    <row r="210" spans="1:24" x14ac:dyDescent="0.45">
      <c r="A210" s="550"/>
      <c r="B210" s="357" t="s">
        <v>146</v>
      </c>
      <c r="C210" s="349">
        <f>-1*SUM(U217,U246,U275,U304)</f>
        <v>261962646</v>
      </c>
      <c r="D210" s="348" t="s">
        <v>1</v>
      </c>
      <c r="E210" s="345"/>
      <c r="F210" s="345"/>
      <c r="G210" s="345"/>
      <c r="H210" s="345"/>
      <c r="I210" s="345"/>
      <c r="J210" s="345"/>
      <c r="K210" s="345"/>
      <c r="L210" s="345"/>
      <c r="M210" s="345"/>
      <c r="N210" s="345"/>
      <c r="O210" s="345"/>
      <c r="P210" s="345"/>
      <c r="Q210" s="345"/>
      <c r="R210" s="345"/>
      <c r="S210" s="345"/>
      <c r="T210" s="345"/>
      <c r="U210" s="376"/>
      <c r="V210" s="345"/>
      <c r="W210" s="345"/>
      <c r="X210" s="346"/>
    </row>
    <row r="211" spans="1:24" x14ac:dyDescent="0.45">
      <c r="A211" s="550"/>
      <c r="B211" s="357"/>
      <c r="C211" s="345"/>
      <c r="D211" s="358"/>
      <c r="E211" s="345"/>
      <c r="F211" s="348"/>
      <c r="G211" s="345"/>
      <c r="H211" s="345"/>
      <c r="I211" s="345"/>
      <c r="J211" s="345"/>
      <c r="K211" s="345"/>
      <c r="L211" s="345"/>
      <c r="M211" s="345"/>
      <c r="N211" s="345"/>
      <c r="O211" s="345"/>
      <c r="P211" s="345"/>
      <c r="Q211" s="345"/>
      <c r="R211" s="345"/>
      <c r="S211" s="345"/>
      <c r="T211" s="345"/>
      <c r="U211" s="345"/>
      <c r="V211" s="345"/>
      <c r="W211" s="345"/>
      <c r="X211" s="346"/>
    </row>
    <row r="212" spans="1:24" x14ac:dyDescent="0.45">
      <c r="A212" s="550"/>
      <c r="B212" s="357" t="s">
        <v>90</v>
      </c>
      <c r="C212" s="345"/>
      <c r="D212" s="358"/>
      <c r="E212" s="345"/>
      <c r="F212" s="348"/>
      <c r="G212" s="345"/>
      <c r="H212" s="345"/>
      <c r="I212" s="345"/>
      <c r="J212" s="345"/>
      <c r="K212" s="345"/>
      <c r="L212" s="345"/>
      <c r="M212" s="345"/>
      <c r="N212" s="345"/>
      <c r="O212" s="345"/>
      <c r="P212" s="345"/>
      <c r="Q212" s="345"/>
      <c r="R212" s="345"/>
      <c r="S212" s="345"/>
      <c r="T212" s="345"/>
      <c r="U212" s="345"/>
      <c r="V212" s="345"/>
      <c r="W212" s="345"/>
      <c r="X212" s="346"/>
    </row>
    <row r="213" spans="1:24" x14ac:dyDescent="0.45">
      <c r="A213" s="550"/>
      <c r="B213" s="344" t="s">
        <v>268</v>
      </c>
      <c r="C213" s="832">
        <f>$D$82*$C$75</f>
        <v>47232570</v>
      </c>
      <c r="D213" s="345" t="s">
        <v>1</v>
      </c>
      <c r="E213" s="345"/>
      <c r="F213" s="345"/>
      <c r="G213" s="345"/>
      <c r="H213" s="345"/>
      <c r="I213" s="345"/>
      <c r="J213" s="347"/>
      <c r="K213" s="345"/>
      <c r="L213" s="345"/>
      <c r="M213" s="345"/>
      <c r="N213" s="345"/>
      <c r="O213" s="345"/>
      <c r="P213" s="345"/>
      <c r="Q213" s="345"/>
      <c r="R213" s="345"/>
      <c r="S213" s="345"/>
      <c r="T213" s="345"/>
      <c r="U213" s="345"/>
      <c r="V213" s="345"/>
      <c r="W213" s="345"/>
      <c r="X213" s="346"/>
    </row>
    <row r="214" spans="1:24" x14ac:dyDescent="0.45">
      <c r="A214" s="550"/>
      <c r="B214" s="344" t="s">
        <v>269</v>
      </c>
      <c r="C214" s="832">
        <f>$E$82*$C$79</f>
        <v>9387840</v>
      </c>
      <c r="D214" s="345" t="s">
        <v>1</v>
      </c>
      <c r="E214" s="345"/>
      <c r="F214" s="345"/>
      <c r="G214" s="347"/>
      <c r="H214" s="345"/>
      <c r="I214" s="345"/>
      <c r="J214" s="345"/>
      <c r="K214" s="345"/>
      <c r="L214" s="345"/>
      <c r="M214" s="345"/>
      <c r="N214" s="345"/>
      <c r="O214" s="345"/>
      <c r="P214" s="345"/>
      <c r="Q214" s="345"/>
      <c r="R214" s="345"/>
      <c r="S214" s="345"/>
      <c r="T214" s="345"/>
      <c r="U214" s="345"/>
      <c r="V214" s="345"/>
      <c r="W214" s="345"/>
      <c r="X214" s="346"/>
    </row>
    <row r="215" spans="1:24" x14ac:dyDescent="0.45">
      <c r="A215" s="550"/>
      <c r="B215" s="829"/>
      <c r="C215" s="345"/>
      <c r="D215" s="358"/>
      <c r="E215" s="345"/>
      <c r="F215" s="348"/>
      <c r="G215" s="345"/>
      <c r="H215" s="345"/>
      <c r="I215" s="345"/>
      <c r="J215" s="345"/>
      <c r="K215" s="345"/>
      <c r="L215" s="345"/>
      <c r="M215" s="345"/>
      <c r="N215" s="345"/>
      <c r="O215" s="345"/>
      <c r="P215" s="345"/>
      <c r="Q215" s="345"/>
      <c r="R215" s="345"/>
      <c r="S215" s="345"/>
      <c r="T215" s="345"/>
      <c r="U215" s="345"/>
      <c r="V215" s="345"/>
      <c r="W215" s="345"/>
      <c r="X215" s="346"/>
    </row>
    <row r="216" spans="1:24" x14ac:dyDescent="0.45">
      <c r="A216" s="550"/>
      <c r="B216" s="354" t="s">
        <v>27</v>
      </c>
      <c r="C216" s="1040" t="s">
        <v>379</v>
      </c>
      <c r="D216" s="355" t="s">
        <v>128</v>
      </c>
      <c r="E216" s="355" t="s">
        <v>380</v>
      </c>
      <c r="F216" s="355" t="s">
        <v>245</v>
      </c>
      <c r="G216" s="355" t="s">
        <v>367</v>
      </c>
      <c r="H216" s="355" t="s">
        <v>368</v>
      </c>
      <c r="I216" s="355" t="s">
        <v>369</v>
      </c>
      <c r="J216" s="355" t="s">
        <v>370</v>
      </c>
      <c r="K216" s="355" t="s">
        <v>131</v>
      </c>
      <c r="L216" s="355" t="s">
        <v>130</v>
      </c>
      <c r="M216" s="355" t="s">
        <v>129</v>
      </c>
      <c r="N216" s="355" t="s">
        <v>374</v>
      </c>
      <c r="O216" s="355" t="s">
        <v>124</v>
      </c>
      <c r="P216" s="355" t="s">
        <v>125</v>
      </c>
      <c r="Q216" s="355" t="s">
        <v>126</v>
      </c>
      <c r="R216" s="355" t="s">
        <v>155</v>
      </c>
      <c r="S216" s="355" t="s">
        <v>157</v>
      </c>
      <c r="T216" s="355" t="s">
        <v>156</v>
      </c>
      <c r="U216" s="345" t="s">
        <v>280</v>
      </c>
      <c r="V216" s="355" t="s">
        <v>375</v>
      </c>
      <c r="W216" s="355" t="s">
        <v>373</v>
      </c>
      <c r="X216" s="835" t="s">
        <v>164</v>
      </c>
    </row>
    <row r="217" spans="1:24" x14ac:dyDescent="0.45">
      <c r="A217" s="550"/>
      <c r="B217" s="359">
        <v>0</v>
      </c>
      <c r="C217" s="1039">
        <v>0.13510223727276091</v>
      </c>
      <c r="D217" s="375">
        <v>0</v>
      </c>
      <c r="E217" s="833">
        <f>SUM(I30,IF(C80=0,0,(D92+L32*D92/(D92+D93))*E32),(G100+L33*G100/(G100+G101))*E33,I36,(E141+L34*E141/(E141+E142))*E34)</f>
        <v>0.10425118341565516</v>
      </c>
      <c r="F217" s="375">
        <v>0</v>
      </c>
      <c r="G217" s="345">
        <v>0</v>
      </c>
      <c r="H217" s="376">
        <f t="shared" ref="H217:H237" si="4">IF(D217&gt;0,-1*G217*$C$213,0)</f>
        <v>0</v>
      </c>
      <c r="I217" s="376">
        <v>0</v>
      </c>
      <c r="J217" s="376">
        <v>0</v>
      </c>
      <c r="K217" s="379">
        <f t="shared" ref="K217:K237" si="5">D217+F217+H217+J217</f>
        <v>0</v>
      </c>
      <c r="L217" s="375">
        <f t="shared" ref="L217:L237" si="6">IF(F217&lt;&gt;0,-1*($C$203+$C$204)*D217,0)</f>
        <v>0</v>
      </c>
      <c r="M217" s="375">
        <f t="shared" ref="M217:M237" si="7">K217+L217</f>
        <v>0</v>
      </c>
      <c r="N217" s="376">
        <f t="shared" ref="N217:N237" si="8">IF(V217&gt;0,V217-W217,0)</f>
        <v>0</v>
      </c>
      <c r="O217" s="347">
        <v>0</v>
      </c>
      <c r="P217" s="347">
        <v>0</v>
      </c>
      <c r="Q217" s="347">
        <v>0</v>
      </c>
      <c r="R217" s="376">
        <f>IF(M217&gt;0,-1*(M217+N217)*$C$202,0)</f>
        <v>0</v>
      </c>
      <c r="S217" s="375">
        <f t="shared" ref="S217:S237" si="9">IF(B217=$C$75,0,$C$205/12*(D218+F218+L218))</f>
        <v>2391740.7524743732</v>
      </c>
      <c r="T217" s="375">
        <f>S217</f>
        <v>2391740.7524743732</v>
      </c>
      <c r="U217" s="375">
        <f>-1*(C213+C214)</f>
        <v>-56620410</v>
      </c>
      <c r="V217" s="376">
        <v>0</v>
      </c>
      <c r="W217" s="347">
        <f>IF(B217&gt;$C$75,0,$C$214+SUM($J$217:J217))</f>
        <v>9387840</v>
      </c>
      <c r="X217" s="836">
        <f>-T217+U217</f>
        <v>-59012150.752474375</v>
      </c>
    </row>
    <row r="218" spans="1:24" x14ac:dyDescent="0.45">
      <c r="A218" s="550"/>
      <c r="B218" s="344">
        <v>1</v>
      </c>
      <c r="C218" s="1038">
        <f t="shared" ref="C218:C237" si="10">IF(B218&gt;$C$75,0,$C$217*(1+$C$199)^B218)</f>
        <v>0.13807448649276166</v>
      </c>
      <c r="D218" s="376">
        <f t="shared" ref="D218:D237" si="11">C218*$C$198*1000000</f>
        <v>77557357.943615541</v>
      </c>
      <c r="E218" s="1038">
        <f t="shared" ref="E218:E237" si="12">IF(B218&gt;$C$75,0,$E$217*(1+$C$200)^B218)</f>
        <v>0.10654470945079958</v>
      </c>
      <c r="F218" s="376">
        <f t="shared" ref="F218:F237" si="13">-1*E218*$C$198*1000000</f>
        <v>-59846872.349638417</v>
      </c>
      <c r="G218" s="345">
        <v>0.1429</v>
      </c>
      <c r="H218" s="376">
        <f t="shared" si="4"/>
        <v>-6749534.2529999996</v>
      </c>
      <c r="I218" s="345">
        <v>1.391E-2</v>
      </c>
      <c r="J218" s="376">
        <f t="shared" ref="J218:J237" si="14">IF(D218&gt;0,-1*$C$214*I218,0)</f>
        <v>-130584.85440000001</v>
      </c>
      <c r="K218" s="377">
        <f t="shared" si="5"/>
        <v>10830366.486577125</v>
      </c>
      <c r="L218" s="376">
        <f t="shared" si="6"/>
        <v>-8143522.5840796316</v>
      </c>
      <c r="M218" s="376">
        <f t="shared" si="7"/>
        <v>2686843.9024974937</v>
      </c>
      <c r="N218" s="376">
        <f t="shared" si="8"/>
        <v>0</v>
      </c>
      <c r="O218" s="347">
        <f t="shared" ref="O218:O237" si="15">IF(M218&lt;0,M218*-1,0)</f>
        <v>0</v>
      </c>
      <c r="P218" s="347">
        <f t="shared" ref="P218:P237" si="16">P217+O218-Q218</f>
        <v>0</v>
      </c>
      <c r="Q218" s="347">
        <f t="shared" ref="Q218:Q237" si="17">IF(B218=$C$75+1,O218,IF(AND(M218&gt;0, P217&gt;0), MIN(M218,P217),0))</f>
        <v>0</v>
      </c>
      <c r="R218" s="376">
        <f t="shared" ref="R218:R237" si="18">IF(M218&gt;0,-1*(M218+N218-Q218)*$C$202,0)</f>
        <v>-749629.44879680069</v>
      </c>
      <c r="S218" s="376">
        <f t="shared" si="9"/>
        <v>2444359.0490288101</v>
      </c>
      <c r="T218" s="376">
        <f t="shared" ref="T218:T237" si="19">(S218-S217)</f>
        <v>52618.296554436907</v>
      </c>
      <c r="U218" s="376"/>
      <c r="V218" s="376">
        <f t="shared" ref="V218:V237" si="20">IF(B218=$C$75,$C$214*(1-1/$C$79*B218),0)</f>
        <v>0</v>
      </c>
      <c r="W218" s="347">
        <f>IF(B218&gt;$C$75,0,$C$214+SUM($J$217:J218))</f>
        <v>9257255.1456000004</v>
      </c>
      <c r="X218" s="378">
        <f t="shared" ref="X218:X237" si="21">M218+R218-1*(H218+J218)-T218+U218+V218</f>
        <v>8764715.2645462546</v>
      </c>
    </row>
    <row r="219" spans="1:24" x14ac:dyDescent="0.45">
      <c r="A219" s="550"/>
      <c r="B219" s="344">
        <v>2</v>
      </c>
      <c r="C219" s="1038">
        <f t="shared" si="10"/>
        <v>0.1411121251956024</v>
      </c>
      <c r="D219" s="376">
        <f t="shared" si="11"/>
        <v>79263619.818375081</v>
      </c>
      <c r="E219" s="1038">
        <f t="shared" si="12"/>
        <v>0.10888869305871716</v>
      </c>
      <c r="F219" s="376">
        <f t="shared" si="13"/>
        <v>-61163503.541330457</v>
      </c>
      <c r="G219" s="345">
        <v>0.24490000000000001</v>
      </c>
      <c r="H219" s="376">
        <f t="shared" si="4"/>
        <v>-11567256.393000001</v>
      </c>
      <c r="I219" s="345">
        <v>2.564E-2</v>
      </c>
      <c r="J219" s="376">
        <f t="shared" si="14"/>
        <v>-240704.2176</v>
      </c>
      <c r="K219" s="377">
        <f t="shared" si="5"/>
        <v>6292155.6664446229</v>
      </c>
      <c r="L219" s="376">
        <f t="shared" si="6"/>
        <v>-8322680.0809293836</v>
      </c>
      <c r="M219" s="376">
        <f t="shared" si="7"/>
        <v>-2030524.4144847607</v>
      </c>
      <c r="N219" s="376">
        <f t="shared" si="8"/>
        <v>0</v>
      </c>
      <c r="O219" s="347">
        <f t="shared" si="15"/>
        <v>2030524.4144847607</v>
      </c>
      <c r="P219" s="347">
        <f t="shared" si="16"/>
        <v>2030524.4144847607</v>
      </c>
      <c r="Q219" s="347">
        <f t="shared" si="17"/>
        <v>0</v>
      </c>
      <c r="R219" s="376">
        <f t="shared" si="18"/>
        <v>0</v>
      </c>
      <c r="S219" s="376">
        <f t="shared" si="9"/>
        <v>2498134.9481074451</v>
      </c>
      <c r="T219" s="376">
        <f t="shared" si="19"/>
        <v>53775.899078635033</v>
      </c>
      <c r="U219" s="376"/>
      <c r="V219" s="376">
        <f t="shared" si="20"/>
        <v>0</v>
      </c>
      <c r="W219" s="347">
        <f>IF(B219&gt;$C$75,0,$C$214+SUM($J$217:J219))</f>
        <v>9016550.9279999994</v>
      </c>
      <c r="X219" s="378">
        <f t="shared" si="21"/>
        <v>9723660.297036605</v>
      </c>
    </row>
    <row r="220" spans="1:24" x14ac:dyDescent="0.45">
      <c r="A220" s="550"/>
      <c r="B220" s="344">
        <v>3</v>
      </c>
      <c r="C220" s="1038">
        <f t="shared" si="10"/>
        <v>0.14421659194990566</v>
      </c>
      <c r="D220" s="376">
        <f t="shared" si="11"/>
        <v>81007419.454379335</v>
      </c>
      <c r="E220" s="1038">
        <f t="shared" si="12"/>
        <v>0.11128424430600894</v>
      </c>
      <c r="F220" s="376">
        <f t="shared" si="13"/>
        <v>-62509100.619239725</v>
      </c>
      <c r="G220" s="345">
        <v>0.1749</v>
      </c>
      <c r="H220" s="376">
        <f t="shared" si="4"/>
        <v>-8260976.4929999998</v>
      </c>
      <c r="I220" s="345">
        <v>2.564E-2</v>
      </c>
      <c r="J220" s="376">
        <f t="shared" si="14"/>
        <v>-240704.2176</v>
      </c>
      <c r="K220" s="377">
        <f t="shared" si="5"/>
        <v>9996638.12453961</v>
      </c>
      <c r="L220" s="376">
        <f t="shared" si="6"/>
        <v>-8505779.0427098293</v>
      </c>
      <c r="M220" s="376">
        <f t="shared" si="7"/>
        <v>1490859.0818297807</v>
      </c>
      <c r="N220" s="376">
        <f t="shared" si="8"/>
        <v>0</v>
      </c>
      <c r="O220" s="347">
        <f t="shared" si="15"/>
        <v>0</v>
      </c>
      <c r="P220" s="347">
        <f t="shared" si="16"/>
        <v>539665.33265498001</v>
      </c>
      <c r="Q220" s="347">
        <f t="shared" si="17"/>
        <v>1490859.0818297807</v>
      </c>
      <c r="R220" s="376">
        <f t="shared" si="18"/>
        <v>0</v>
      </c>
      <c r="S220" s="376">
        <f t="shared" si="9"/>
        <v>2553093.9169658087</v>
      </c>
      <c r="T220" s="376">
        <f t="shared" si="19"/>
        <v>54958.968858363573</v>
      </c>
      <c r="U220" s="376"/>
      <c r="V220" s="376">
        <f t="shared" si="20"/>
        <v>0</v>
      </c>
      <c r="W220" s="347">
        <f>IF(B220&gt;$C$75,0,$C$214+SUM($J$217:J220))</f>
        <v>8775846.7104000002</v>
      </c>
      <c r="X220" s="378">
        <f t="shared" si="21"/>
        <v>9937580.8235714175</v>
      </c>
    </row>
    <row r="221" spans="1:24" x14ac:dyDescent="0.45">
      <c r="A221" s="550"/>
      <c r="B221" s="344">
        <v>4</v>
      </c>
      <c r="C221" s="1038">
        <f t="shared" si="10"/>
        <v>0.14738935697280359</v>
      </c>
      <c r="D221" s="376">
        <f t="shared" si="11"/>
        <v>82789582.682375684</v>
      </c>
      <c r="E221" s="1038">
        <f t="shared" si="12"/>
        <v>0.11373249768074115</v>
      </c>
      <c r="F221" s="376">
        <f t="shared" si="13"/>
        <v>-63884300.832863003</v>
      </c>
      <c r="G221" s="345">
        <v>0.1249</v>
      </c>
      <c r="H221" s="376">
        <f t="shared" si="4"/>
        <v>-5899347.9929999998</v>
      </c>
      <c r="I221" s="345">
        <v>2.564E-2</v>
      </c>
      <c r="J221" s="376">
        <f t="shared" si="14"/>
        <v>-240704.2176</v>
      </c>
      <c r="K221" s="377">
        <f t="shared" si="5"/>
        <v>12765229.638912681</v>
      </c>
      <c r="L221" s="376">
        <f t="shared" si="6"/>
        <v>-8692906.1816494465</v>
      </c>
      <c r="M221" s="376">
        <f t="shared" si="7"/>
        <v>4072323.457263235</v>
      </c>
      <c r="N221" s="376">
        <f t="shared" si="8"/>
        <v>0</v>
      </c>
      <c r="O221" s="347">
        <f t="shared" si="15"/>
        <v>0</v>
      </c>
      <c r="P221" s="347">
        <f t="shared" si="16"/>
        <v>0</v>
      </c>
      <c r="Q221" s="347">
        <f t="shared" si="17"/>
        <v>539665.33265498001</v>
      </c>
      <c r="R221" s="376">
        <f t="shared" si="18"/>
        <v>-985611.61676570307</v>
      </c>
      <c r="S221" s="376">
        <f t="shared" si="9"/>
        <v>2609261.9831390567</v>
      </c>
      <c r="T221" s="376">
        <f t="shared" si="19"/>
        <v>56168.066173247993</v>
      </c>
      <c r="U221" s="376"/>
      <c r="V221" s="376">
        <f t="shared" si="20"/>
        <v>0</v>
      </c>
      <c r="W221" s="347">
        <f>IF(B221&gt;$C$75,0,$C$214+SUM($J$217:J221))</f>
        <v>8535142.4927999992</v>
      </c>
      <c r="X221" s="378">
        <f t="shared" si="21"/>
        <v>9170595.9849242829</v>
      </c>
    </row>
    <row r="222" spans="1:24" x14ac:dyDescent="0.45">
      <c r="A222" s="550"/>
      <c r="B222" s="344">
        <v>5</v>
      </c>
      <c r="C222" s="1038">
        <f t="shared" si="10"/>
        <v>0.15063192282620527</v>
      </c>
      <c r="D222" s="376">
        <f t="shared" si="11"/>
        <v>84610953.501387939</v>
      </c>
      <c r="E222" s="1038">
        <f t="shared" si="12"/>
        <v>0.11623461262971745</v>
      </c>
      <c r="F222" s="376">
        <f t="shared" si="13"/>
        <v>-65289755.451185979</v>
      </c>
      <c r="G222" s="345">
        <v>8.9300000000000004E-2</v>
      </c>
      <c r="H222" s="376">
        <f t="shared" si="4"/>
        <v>-4217868.5010000002</v>
      </c>
      <c r="I222" s="345">
        <v>2.564E-2</v>
      </c>
      <c r="J222" s="376">
        <f t="shared" si="14"/>
        <v>-240704.2176</v>
      </c>
      <c r="K222" s="377">
        <f t="shared" si="5"/>
        <v>14862625.331601961</v>
      </c>
      <c r="L222" s="376">
        <f t="shared" si="6"/>
        <v>-8884150.1176457331</v>
      </c>
      <c r="M222" s="376">
        <f t="shared" si="7"/>
        <v>5978475.2139562275</v>
      </c>
      <c r="N222" s="376">
        <f t="shared" si="8"/>
        <v>0</v>
      </c>
      <c r="O222" s="347">
        <f t="shared" si="15"/>
        <v>0</v>
      </c>
      <c r="P222" s="347">
        <f t="shared" si="16"/>
        <v>0</v>
      </c>
      <c r="Q222" s="347">
        <f t="shared" si="17"/>
        <v>0</v>
      </c>
      <c r="R222" s="376">
        <f t="shared" si="18"/>
        <v>-1667994.5846937874</v>
      </c>
      <c r="S222" s="376">
        <f t="shared" si="9"/>
        <v>2666665.746768116</v>
      </c>
      <c r="T222" s="376">
        <f t="shared" si="19"/>
        <v>57403.763629059307</v>
      </c>
      <c r="U222" s="376"/>
      <c r="V222" s="376">
        <f t="shared" si="20"/>
        <v>0</v>
      </c>
      <c r="W222" s="347">
        <f>IF(B222&gt;$C$75,0,$C$214+SUM($J$217:J222))</f>
        <v>8294438.2752</v>
      </c>
      <c r="X222" s="378">
        <f t="shared" si="21"/>
        <v>8711649.5842333809</v>
      </c>
    </row>
    <row r="223" spans="1:24" x14ac:dyDescent="0.45">
      <c r="A223" s="550"/>
      <c r="B223" s="344">
        <v>6</v>
      </c>
      <c r="C223" s="1038">
        <f t="shared" si="10"/>
        <v>0.15394582512838176</v>
      </c>
      <c r="D223" s="376">
        <f t="shared" si="11"/>
        <v>86472394.478418469</v>
      </c>
      <c r="E223" s="1038">
        <f t="shared" si="12"/>
        <v>0.11879177410757122</v>
      </c>
      <c r="F223" s="376">
        <f t="shared" si="13"/>
        <v>-66726130.071112067</v>
      </c>
      <c r="G223" s="345">
        <v>8.9200000000000002E-2</v>
      </c>
      <c r="H223" s="376">
        <f t="shared" si="4"/>
        <v>-4213145.2439999999</v>
      </c>
      <c r="I223" s="345">
        <v>2.564E-2</v>
      </c>
      <c r="J223" s="376">
        <f t="shared" si="14"/>
        <v>-240704.2176</v>
      </c>
      <c r="K223" s="377">
        <f t="shared" si="5"/>
        <v>15292414.945706405</v>
      </c>
      <c r="L223" s="376">
        <f t="shared" si="6"/>
        <v>-9079601.4202339388</v>
      </c>
      <c r="M223" s="376">
        <f t="shared" si="7"/>
        <v>6212813.5254724659</v>
      </c>
      <c r="N223" s="376">
        <f t="shared" si="8"/>
        <v>0</v>
      </c>
      <c r="O223" s="347">
        <f t="shared" si="15"/>
        <v>0</v>
      </c>
      <c r="P223" s="347">
        <f t="shared" si="16"/>
        <v>0</v>
      </c>
      <c r="Q223" s="347">
        <f t="shared" si="17"/>
        <v>0</v>
      </c>
      <c r="R223" s="376">
        <f t="shared" si="18"/>
        <v>-1733374.9736068179</v>
      </c>
      <c r="S223" s="376">
        <f t="shared" si="9"/>
        <v>2725332.3931970103</v>
      </c>
      <c r="T223" s="376">
        <f t="shared" si="19"/>
        <v>58666.646428894252</v>
      </c>
      <c r="U223" s="376"/>
      <c r="V223" s="376">
        <f t="shared" si="20"/>
        <v>0</v>
      </c>
      <c r="W223" s="347">
        <f>IF(B223&gt;$C$75,0,$C$214+SUM($J$217:J223))</f>
        <v>8053734.0575999999</v>
      </c>
      <c r="X223" s="378">
        <f t="shared" si="21"/>
        <v>8874621.3670367543</v>
      </c>
    </row>
    <row r="224" spans="1:24" x14ac:dyDescent="0.45">
      <c r="A224" s="550"/>
      <c r="B224" s="344">
        <v>7</v>
      </c>
      <c r="C224" s="1038">
        <f t="shared" si="10"/>
        <v>0.15733263328120617</v>
      </c>
      <c r="D224" s="376">
        <f t="shared" si="11"/>
        <v>88374787.156943664</v>
      </c>
      <c r="E224" s="1038">
        <f t="shared" si="12"/>
        <v>0.12140519313793779</v>
      </c>
      <c r="F224" s="376">
        <f t="shared" si="13"/>
        <v>-68194104.932676539</v>
      </c>
      <c r="G224" s="345">
        <v>8.9300000000000004E-2</v>
      </c>
      <c r="H224" s="376">
        <f t="shared" si="4"/>
        <v>-4217868.5010000002</v>
      </c>
      <c r="I224" s="345">
        <v>2.564E-2</v>
      </c>
      <c r="J224" s="376">
        <f t="shared" si="14"/>
        <v>-240704.2176</v>
      </c>
      <c r="K224" s="377">
        <f t="shared" si="5"/>
        <v>15722109.505667126</v>
      </c>
      <c r="L224" s="376">
        <f t="shared" si="6"/>
        <v>-9279352.651479084</v>
      </c>
      <c r="M224" s="376">
        <f t="shared" si="7"/>
        <v>6442756.8541880418</v>
      </c>
      <c r="N224" s="376">
        <f t="shared" si="8"/>
        <v>0</v>
      </c>
      <c r="O224" s="347">
        <f t="shared" si="15"/>
        <v>0</v>
      </c>
      <c r="P224" s="347">
        <f t="shared" si="16"/>
        <v>0</v>
      </c>
      <c r="Q224" s="347">
        <f t="shared" si="17"/>
        <v>0</v>
      </c>
      <c r="R224" s="376">
        <f t="shared" si="18"/>
        <v>-1797529.1623184634</v>
      </c>
      <c r="S224" s="376">
        <f t="shared" si="9"/>
        <v>2785289.7058473462</v>
      </c>
      <c r="T224" s="376">
        <f t="shared" si="19"/>
        <v>59957.312650335953</v>
      </c>
      <c r="U224" s="376"/>
      <c r="V224" s="376">
        <f t="shared" si="20"/>
        <v>0</v>
      </c>
      <c r="W224" s="347">
        <f>IF(B224&gt;$C$75,0,$C$214+SUM($J$217:J224))</f>
        <v>7813029.8399999999</v>
      </c>
      <c r="X224" s="378">
        <f t="shared" si="21"/>
        <v>9043843.0978192426</v>
      </c>
    </row>
    <row r="225" spans="1:24" x14ac:dyDescent="0.45">
      <c r="A225" s="550"/>
      <c r="B225" s="344">
        <v>8</v>
      </c>
      <c r="C225" s="1038">
        <f t="shared" si="10"/>
        <v>0.16079395121339274</v>
      </c>
      <c r="D225" s="376">
        <f t="shared" si="11"/>
        <v>90319032.474396452</v>
      </c>
      <c r="E225" s="1038">
        <f t="shared" si="12"/>
        <v>0.12407610738697245</v>
      </c>
      <c r="F225" s="376">
        <f t="shared" si="13"/>
        <v>-69694375.24119544</v>
      </c>
      <c r="G225" s="345">
        <v>4.4600000000000001E-2</v>
      </c>
      <c r="H225" s="376">
        <f t="shared" si="4"/>
        <v>-2106572.622</v>
      </c>
      <c r="I225" s="345">
        <v>2.564E-2</v>
      </c>
      <c r="J225" s="376">
        <f t="shared" si="14"/>
        <v>-240704.2176</v>
      </c>
      <c r="K225" s="377">
        <f t="shared" si="5"/>
        <v>18277380.393601011</v>
      </c>
      <c r="L225" s="376">
        <f t="shared" si="6"/>
        <v>-9483498.4098116271</v>
      </c>
      <c r="M225" s="376">
        <f t="shared" si="7"/>
        <v>8793881.9837893844</v>
      </c>
      <c r="N225" s="376">
        <f t="shared" si="8"/>
        <v>0</v>
      </c>
      <c r="O225" s="347">
        <f t="shared" si="15"/>
        <v>0</v>
      </c>
      <c r="P225" s="347">
        <f t="shared" si="16"/>
        <v>0</v>
      </c>
      <c r="Q225" s="347">
        <f t="shared" si="17"/>
        <v>0</v>
      </c>
      <c r="R225" s="376">
        <f t="shared" si="18"/>
        <v>-2453493.073477238</v>
      </c>
      <c r="S225" s="376">
        <f t="shared" si="9"/>
        <v>2846566.0793759879</v>
      </c>
      <c r="T225" s="376">
        <f t="shared" si="19"/>
        <v>61276.373528641649</v>
      </c>
      <c r="U225" s="376"/>
      <c r="V225" s="376">
        <f t="shared" si="20"/>
        <v>0</v>
      </c>
      <c r="W225" s="347">
        <f>IF(B225&gt;$C$75,0,$C$214+SUM($J$217:J225))</f>
        <v>7572325.6223999998</v>
      </c>
      <c r="X225" s="378">
        <f t="shared" si="21"/>
        <v>8626389.3763835058</v>
      </c>
    </row>
    <row r="226" spans="1:24" x14ac:dyDescent="0.45">
      <c r="A226" s="550"/>
      <c r="B226" s="344">
        <v>9</v>
      </c>
      <c r="C226" s="1038">
        <f t="shared" si="10"/>
        <v>0.16433141814008737</v>
      </c>
      <c r="D226" s="376">
        <f t="shared" si="11"/>
        <v>92306051.188833162</v>
      </c>
      <c r="E226" s="1038">
        <f t="shared" si="12"/>
        <v>0.12680578174948584</v>
      </c>
      <c r="F226" s="376">
        <f t="shared" si="13"/>
        <v>-71227651.496501729</v>
      </c>
      <c r="G226" s="345">
        <v>0</v>
      </c>
      <c r="H226" s="376">
        <f t="shared" si="4"/>
        <v>0</v>
      </c>
      <c r="I226" s="345">
        <v>2.564E-2</v>
      </c>
      <c r="J226" s="376">
        <f t="shared" si="14"/>
        <v>-240704.2176</v>
      </c>
      <c r="K226" s="377">
        <f t="shared" si="5"/>
        <v>20837695.474731434</v>
      </c>
      <c r="L226" s="376">
        <f t="shared" si="6"/>
        <v>-9692135.3748274818</v>
      </c>
      <c r="M226" s="376">
        <f t="shared" si="7"/>
        <v>11145560.099903952</v>
      </c>
      <c r="N226" s="376">
        <f t="shared" si="8"/>
        <v>0</v>
      </c>
      <c r="O226" s="347">
        <f t="shared" si="15"/>
        <v>0</v>
      </c>
      <c r="P226" s="347">
        <f t="shared" si="16"/>
        <v>0</v>
      </c>
      <c r="Q226" s="347">
        <f t="shared" si="17"/>
        <v>0</v>
      </c>
      <c r="R226" s="376">
        <f t="shared" si="18"/>
        <v>-3109611.2678732025</v>
      </c>
      <c r="S226" s="376">
        <f t="shared" si="9"/>
        <v>2909190.5331222634</v>
      </c>
      <c r="T226" s="376">
        <f t="shared" si="19"/>
        <v>62624.453746275511</v>
      </c>
      <c r="U226" s="376"/>
      <c r="V226" s="376">
        <f t="shared" si="20"/>
        <v>0</v>
      </c>
      <c r="W226" s="347">
        <f>IF(B226&gt;$C$75,0,$C$214+SUM($J$217:J226))</f>
        <v>7331621.4047999997</v>
      </c>
      <c r="X226" s="378">
        <f t="shared" si="21"/>
        <v>8214028.595884474</v>
      </c>
    </row>
    <row r="227" spans="1:24" x14ac:dyDescent="0.45">
      <c r="A227" s="550"/>
      <c r="B227" s="344">
        <v>10</v>
      </c>
      <c r="C227" s="1038">
        <f t="shared" si="10"/>
        <v>0.1679467093391693</v>
      </c>
      <c r="D227" s="376">
        <f t="shared" si="11"/>
        <v>94336784.31498751</v>
      </c>
      <c r="E227" s="1038">
        <f t="shared" si="12"/>
        <v>0.12959550894797453</v>
      </c>
      <c r="F227" s="376">
        <f t="shared" si="13"/>
        <v>-72794659.829424769</v>
      </c>
      <c r="G227" s="345">
        <v>0</v>
      </c>
      <c r="H227" s="376">
        <f t="shared" si="4"/>
        <v>0</v>
      </c>
      <c r="I227" s="345">
        <v>2.564E-2</v>
      </c>
      <c r="J227" s="376">
        <f t="shared" si="14"/>
        <v>-240704.2176</v>
      </c>
      <c r="K227" s="377">
        <f t="shared" si="5"/>
        <v>21301420.267962743</v>
      </c>
      <c r="L227" s="376">
        <f t="shared" si="6"/>
        <v>-9905362.3530736882</v>
      </c>
      <c r="M227" s="376">
        <f t="shared" si="7"/>
        <v>11396057.914889054</v>
      </c>
      <c r="N227" s="376">
        <f t="shared" si="8"/>
        <v>-1458213.1871999996</v>
      </c>
      <c r="O227" s="347">
        <f t="shared" si="15"/>
        <v>0</v>
      </c>
      <c r="P227" s="347">
        <f t="shared" si="16"/>
        <v>0</v>
      </c>
      <c r="Q227" s="347">
        <f t="shared" si="17"/>
        <v>0</v>
      </c>
      <c r="R227" s="376">
        <f t="shared" si="18"/>
        <v>-2772658.6790252458</v>
      </c>
      <c r="S227" s="376">
        <f t="shared" si="9"/>
        <v>0</v>
      </c>
      <c r="T227" s="376">
        <f t="shared" si="19"/>
        <v>-2909190.5331222634</v>
      </c>
      <c r="U227" s="376"/>
      <c r="V227" s="376">
        <f t="shared" si="20"/>
        <v>5632704</v>
      </c>
      <c r="W227" s="347">
        <f>IF(B227&gt;$C$75,0,$C$214+SUM($J$217:J227))</f>
        <v>7090917.1871999996</v>
      </c>
      <c r="X227" s="378">
        <f t="shared" si="21"/>
        <v>17405997.986586072</v>
      </c>
    </row>
    <row r="228" spans="1:24" x14ac:dyDescent="0.45">
      <c r="A228" s="550"/>
      <c r="B228" s="344">
        <v>11</v>
      </c>
      <c r="C228" s="1038">
        <f t="shared" si="10"/>
        <v>0</v>
      </c>
      <c r="D228" s="376">
        <f t="shared" si="11"/>
        <v>0</v>
      </c>
      <c r="E228" s="1038">
        <f t="shared" si="12"/>
        <v>0</v>
      </c>
      <c r="F228" s="376">
        <f t="shared" si="13"/>
        <v>0</v>
      </c>
      <c r="G228" s="345">
        <v>0</v>
      </c>
      <c r="H228" s="376">
        <f t="shared" si="4"/>
        <v>0</v>
      </c>
      <c r="I228" s="345">
        <v>2.564E-2</v>
      </c>
      <c r="J228" s="376">
        <f t="shared" si="14"/>
        <v>0</v>
      </c>
      <c r="K228" s="377">
        <f t="shared" si="5"/>
        <v>0</v>
      </c>
      <c r="L228" s="376">
        <f t="shared" si="6"/>
        <v>0</v>
      </c>
      <c r="M228" s="376">
        <f t="shared" si="7"/>
        <v>0</v>
      </c>
      <c r="N228" s="376">
        <f t="shared" si="8"/>
        <v>0</v>
      </c>
      <c r="O228" s="347">
        <f t="shared" si="15"/>
        <v>0</v>
      </c>
      <c r="P228" s="347">
        <f t="shared" si="16"/>
        <v>0</v>
      </c>
      <c r="Q228" s="347">
        <f t="shared" si="17"/>
        <v>0</v>
      </c>
      <c r="R228" s="376">
        <f t="shared" si="18"/>
        <v>0</v>
      </c>
      <c r="S228" s="376">
        <f t="shared" si="9"/>
        <v>0</v>
      </c>
      <c r="T228" s="376">
        <f t="shared" si="19"/>
        <v>0</v>
      </c>
      <c r="U228" s="376"/>
      <c r="V228" s="376">
        <f t="shared" si="20"/>
        <v>0</v>
      </c>
      <c r="W228" s="347">
        <f>IF(B228&gt;$C$75,0,$C$214+SUM($J$217:J228))</f>
        <v>0</v>
      </c>
      <c r="X228" s="378">
        <f t="shared" si="21"/>
        <v>0</v>
      </c>
    </row>
    <row r="229" spans="1:24" x14ac:dyDescent="0.45">
      <c r="A229" s="550"/>
      <c r="B229" s="344">
        <v>12</v>
      </c>
      <c r="C229" s="1038">
        <f t="shared" si="10"/>
        <v>0</v>
      </c>
      <c r="D229" s="376">
        <f t="shared" si="11"/>
        <v>0</v>
      </c>
      <c r="E229" s="1038">
        <f t="shared" si="12"/>
        <v>0</v>
      </c>
      <c r="F229" s="376">
        <f t="shared" si="13"/>
        <v>0</v>
      </c>
      <c r="G229" s="345">
        <v>0</v>
      </c>
      <c r="H229" s="376">
        <f t="shared" si="4"/>
        <v>0</v>
      </c>
      <c r="I229" s="345">
        <v>2.564E-2</v>
      </c>
      <c r="J229" s="376">
        <f t="shared" si="14"/>
        <v>0</v>
      </c>
      <c r="K229" s="377">
        <f t="shared" si="5"/>
        <v>0</v>
      </c>
      <c r="L229" s="376">
        <f t="shared" si="6"/>
        <v>0</v>
      </c>
      <c r="M229" s="376">
        <f t="shared" si="7"/>
        <v>0</v>
      </c>
      <c r="N229" s="376">
        <f t="shared" si="8"/>
        <v>0</v>
      </c>
      <c r="O229" s="347">
        <f t="shared" si="15"/>
        <v>0</v>
      </c>
      <c r="P229" s="347">
        <f t="shared" si="16"/>
        <v>0</v>
      </c>
      <c r="Q229" s="347">
        <f t="shared" si="17"/>
        <v>0</v>
      </c>
      <c r="R229" s="376">
        <f t="shared" si="18"/>
        <v>0</v>
      </c>
      <c r="S229" s="376">
        <f t="shared" si="9"/>
        <v>0</v>
      </c>
      <c r="T229" s="376">
        <f t="shared" si="19"/>
        <v>0</v>
      </c>
      <c r="U229" s="376"/>
      <c r="V229" s="376">
        <f t="shared" si="20"/>
        <v>0</v>
      </c>
      <c r="W229" s="347">
        <f>IF(B229&gt;$C$75,0,$C$214+SUM($J$217:J229))</f>
        <v>0</v>
      </c>
      <c r="X229" s="378">
        <f t="shared" si="21"/>
        <v>0</v>
      </c>
    </row>
    <row r="230" spans="1:24" x14ac:dyDescent="0.45">
      <c r="A230" s="550"/>
      <c r="B230" s="344">
        <v>13</v>
      </c>
      <c r="C230" s="1038">
        <f t="shared" si="10"/>
        <v>0</v>
      </c>
      <c r="D230" s="376">
        <f t="shared" si="11"/>
        <v>0</v>
      </c>
      <c r="E230" s="1038">
        <f t="shared" si="12"/>
        <v>0</v>
      </c>
      <c r="F230" s="376">
        <f t="shared" si="13"/>
        <v>0</v>
      </c>
      <c r="G230" s="345">
        <v>0</v>
      </c>
      <c r="H230" s="376">
        <f t="shared" si="4"/>
        <v>0</v>
      </c>
      <c r="I230" s="345">
        <v>2.564E-2</v>
      </c>
      <c r="J230" s="376">
        <f t="shared" si="14"/>
        <v>0</v>
      </c>
      <c r="K230" s="377">
        <f t="shared" si="5"/>
        <v>0</v>
      </c>
      <c r="L230" s="376">
        <f t="shared" si="6"/>
        <v>0</v>
      </c>
      <c r="M230" s="376">
        <f t="shared" si="7"/>
        <v>0</v>
      </c>
      <c r="N230" s="376">
        <f t="shared" si="8"/>
        <v>0</v>
      </c>
      <c r="O230" s="347">
        <f t="shared" si="15"/>
        <v>0</v>
      </c>
      <c r="P230" s="347">
        <f t="shared" si="16"/>
        <v>0</v>
      </c>
      <c r="Q230" s="347">
        <f t="shared" si="17"/>
        <v>0</v>
      </c>
      <c r="R230" s="376">
        <f t="shared" si="18"/>
        <v>0</v>
      </c>
      <c r="S230" s="376">
        <f t="shared" si="9"/>
        <v>0</v>
      </c>
      <c r="T230" s="376">
        <f t="shared" si="19"/>
        <v>0</v>
      </c>
      <c r="U230" s="376"/>
      <c r="V230" s="376">
        <f t="shared" si="20"/>
        <v>0</v>
      </c>
      <c r="W230" s="347">
        <f>IF(B230&gt;$C$75,0,$C$214+SUM($J$217:J230))</f>
        <v>0</v>
      </c>
      <c r="X230" s="378">
        <f t="shared" si="21"/>
        <v>0</v>
      </c>
    </row>
    <row r="231" spans="1:24" x14ac:dyDescent="0.45">
      <c r="A231" s="550"/>
      <c r="B231" s="344">
        <v>14</v>
      </c>
      <c r="C231" s="1038">
        <f t="shared" si="10"/>
        <v>0</v>
      </c>
      <c r="D231" s="376">
        <f t="shared" si="11"/>
        <v>0</v>
      </c>
      <c r="E231" s="1038">
        <f t="shared" si="12"/>
        <v>0</v>
      </c>
      <c r="F231" s="376">
        <f t="shared" si="13"/>
        <v>0</v>
      </c>
      <c r="G231" s="345">
        <v>0</v>
      </c>
      <c r="H231" s="376">
        <f t="shared" si="4"/>
        <v>0</v>
      </c>
      <c r="I231" s="345">
        <v>2.564E-2</v>
      </c>
      <c r="J231" s="376">
        <f t="shared" si="14"/>
        <v>0</v>
      </c>
      <c r="K231" s="377">
        <f t="shared" si="5"/>
        <v>0</v>
      </c>
      <c r="L231" s="376">
        <f t="shared" si="6"/>
        <v>0</v>
      </c>
      <c r="M231" s="376">
        <f t="shared" si="7"/>
        <v>0</v>
      </c>
      <c r="N231" s="376">
        <f t="shared" si="8"/>
        <v>0</v>
      </c>
      <c r="O231" s="347">
        <f t="shared" si="15"/>
        <v>0</v>
      </c>
      <c r="P231" s="347">
        <f t="shared" si="16"/>
        <v>0</v>
      </c>
      <c r="Q231" s="347">
        <f t="shared" si="17"/>
        <v>0</v>
      </c>
      <c r="R231" s="376">
        <f t="shared" si="18"/>
        <v>0</v>
      </c>
      <c r="S231" s="376">
        <f t="shared" si="9"/>
        <v>0</v>
      </c>
      <c r="T231" s="376">
        <f t="shared" si="19"/>
        <v>0</v>
      </c>
      <c r="U231" s="376"/>
      <c r="V231" s="376">
        <f t="shared" si="20"/>
        <v>0</v>
      </c>
      <c r="W231" s="347">
        <f>IF(B231&gt;$C$75,0,$C$214+SUM($J$217:J231))</f>
        <v>0</v>
      </c>
      <c r="X231" s="378">
        <f t="shared" si="21"/>
        <v>0</v>
      </c>
    </row>
    <row r="232" spans="1:24" x14ac:dyDescent="0.45">
      <c r="A232" s="550"/>
      <c r="B232" s="344">
        <v>15</v>
      </c>
      <c r="C232" s="1038">
        <f t="shared" si="10"/>
        <v>0</v>
      </c>
      <c r="D232" s="376">
        <f t="shared" si="11"/>
        <v>0</v>
      </c>
      <c r="E232" s="1038">
        <f t="shared" si="12"/>
        <v>0</v>
      </c>
      <c r="F232" s="376">
        <f t="shared" si="13"/>
        <v>0</v>
      </c>
      <c r="G232" s="345">
        <v>0</v>
      </c>
      <c r="H232" s="376">
        <f t="shared" si="4"/>
        <v>0</v>
      </c>
      <c r="I232" s="345">
        <v>2.564E-2</v>
      </c>
      <c r="J232" s="376">
        <f t="shared" si="14"/>
        <v>0</v>
      </c>
      <c r="K232" s="377">
        <f t="shared" si="5"/>
        <v>0</v>
      </c>
      <c r="L232" s="376">
        <f t="shared" si="6"/>
        <v>0</v>
      </c>
      <c r="M232" s="376">
        <f t="shared" si="7"/>
        <v>0</v>
      </c>
      <c r="N232" s="376">
        <f t="shared" si="8"/>
        <v>0</v>
      </c>
      <c r="O232" s="347">
        <f t="shared" si="15"/>
        <v>0</v>
      </c>
      <c r="P232" s="347">
        <f t="shared" si="16"/>
        <v>0</v>
      </c>
      <c r="Q232" s="347">
        <f t="shared" si="17"/>
        <v>0</v>
      </c>
      <c r="R232" s="376">
        <f t="shared" si="18"/>
        <v>0</v>
      </c>
      <c r="S232" s="376">
        <f t="shared" si="9"/>
        <v>0</v>
      </c>
      <c r="T232" s="376">
        <f t="shared" si="19"/>
        <v>0</v>
      </c>
      <c r="U232" s="376"/>
      <c r="V232" s="376">
        <f t="shared" si="20"/>
        <v>0</v>
      </c>
      <c r="W232" s="347">
        <f>IF(B232&gt;$C$75,0,$C$214+SUM($J$217:J232))</f>
        <v>0</v>
      </c>
      <c r="X232" s="378">
        <f t="shared" si="21"/>
        <v>0</v>
      </c>
    </row>
    <row r="233" spans="1:24" x14ac:dyDescent="0.45">
      <c r="A233" s="550"/>
      <c r="B233" s="344">
        <v>16</v>
      </c>
      <c r="C233" s="1038">
        <f t="shared" si="10"/>
        <v>0</v>
      </c>
      <c r="D233" s="376">
        <f t="shared" si="11"/>
        <v>0</v>
      </c>
      <c r="E233" s="1038">
        <f t="shared" si="12"/>
        <v>0</v>
      </c>
      <c r="F233" s="376">
        <f t="shared" si="13"/>
        <v>0</v>
      </c>
      <c r="G233" s="345">
        <v>0</v>
      </c>
      <c r="H233" s="376">
        <f t="shared" si="4"/>
        <v>0</v>
      </c>
      <c r="I233" s="345">
        <v>2.564E-2</v>
      </c>
      <c r="J233" s="376">
        <f t="shared" si="14"/>
        <v>0</v>
      </c>
      <c r="K233" s="377">
        <f t="shared" si="5"/>
        <v>0</v>
      </c>
      <c r="L233" s="376">
        <f t="shared" si="6"/>
        <v>0</v>
      </c>
      <c r="M233" s="376">
        <f t="shared" si="7"/>
        <v>0</v>
      </c>
      <c r="N233" s="376">
        <f t="shared" si="8"/>
        <v>0</v>
      </c>
      <c r="O233" s="347">
        <f t="shared" si="15"/>
        <v>0</v>
      </c>
      <c r="P233" s="347">
        <f t="shared" si="16"/>
        <v>0</v>
      </c>
      <c r="Q233" s="347">
        <f t="shared" si="17"/>
        <v>0</v>
      </c>
      <c r="R233" s="376">
        <f t="shared" si="18"/>
        <v>0</v>
      </c>
      <c r="S233" s="376">
        <f t="shared" si="9"/>
        <v>0</v>
      </c>
      <c r="T233" s="376">
        <f t="shared" si="19"/>
        <v>0</v>
      </c>
      <c r="U233" s="376"/>
      <c r="V233" s="376">
        <f t="shared" si="20"/>
        <v>0</v>
      </c>
      <c r="W233" s="347">
        <f>IF(B233&gt;$C$75,0,$C$214+SUM($J$217:J233))</f>
        <v>0</v>
      </c>
      <c r="X233" s="378">
        <f t="shared" si="21"/>
        <v>0</v>
      </c>
    </row>
    <row r="234" spans="1:24" x14ac:dyDescent="0.45">
      <c r="A234" s="550"/>
      <c r="B234" s="344">
        <v>17</v>
      </c>
      <c r="C234" s="1038">
        <f t="shared" si="10"/>
        <v>0</v>
      </c>
      <c r="D234" s="376">
        <f t="shared" si="11"/>
        <v>0</v>
      </c>
      <c r="E234" s="1038">
        <f t="shared" si="12"/>
        <v>0</v>
      </c>
      <c r="F234" s="376">
        <f t="shared" si="13"/>
        <v>0</v>
      </c>
      <c r="G234" s="345">
        <v>0</v>
      </c>
      <c r="H234" s="376">
        <f t="shared" si="4"/>
        <v>0</v>
      </c>
      <c r="I234" s="345">
        <v>2.564E-2</v>
      </c>
      <c r="J234" s="376">
        <f t="shared" si="14"/>
        <v>0</v>
      </c>
      <c r="K234" s="377">
        <f t="shared" si="5"/>
        <v>0</v>
      </c>
      <c r="L234" s="376">
        <f t="shared" si="6"/>
        <v>0</v>
      </c>
      <c r="M234" s="376">
        <f t="shared" si="7"/>
        <v>0</v>
      </c>
      <c r="N234" s="376">
        <f t="shared" si="8"/>
        <v>0</v>
      </c>
      <c r="O234" s="347">
        <f t="shared" si="15"/>
        <v>0</v>
      </c>
      <c r="P234" s="347">
        <f t="shared" si="16"/>
        <v>0</v>
      </c>
      <c r="Q234" s="347">
        <f t="shared" si="17"/>
        <v>0</v>
      </c>
      <c r="R234" s="376">
        <f t="shared" si="18"/>
        <v>0</v>
      </c>
      <c r="S234" s="376">
        <f t="shared" si="9"/>
        <v>0</v>
      </c>
      <c r="T234" s="376">
        <f t="shared" si="19"/>
        <v>0</v>
      </c>
      <c r="U234" s="376"/>
      <c r="V234" s="376">
        <f t="shared" si="20"/>
        <v>0</v>
      </c>
      <c r="W234" s="347">
        <f>IF(B234&gt;$C$75,0,$C$214+SUM($J$217:J234))</f>
        <v>0</v>
      </c>
      <c r="X234" s="378">
        <f t="shared" si="21"/>
        <v>0</v>
      </c>
    </row>
    <row r="235" spans="1:24" x14ac:dyDescent="0.45">
      <c r="A235" s="550"/>
      <c r="B235" s="344">
        <v>18</v>
      </c>
      <c r="C235" s="1038">
        <f t="shared" si="10"/>
        <v>0</v>
      </c>
      <c r="D235" s="376">
        <f t="shared" si="11"/>
        <v>0</v>
      </c>
      <c r="E235" s="1038">
        <f t="shared" si="12"/>
        <v>0</v>
      </c>
      <c r="F235" s="376">
        <f t="shared" si="13"/>
        <v>0</v>
      </c>
      <c r="G235" s="345">
        <v>0</v>
      </c>
      <c r="H235" s="376">
        <f t="shared" si="4"/>
        <v>0</v>
      </c>
      <c r="I235" s="345">
        <v>2.564E-2</v>
      </c>
      <c r="J235" s="376">
        <f t="shared" si="14"/>
        <v>0</v>
      </c>
      <c r="K235" s="377">
        <f t="shared" si="5"/>
        <v>0</v>
      </c>
      <c r="L235" s="376">
        <f t="shared" si="6"/>
        <v>0</v>
      </c>
      <c r="M235" s="376">
        <f t="shared" si="7"/>
        <v>0</v>
      </c>
      <c r="N235" s="376">
        <f t="shared" si="8"/>
        <v>0</v>
      </c>
      <c r="O235" s="347">
        <f t="shared" si="15"/>
        <v>0</v>
      </c>
      <c r="P235" s="347">
        <f t="shared" si="16"/>
        <v>0</v>
      </c>
      <c r="Q235" s="347">
        <f t="shared" si="17"/>
        <v>0</v>
      </c>
      <c r="R235" s="376">
        <f t="shared" si="18"/>
        <v>0</v>
      </c>
      <c r="S235" s="376">
        <f t="shared" si="9"/>
        <v>0</v>
      </c>
      <c r="T235" s="376">
        <f t="shared" si="19"/>
        <v>0</v>
      </c>
      <c r="U235" s="376"/>
      <c r="V235" s="376">
        <f t="shared" si="20"/>
        <v>0</v>
      </c>
      <c r="W235" s="347">
        <f>IF(B235&gt;$C$75,0,$C$214+SUM($J$217:J235))</f>
        <v>0</v>
      </c>
      <c r="X235" s="378">
        <f t="shared" si="21"/>
        <v>0</v>
      </c>
    </row>
    <row r="236" spans="1:24" x14ac:dyDescent="0.45">
      <c r="A236" s="550"/>
      <c r="B236" s="344">
        <v>19</v>
      </c>
      <c r="C236" s="1038">
        <f t="shared" si="10"/>
        <v>0</v>
      </c>
      <c r="D236" s="376">
        <f t="shared" si="11"/>
        <v>0</v>
      </c>
      <c r="E236" s="1038">
        <f t="shared" si="12"/>
        <v>0</v>
      </c>
      <c r="F236" s="376">
        <f t="shared" si="13"/>
        <v>0</v>
      </c>
      <c r="G236" s="345">
        <v>0</v>
      </c>
      <c r="H236" s="376">
        <f t="shared" si="4"/>
        <v>0</v>
      </c>
      <c r="I236" s="345">
        <v>2.564E-2</v>
      </c>
      <c r="J236" s="376">
        <f t="shared" si="14"/>
        <v>0</v>
      </c>
      <c r="K236" s="377">
        <f t="shared" si="5"/>
        <v>0</v>
      </c>
      <c r="L236" s="376">
        <f t="shared" si="6"/>
        <v>0</v>
      </c>
      <c r="M236" s="376">
        <f t="shared" si="7"/>
        <v>0</v>
      </c>
      <c r="N236" s="376">
        <f t="shared" si="8"/>
        <v>0</v>
      </c>
      <c r="O236" s="347">
        <f t="shared" si="15"/>
        <v>0</v>
      </c>
      <c r="P236" s="347">
        <f t="shared" si="16"/>
        <v>0</v>
      </c>
      <c r="Q236" s="347">
        <f t="shared" si="17"/>
        <v>0</v>
      </c>
      <c r="R236" s="376">
        <f t="shared" si="18"/>
        <v>0</v>
      </c>
      <c r="S236" s="376">
        <f t="shared" si="9"/>
        <v>0</v>
      </c>
      <c r="T236" s="376">
        <f t="shared" si="19"/>
        <v>0</v>
      </c>
      <c r="U236" s="376"/>
      <c r="V236" s="376">
        <f t="shared" si="20"/>
        <v>0</v>
      </c>
      <c r="W236" s="347">
        <f>IF(B236&gt;$C$75,0,$C$214+SUM($J$217:J236))</f>
        <v>0</v>
      </c>
      <c r="X236" s="378">
        <f t="shared" si="21"/>
        <v>0</v>
      </c>
    </row>
    <row r="237" spans="1:24" x14ac:dyDescent="0.45">
      <c r="A237" s="550"/>
      <c r="B237" s="344">
        <v>20</v>
      </c>
      <c r="C237" s="1038">
        <f t="shared" si="10"/>
        <v>0</v>
      </c>
      <c r="D237" s="376">
        <f t="shared" si="11"/>
        <v>0</v>
      </c>
      <c r="E237" s="1038">
        <f t="shared" si="12"/>
        <v>0</v>
      </c>
      <c r="F237" s="376">
        <f t="shared" si="13"/>
        <v>0</v>
      </c>
      <c r="G237" s="345">
        <v>0</v>
      </c>
      <c r="H237" s="376">
        <f t="shared" si="4"/>
        <v>0</v>
      </c>
      <c r="I237" s="345">
        <v>2.564E-2</v>
      </c>
      <c r="J237" s="376">
        <f t="shared" si="14"/>
        <v>0</v>
      </c>
      <c r="K237" s="377">
        <f t="shared" si="5"/>
        <v>0</v>
      </c>
      <c r="L237" s="376">
        <f t="shared" si="6"/>
        <v>0</v>
      </c>
      <c r="M237" s="376">
        <f t="shared" si="7"/>
        <v>0</v>
      </c>
      <c r="N237" s="376">
        <f t="shared" si="8"/>
        <v>0</v>
      </c>
      <c r="O237" s="347">
        <f t="shared" si="15"/>
        <v>0</v>
      </c>
      <c r="P237" s="347">
        <f t="shared" si="16"/>
        <v>0</v>
      </c>
      <c r="Q237" s="347">
        <f t="shared" si="17"/>
        <v>0</v>
      </c>
      <c r="R237" s="376">
        <f t="shared" si="18"/>
        <v>0</v>
      </c>
      <c r="S237" s="376">
        <f t="shared" si="9"/>
        <v>0</v>
      </c>
      <c r="T237" s="376">
        <f t="shared" si="19"/>
        <v>0</v>
      </c>
      <c r="U237" s="376"/>
      <c r="V237" s="376">
        <f t="shared" si="20"/>
        <v>0</v>
      </c>
      <c r="W237" s="347">
        <f>IF(B237&gt;$C$75,0,$C$214+SUM($J$217:J237))</f>
        <v>0</v>
      </c>
      <c r="X237" s="378">
        <f t="shared" si="21"/>
        <v>0</v>
      </c>
    </row>
    <row r="238" spans="1:24" x14ac:dyDescent="0.45">
      <c r="A238" s="550"/>
      <c r="B238" s="344"/>
      <c r="C238" s="1038"/>
      <c r="D238" s="349"/>
      <c r="E238" s="345"/>
      <c r="F238" s="349"/>
      <c r="G238" s="345"/>
      <c r="H238" s="349"/>
      <c r="I238" s="345"/>
      <c r="J238" s="349"/>
      <c r="K238" s="349"/>
      <c r="L238" s="349"/>
      <c r="M238" s="349"/>
      <c r="N238" s="345"/>
      <c r="O238" s="345"/>
      <c r="P238" s="345"/>
      <c r="Q238" s="345"/>
      <c r="R238" s="349"/>
      <c r="S238" s="349"/>
      <c r="T238" s="345"/>
      <c r="U238" s="345"/>
      <c r="V238" s="345"/>
      <c r="W238" s="348" t="s">
        <v>158</v>
      </c>
      <c r="X238" s="353">
        <f>NPV($C$201,X218:X237)+X217</f>
        <v>0</v>
      </c>
    </row>
    <row r="239" spans="1:24" x14ac:dyDescent="0.45">
      <c r="A239" s="550"/>
      <c r="B239" s="344"/>
      <c r="C239" s="1038"/>
      <c r="D239" s="360"/>
      <c r="E239" s="345"/>
      <c r="F239" s="360"/>
      <c r="G239" s="345"/>
      <c r="H239" s="360"/>
      <c r="I239" s="345"/>
      <c r="J239" s="360"/>
      <c r="K239" s="360"/>
      <c r="L239" s="360"/>
      <c r="M239" s="360"/>
      <c r="N239" s="345"/>
      <c r="O239" s="345"/>
      <c r="P239" s="345"/>
      <c r="Q239" s="345"/>
      <c r="R239" s="360"/>
      <c r="S239" s="360"/>
      <c r="T239" s="345"/>
      <c r="U239" s="345"/>
      <c r="V239" s="345"/>
      <c r="W239" s="348" t="s">
        <v>134</v>
      </c>
      <c r="X239" s="837">
        <f>IRR(X217:X237,0.1)</f>
        <v>0.10000000000000009</v>
      </c>
    </row>
    <row r="240" spans="1:24" x14ac:dyDescent="0.45">
      <c r="A240" s="550"/>
      <c r="B240" s="344"/>
      <c r="C240" s="1038"/>
      <c r="D240" s="828"/>
      <c r="E240" s="345"/>
      <c r="F240" s="345"/>
      <c r="G240" s="345"/>
      <c r="H240" s="345"/>
      <c r="I240" s="345"/>
      <c r="J240" s="345"/>
      <c r="K240" s="348"/>
      <c r="L240" s="345"/>
      <c r="M240" s="345"/>
      <c r="N240" s="345"/>
      <c r="O240" s="345"/>
      <c r="P240" s="345"/>
      <c r="Q240" s="345"/>
      <c r="R240" s="345"/>
      <c r="S240" s="345"/>
      <c r="T240" s="345"/>
      <c r="U240" s="345"/>
      <c r="V240" s="345"/>
      <c r="W240" s="345"/>
      <c r="X240" s="346"/>
    </row>
    <row r="241" spans="1:24" x14ac:dyDescent="0.45">
      <c r="A241" s="550"/>
      <c r="B241" s="357" t="s">
        <v>30</v>
      </c>
      <c r="C241" s="1038"/>
      <c r="D241" s="358"/>
      <c r="E241" s="345"/>
      <c r="F241" s="348"/>
      <c r="G241" s="345"/>
      <c r="H241" s="345"/>
      <c r="I241" s="345"/>
      <c r="J241" s="345"/>
      <c r="K241" s="345"/>
      <c r="L241" s="345"/>
      <c r="M241" s="345"/>
      <c r="N241" s="345"/>
      <c r="O241" s="345"/>
      <c r="P241" s="345"/>
      <c r="Q241" s="345"/>
      <c r="R241" s="345"/>
      <c r="S241" s="345"/>
      <c r="T241" s="345"/>
      <c r="U241" s="345"/>
      <c r="V241" s="345"/>
      <c r="W241" s="345"/>
      <c r="X241" s="346"/>
    </row>
    <row r="242" spans="1:24" x14ac:dyDescent="0.45">
      <c r="A242" s="550"/>
      <c r="B242" s="344" t="s">
        <v>270</v>
      </c>
      <c r="C242" s="832">
        <f>$D$83*$C$76</f>
        <v>57936384</v>
      </c>
      <c r="D242" s="345" t="s">
        <v>1</v>
      </c>
      <c r="E242" s="345"/>
      <c r="F242" s="345"/>
      <c r="G242" s="345"/>
      <c r="H242" s="345"/>
      <c r="I242" s="345"/>
      <c r="J242" s="345"/>
      <c r="K242" s="345"/>
      <c r="L242" s="345"/>
      <c r="M242" s="345"/>
      <c r="N242" s="345"/>
      <c r="O242" s="345"/>
      <c r="P242" s="345"/>
      <c r="Q242" s="345"/>
      <c r="R242" s="345"/>
      <c r="S242" s="345"/>
      <c r="T242" s="345"/>
      <c r="U242" s="345"/>
      <c r="V242" s="345"/>
      <c r="W242" s="345"/>
      <c r="X242" s="346"/>
    </row>
    <row r="243" spans="1:24" x14ac:dyDescent="0.45">
      <c r="A243" s="550"/>
      <c r="B243" s="344" t="s">
        <v>271</v>
      </c>
      <c r="C243" s="832">
        <f>$E$83*$C$79</f>
        <v>9806940.0000000019</v>
      </c>
      <c r="D243" s="345" t="s">
        <v>1</v>
      </c>
      <c r="E243" s="345"/>
      <c r="F243" s="345"/>
      <c r="G243" s="347"/>
      <c r="H243" s="345"/>
      <c r="I243" s="345"/>
      <c r="J243" s="345"/>
      <c r="K243" s="345"/>
      <c r="L243" s="345"/>
      <c r="M243" s="345"/>
      <c r="N243" s="345"/>
      <c r="O243" s="345"/>
      <c r="P243" s="345"/>
      <c r="Q243" s="345"/>
      <c r="R243" s="345"/>
      <c r="S243" s="345"/>
      <c r="T243" s="345"/>
      <c r="U243" s="345"/>
      <c r="V243" s="345"/>
      <c r="W243" s="345"/>
      <c r="X243" s="346"/>
    </row>
    <row r="244" spans="1:24" x14ac:dyDescent="0.45">
      <c r="A244" s="550"/>
      <c r="B244" s="829"/>
      <c r="C244" s="1038"/>
      <c r="D244" s="358"/>
      <c r="E244" s="345"/>
      <c r="F244" s="348"/>
      <c r="G244" s="345"/>
      <c r="H244" s="345"/>
      <c r="I244" s="345"/>
      <c r="J244" s="345"/>
      <c r="K244" s="345"/>
      <c r="L244" s="345"/>
      <c r="M244" s="345"/>
      <c r="N244" s="345"/>
      <c r="O244" s="345"/>
      <c r="P244" s="345"/>
      <c r="Q244" s="345"/>
      <c r="R244" s="345"/>
      <c r="S244" s="345"/>
      <c r="T244" s="345"/>
      <c r="U244" s="345"/>
      <c r="V244" s="345"/>
      <c r="W244" s="345"/>
      <c r="X244" s="346"/>
    </row>
    <row r="245" spans="1:24" x14ac:dyDescent="0.45">
      <c r="A245" s="550"/>
      <c r="B245" s="354" t="s">
        <v>27</v>
      </c>
      <c r="C245" s="1040" t="s">
        <v>379</v>
      </c>
      <c r="D245" s="355" t="s">
        <v>128</v>
      </c>
      <c r="E245" s="355" t="s">
        <v>380</v>
      </c>
      <c r="F245" s="355" t="s">
        <v>245</v>
      </c>
      <c r="G245" s="355" t="s">
        <v>367</v>
      </c>
      <c r="H245" s="355" t="s">
        <v>368</v>
      </c>
      <c r="I245" s="355" t="s">
        <v>369</v>
      </c>
      <c r="J245" s="355" t="s">
        <v>370</v>
      </c>
      <c r="K245" s="355" t="s">
        <v>131</v>
      </c>
      <c r="L245" s="355" t="s">
        <v>130</v>
      </c>
      <c r="M245" s="355" t="s">
        <v>129</v>
      </c>
      <c r="N245" s="355" t="s">
        <v>374</v>
      </c>
      <c r="O245" s="355" t="s">
        <v>124</v>
      </c>
      <c r="P245" s="355" t="s">
        <v>125</v>
      </c>
      <c r="Q245" s="355" t="s">
        <v>126</v>
      </c>
      <c r="R245" s="355" t="s">
        <v>155</v>
      </c>
      <c r="S245" s="355" t="s">
        <v>157</v>
      </c>
      <c r="T245" s="355" t="s">
        <v>156</v>
      </c>
      <c r="U245" s="345" t="s">
        <v>280</v>
      </c>
      <c r="V245" s="355" t="s">
        <v>375</v>
      </c>
      <c r="W245" s="355" t="s">
        <v>373</v>
      </c>
      <c r="X245" s="835" t="s">
        <v>164</v>
      </c>
    </row>
    <row r="246" spans="1:24" x14ac:dyDescent="0.45">
      <c r="A246" s="550"/>
      <c r="B246" s="359">
        <v>0</v>
      </c>
      <c r="C246" s="1039">
        <v>9.0675600401958947E-2</v>
      </c>
      <c r="D246" s="375">
        <v>0</v>
      </c>
      <c r="E246" s="833">
        <f>SUM(I37,I38,IF(C80=0,0,((D93+L32*D93/(D92+D93))*E32)),(G101+L33*G101/(G100+G101))*E33,(E142+L34*E142/(E141+E142))*E34)</f>
        <v>5.5770201304576411E-2</v>
      </c>
      <c r="F246" s="375">
        <v>0</v>
      </c>
      <c r="G246" s="345">
        <v>0</v>
      </c>
      <c r="H246" s="376">
        <f t="shared" ref="H246:H266" si="22">IF(D246&gt;0,-1*G246*$C$242,0)</f>
        <v>0</v>
      </c>
      <c r="I246" s="376">
        <v>0</v>
      </c>
      <c r="J246" s="376">
        <v>0</v>
      </c>
      <c r="K246" s="379">
        <f t="shared" ref="K246:K266" si="23">D246+F246+H246+J246</f>
        <v>0</v>
      </c>
      <c r="L246" s="375">
        <f t="shared" ref="L246:L266" si="24">IF(F246&lt;&gt;0,-1*($C$203+$C$204)*D246,0)</f>
        <v>0</v>
      </c>
      <c r="M246" s="375">
        <f t="shared" ref="M246:M266" si="25">K246+L246</f>
        <v>0</v>
      </c>
      <c r="N246" s="376">
        <f t="shared" ref="N246:N266" si="26">IF(V246&gt;0,V246-W246,0)</f>
        <v>0</v>
      </c>
      <c r="O246" s="347">
        <v>0</v>
      </c>
      <c r="P246" s="347">
        <v>0</v>
      </c>
      <c r="Q246" s="347">
        <v>0</v>
      </c>
      <c r="R246" s="376">
        <f>IF(M246&gt;0,-1*(M246+N246)*$C$202,0)</f>
        <v>0</v>
      </c>
      <c r="S246" s="375">
        <f t="shared" ref="S246:S266" si="27">IF(B246=$C$76,0,$C$205/12*(D247+F247+L247))</f>
        <v>3643077.5907273889</v>
      </c>
      <c r="T246" s="375">
        <f>S246</f>
        <v>3643077.5907273889</v>
      </c>
      <c r="U246" s="375">
        <f>-1*(C242+C243)</f>
        <v>-67743324</v>
      </c>
      <c r="V246" s="376">
        <v>0</v>
      </c>
      <c r="W246" s="347">
        <f>IF(B246&gt;$C$76,0,$C$243+SUM($J$246:J246))</f>
        <v>9806940.0000000019</v>
      </c>
      <c r="X246" s="836">
        <f>-T246+U246</f>
        <v>-71386401.590727389</v>
      </c>
    </row>
    <row r="247" spans="1:24" x14ac:dyDescent="0.45">
      <c r="A247" s="550"/>
      <c r="B247" s="344">
        <v>1</v>
      </c>
      <c r="C247" s="1038">
        <f t="shared" ref="C247:C266" si="28">IF(B247&gt;$C$76,0,$C$246*(1+$C$199)^B247)</f>
        <v>9.2670463610802042E-2</v>
      </c>
      <c r="D247" s="376">
        <f t="shared" ref="D247:D266" si="29">C247*$C$198*1000000</f>
        <v>52053616.128715813</v>
      </c>
      <c r="E247" s="1038">
        <f t="shared" ref="E247:E266" si="30">IF(B247&gt;$C$76,0,$E$246*(1+$C$200)^B247)</f>
        <v>5.6997145733277091E-2</v>
      </c>
      <c r="F247" s="376">
        <f t="shared" ref="F247:F266" si="31">-1*E247*$C$198*1000000</f>
        <v>-32015676.072291099</v>
      </c>
      <c r="G247" s="345">
        <v>0.1429</v>
      </c>
      <c r="H247" s="376">
        <f t="shared" si="22"/>
        <v>-8279109.2736</v>
      </c>
      <c r="I247" s="345">
        <v>1.391E-2</v>
      </c>
      <c r="J247" s="376">
        <f t="shared" ref="J247:J266" si="32">IF(D247&gt;0,-1*$C$243*I247,0)</f>
        <v>-136414.53540000002</v>
      </c>
      <c r="K247" s="377">
        <f t="shared" si="23"/>
        <v>11622416.247424714</v>
      </c>
      <c r="L247" s="376">
        <f t="shared" si="24"/>
        <v>-5465629.6935151601</v>
      </c>
      <c r="M247" s="376">
        <f t="shared" si="25"/>
        <v>6156786.5539095541</v>
      </c>
      <c r="N247" s="376">
        <f t="shared" si="26"/>
        <v>0</v>
      </c>
      <c r="O247" s="347">
        <f t="shared" ref="O247:O266" si="33">IF(M247&lt;0,M247*-1,0)</f>
        <v>0</v>
      </c>
      <c r="P247" s="347">
        <f t="shared" ref="P247:P266" si="34">P246+O247-Q247</f>
        <v>0</v>
      </c>
      <c r="Q247" s="347">
        <f t="shared" ref="Q247:Q266" si="35">IF(B247=$C$76+1,O247,IF(AND(M247&gt;0, P246&gt;0), MIN(M247,P246),0))</f>
        <v>0</v>
      </c>
      <c r="R247" s="376">
        <f t="shared" ref="R247:R266" si="36">IF(M247&gt;0,-1*(M247+N247-Q247)*$C$202,0)</f>
        <v>-1717743.4485407653</v>
      </c>
      <c r="S247" s="376">
        <f t="shared" si="27"/>
        <v>3723225.2977233902</v>
      </c>
      <c r="T247" s="376">
        <f t="shared" ref="T247:T266" si="37">(S247-S246)</f>
        <v>80147.706996001303</v>
      </c>
      <c r="U247" s="376"/>
      <c r="V247" s="376">
        <f t="shared" ref="V247:V266" si="38">IF(B247=$C$76,$C$243*(1-1/$C$79*B247),0)</f>
        <v>0</v>
      </c>
      <c r="W247" s="347">
        <f>IF(B247&gt;$C$76,0,$C$243+SUM($J$246:J247))</f>
        <v>9670525.4646000024</v>
      </c>
      <c r="X247" s="378">
        <f t="shared" ref="X247:X266" si="39">M247+R247-1*(H247+J247)-T247+U247+V247</f>
        <v>12774419.207372788</v>
      </c>
    </row>
    <row r="248" spans="1:24" x14ac:dyDescent="0.45">
      <c r="A248" s="550"/>
      <c r="B248" s="344">
        <v>2</v>
      </c>
      <c r="C248" s="1038">
        <f t="shared" si="28"/>
        <v>9.4709213810239681E-2</v>
      </c>
      <c r="D248" s="376">
        <f t="shared" si="29"/>
        <v>53198795.683547564</v>
      </c>
      <c r="E248" s="1038">
        <f t="shared" si="30"/>
        <v>5.8251082939409185E-2</v>
      </c>
      <c r="F248" s="376">
        <f t="shared" si="31"/>
        <v>-32720020.945881508</v>
      </c>
      <c r="G248" s="345">
        <v>0.24490000000000001</v>
      </c>
      <c r="H248" s="376">
        <f t="shared" si="22"/>
        <v>-14188620.4416</v>
      </c>
      <c r="I248" s="345">
        <v>2.564E-2</v>
      </c>
      <c r="J248" s="376">
        <f t="shared" si="32"/>
        <v>-251449.94160000005</v>
      </c>
      <c r="K248" s="377">
        <f t="shared" si="23"/>
        <v>6038704.3544660546</v>
      </c>
      <c r="L248" s="376">
        <f t="shared" si="24"/>
        <v>-5585873.546772494</v>
      </c>
      <c r="M248" s="376">
        <f t="shared" si="25"/>
        <v>452830.80769356061</v>
      </c>
      <c r="N248" s="376">
        <f t="shared" si="26"/>
        <v>0</v>
      </c>
      <c r="O248" s="347">
        <f t="shared" si="33"/>
        <v>0</v>
      </c>
      <c r="P248" s="347">
        <f t="shared" si="34"/>
        <v>0</v>
      </c>
      <c r="Q248" s="347">
        <f t="shared" si="35"/>
        <v>0</v>
      </c>
      <c r="R248" s="376">
        <f t="shared" si="36"/>
        <v>-126339.79534650339</v>
      </c>
      <c r="S248" s="376">
        <f t="shared" si="27"/>
        <v>3805136.2542733061</v>
      </c>
      <c r="T248" s="376">
        <f t="shared" si="37"/>
        <v>81910.956549915951</v>
      </c>
      <c r="U248" s="376"/>
      <c r="V248" s="376">
        <f t="shared" si="38"/>
        <v>0</v>
      </c>
      <c r="W248" s="347">
        <f>IF(B248&gt;$C$76,0,$C$243+SUM($J$246:J248))</f>
        <v>9419075.5230000019</v>
      </c>
      <c r="X248" s="378">
        <f t="shared" si="39"/>
        <v>14684650.438997142</v>
      </c>
    </row>
    <row r="249" spans="1:24" x14ac:dyDescent="0.45">
      <c r="A249" s="550"/>
      <c r="B249" s="344">
        <v>3</v>
      </c>
      <c r="C249" s="1038">
        <f t="shared" si="28"/>
        <v>9.6792816514064961E-2</v>
      </c>
      <c r="D249" s="376">
        <f t="shared" si="29"/>
        <v>54369169.188585617</v>
      </c>
      <c r="E249" s="1038">
        <f t="shared" si="30"/>
        <v>5.9532606764076193E-2</v>
      </c>
      <c r="F249" s="376">
        <f t="shared" si="31"/>
        <v>-33439861.406690903</v>
      </c>
      <c r="G249" s="345">
        <v>0.1749</v>
      </c>
      <c r="H249" s="376">
        <f t="shared" si="22"/>
        <v>-10133073.5616</v>
      </c>
      <c r="I249" s="345">
        <v>2.564E-2</v>
      </c>
      <c r="J249" s="376">
        <f t="shared" si="32"/>
        <v>-251449.94160000005</v>
      </c>
      <c r="K249" s="377">
        <f t="shared" si="23"/>
        <v>10544784.278694713</v>
      </c>
      <c r="L249" s="376">
        <f t="shared" si="24"/>
        <v>-5708762.7648014892</v>
      </c>
      <c r="M249" s="376">
        <f t="shared" si="25"/>
        <v>4836021.5138932243</v>
      </c>
      <c r="N249" s="376">
        <f t="shared" si="26"/>
        <v>0</v>
      </c>
      <c r="O249" s="347">
        <f t="shared" si="33"/>
        <v>0</v>
      </c>
      <c r="P249" s="347">
        <f t="shared" si="34"/>
        <v>0</v>
      </c>
      <c r="Q249" s="347">
        <f t="shared" si="35"/>
        <v>0</v>
      </c>
      <c r="R249" s="376">
        <f t="shared" si="36"/>
        <v>-1349250.0023762095</v>
      </c>
      <c r="S249" s="376">
        <f t="shared" si="27"/>
        <v>3888849.2518673176</v>
      </c>
      <c r="T249" s="376">
        <f t="shared" si="37"/>
        <v>83712.997594011482</v>
      </c>
      <c r="U249" s="376"/>
      <c r="V249" s="376">
        <f t="shared" si="38"/>
        <v>0</v>
      </c>
      <c r="W249" s="347">
        <f>IF(B249&gt;$C$76,0,$C$243+SUM($J$246:J249))</f>
        <v>9167625.5814000014</v>
      </c>
      <c r="X249" s="378">
        <f t="shared" si="39"/>
        <v>13787582.017123003</v>
      </c>
    </row>
    <row r="250" spans="1:24" x14ac:dyDescent="0.45">
      <c r="A250" s="550"/>
      <c r="B250" s="344">
        <v>4</v>
      </c>
      <c r="C250" s="1038">
        <f t="shared" si="28"/>
        <v>9.8922258477374389E-2</v>
      </c>
      <c r="D250" s="376">
        <f t="shared" si="29"/>
        <v>55565290.910734497</v>
      </c>
      <c r="E250" s="1038">
        <f t="shared" si="30"/>
        <v>6.0842324112885871E-2</v>
      </c>
      <c r="F250" s="376">
        <f t="shared" si="31"/>
        <v>-34175538.357638106</v>
      </c>
      <c r="G250" s="345">
        <v>0.1249</v>
      </c>
      <c r="H250" s="376">
        <f t="shared" si="22"/>
        <v>-7236254.3615999995</v>
      </c>
      <c r="I250" s="345">
        <v>2.564E-2</v>
      </c>
      <c r="J250" s="376">
        <f t="shared" si="32"/>
        <v>-251449.94160000005</v>
      </c>
      <c r="K250" s="377">
        <f t="shared" si="23"/>
        <v>13902048.24989639</v>
      </c>
      <c r="L250" s="376">
        <f t="shared" si="24"/>
        <v>-5834355.5456271218</v>
      </c>
      <c r="M250" s="376">
        <f t="shared" si="25"/>
        <v>8067692.7042692685</v>
      </c>
      <c r="N250" s="376">
        <f t="shared" si="26"/>
        <v>0</v>
      </c>
      <c r="O250" s="347">
        <f t="shared" si="33"/>
        <v>0</v>
      </c>
      <c r="P250" s="347">
        <f t="shared" si="34"/>
        <v>0</v>
      </c>
      <c r="Q250" s="347">
        <f t="shared" si="35"/>
        <v>0</v>
      </c>
      <c r="R250" s="376">
        <f t="shared" si="36"/>
        <v>-2250886.2644911255</v>
      </c>
      <c r="S250" s="376">
        <f t="shared" si="27"/>
        <v>3974403.9354083994</v>
      </c>
      <c r="T250" s="376">
        <f t="shared" si="37"/>
        <v>85554.683541081846</v>
      </c>
      <c r="U250" s="376"/>
      <c r="V250" s="376">
        <f t="shared" si="38"/>
        <v>0</v>
      </c>
      <c r="W250" s="347">
        <f>IF(B250&gt;$C$76,0,$C$243+SUM($J$246:J250))</f>
        <v>8916175.6398000009</v>
      </c>
      <c r="X250" s="378">
        <f t="shared" si="39"/>
        <v>13218956.059437063</v>
      </c>
    </row>
    <row r="251" spans="1:24" x14ac:dyDescent="0.45">
      <c r="A251" s="550"/>
      <c r="B251" s="344">
        <v>5</v>
      </c>
      <c r="C251" s="1038">
        <f t="shared" si="28"/>
        <v>0.10109854816387663</v>
      </c>
      <c r="D251" s="376">
        <f t="shared" si="29"/>
        <v>56787727.310770653</v>
      </c>
      <c r="E251" s="1038">
        <f t="shared" si="30"/>
        <v>6.218085524336936E-2</v>
      </c>
      <c r="F251" s="376">
        <f t="shared" si="31"/>
        <v>-34927400.201506138</v>
      </c>
      <c r="G251" s="345">
        <v>8.9300000000000004E-2</v>
      </c>
      <c r="H251" s="376">
        <f t="shared" si="22"/>
        <v>-5173719.0912000006</v>
      </c>
      <c r="I251" s="345">
        <v>2.564E-2</v>
      </c>
      <c r="J251" s="376">
        <f t="shared" si="32"/>
        <v>-251449.94160000005</v>
      </c>
      <c r="K251" s="377">
        <f t="shared" si="23"/>
        <v>16435158.076464513</v>
      </c>
      <c r="L251" s="376">
        <f t="shared" si="24"/>
        <v>-5962711.3676309185</v>
      </c>
      <c r="M251" s="376">
        <f t="shared" si="25"/>
        <v>10472446.708833594</v>
      </c>
      <c r="N251" s="376">
        <f t="shared" si="26"/>
        <v>0</v>
      </c>
      <c r="O251" s="347">
        <f t="shared" si="33"/>
        <v>0</v>
      </c>
      <c r="P251" s="347">
        <f t="shared" si="34"/>
        <v>0</v>
      </c>
      <c r="Q251" s="347">
        <f t="shared" si="35"/>
        <v>0</v>
      </c>
      <c r="R251" s="376">
        <f t="shared" si="36"/>
        <v>-2921812.6317645726</v>
      </c>
      <c r="S251" s="376">
        <f t="shared" si="27"/>
        <v>4061840.8219873831</v>
      </c>
      <c r="T251" s="376">
        <f t="shared" si="37"/>
        <v>87436.886578983627</v>
      </c>
      <c r="U251" s="376"/>
      <c r="V251" s="376">
        <f t="shared" si="38"/>
        <v>0</v>
      </c>
      <c r="W251" s="347">
        <f>IF(B251&gt;$C$76,0,$C$243+SUM($J$246:J251))</f>
        <v>8664725.6982000023</v>
      </c>
      <c r="X251" s="378">
        <f t="shared" si="39"/>
        <v>12888366.223290037</v>
      </c>
    </row>
    <row r="252" spans="1:24" x14ac:dyDescent="0.45">
      <c r="A252" s="550"/>
      <c r="B252" s="344">
        <v>6</v>
      </c>
      <c r="C252" s="1038">
        <f t="shared" si="28"/>
        <v>0.10332271622348191</v>
      </c>
      <c r="D252" s="376">
        <f t="shared" si="29"/>
        <v>58037057.311607607</v>
      </c>
      <c r="E252" s="1038">
        <f t="shared" si="30"/>
        <v>6.3548834058723483E-2</v>
      </c>
      <c r="F252" s="376">
        <f t="shared" si="31"/>
        <v>-35695803.005939275</v>
      </c>
      <c r="G252" s="345">
        <v>8.9200000000000002E-2</v>
      </c>
      <c r="H252" s="376">
        <f t="shared" si="22"/>
        <v>-5167925.4528000001</v>
      </c>
      <c r="I252" s="345">
        <v>2.564E-2</v>
      </c>
      <c r="J252" s="376">
        <f t="shared" si="32"/>
        <v>-251449.94160000005</v>
      </c>
      <c r="K252" s="377">
        <f t="shared" si="23"/>
        <v>16921878.911268335</v>
      </c>
      <c r="L252" s="376">
        <f t="shared" si="24"/>
        <v>-6093891.0177187985</v>
      </c>
      <c r="M252" s="376">
        <f t="shared" si="25"/>
        <v>10827987.893549535</v>
      </c>
      <c r="N252" s="376">
        <f t="shared" si="26"/>
        <v>0</v>
      </c>
      <c r="O252" s="347">
        <f t="shared" si="33"/>
        <v>0</v>
      </c>
      <c r="P252" s="347">
        <f t="shared" si="34"/>
        <v>0</v>
      </c>
      <c r="Q252" s="347">
        <f t="shared" si="35"/>
        <v>0</v>
      </c>
      <c r="R252" s="376">
        <f t="shared" si="36"/>
        <v>-3021008.6223003198</v>
      </c>
      <c r="S252" s="376">
        <f t="shared" si="27"/>
        <v>4151201.3200711049</v>
      </c>
      <c r="T252" s="376">
        <f t="shared" si="37"/>
        <v>89360.498083721846</v>
      </c>
      <c r="U252" s="376"/>
      <c r="V252" s="376">
        <f t="shared" si="38"/>
        <v>0</v>
      </c>
      <c r="W252" s="347">
        <f>IF(B252&gt;$C$76,0,$C$243+SUM($J$246:J252))</f>
        <v>8413275.7566000018</v>
      </c>
      <c r="X252" s="378">
        <f t="shared" si="39"/>
        <v>13136994.167565495</v>
      </c>
    </row>
    <row r="253" spans="1:24" x14ac:dyDescent="0.45">
      <c r="A253" s="550"/>
      <c r="B253" s="344">
        <v>7</v>
      </c>
      <c r="C253" s="1038">
        <f t="shared" si="28"/>
        <v>0.10559581598039851</v>
      </c>
      <c r="D253" s="376">
        <f t="shared" si="29"/>
        <v>59313872.572462969</v>
      </c>
      <c r="E253" s="1038">
        <f t="shared" si="30"/>
        <v>6.4946908408015397E-2</v>
      </c>
      <c r="F253" s="376">
        <f t="shared" si="31"/>
        <v>-36481110.672069937</v>
      </c>
      <c r="G253" s="345">
        <v>8.9300000000000004E-2</v>
      </c>
      <c r="H253" s="376">
        <f t="shared" si="22"/>
        <v>-5173719.0912000006</v>
      </c>
      <c r="I253" s="345">
        <v>2.564E-2</v>
      </c>
      <c r="J253" s="376">
        <f t="shared" si="32"/>
        <v>-251449.94160000005</v>
      </c>
      <c r="K253" s="377">
        <f t="shared" si="23"/>
        <v>17407592.867593031</v>
      </c>
      <c r="L253" s="376">
        <f t="shared" si="24"/>
        <v>-6227956.6201086119</v>
      </c>
      <c r="M253" s="376">
        <f t="shared" si="25"/>
        <v>11179636.247484419</v>
      </c>
      <c r="N253" s="376">
        <f t="shared" si="26"/>
        <v>-1100829.0150000006</v>
      </c>
      <c r="O253" s="347">
        <f t="shared" si="33"/>
        <v>0</v>
      </c>
      <c r="P253" s="347">
        <f t="shared" si="34"/>
        <v>0</v>
      </c>
      <c r="Q253" s="347">
        <f t="shared" si="35"/>
        <v>0</v>
      </c>
      <c r="R253" s="376">
        <f t="shared" si="36"/>
        <v>-2811987.2178631527</v>
      </c>
      <c r="S253" s="376">
        <f t="shared" si="27"/>
        <v>0</v>
      </c>
      <c r="T253" s="376">
        <f t="shared" si="37"/>
        <v>-4151201.3200711049</v>
      </c>
      <c r="U253" s="376"/>
      <c r="V253" s="376">
        <f t="shared" si="38"/>
        <v>7060996.8000000007</v>
      </c>
      <c r="W253" s="347">
        <f>IF(B253&gt;$C$76,0,$C$243+SUM($J$246:J253))</f>
        <v>8161825.8150000013</v>
      </c>
      <c r="X253" s="378">
        <f t="shared" si="39"/>
        <v>25005016.182492372</v>
      </c>
    </row>
    <row r="254" spans="1:24" x14ac:dyDescent="0.45">
      <c r="A254" s="550"/>
      <c r="B254" s="344">
        <v>8</v>
      </c>
      <c r="C254" s="1038">
        <f t="shared" si="28"/>
        <v>0</v>
      </c>
      <c r="D254" s="376">
        <f t="shared" si="29"/>
        <v>0</v>
      </c>
      <c r="E254" s="1038">
        <f t="shared" si="30"/>
        <v>0</v>
      </c>
      <c r="F254" s="376">
        <f t="shared" si="31"/>
        <v>0</v>
      </c>
      <c r="G254" s="345">
        <v>4.4600000000000001E-2</v>
      </c>
      <c r="H254" s="376">
        <f t="shared" si="22"/>
        <v>0</v>
      </c>
      <c r="I254" s="345">
        <v>2.564E-2</v>
      </c>
      <c r="J254" s="376">
        <f t="shared" si="32"/>
        <v>0</v>
      </c>
      <c r="K254" s="377">
        <f t="shared" si="23"/>
        <v>0</v>
      </c>
      <c r="L254" s="376">
        <f t="shared" si="24"/>
        <v>0</v>
      </c>
      <c r="M254" s="376">
        <f t="shared" si="25"/>
        <v>0</v>
      </c>
      <c r="N254" s="376">
        <f t="shared" si="26"/>
        <v>0</v>
      </c>
      <c r="O254" s="347">
        <f t="shared" si="33"/>
        <v>0</v>
      </c>
      <c r="P254" s="347">
        <f t="shared" si="34"/>
        <v>0</v>
      </c>
      <c r="Q254" s="347">
        <f t="shared" si="35"/>
        <v>0</v>
      </c>
      <c r="R254" s="376">
        <f t="shared" si="36"/>
        <v>0</v>
      </c>
      <c r="S254" s="376">
        <f t="shared" si="27"/>
        <v>0</v>
      </c>
      <c r="T254" s="376">
        <f t="shared" si="37"/>
        <v>0</v>
      </c>
      <c r="U254" s="376"/>
      <c r="V254" s="376">
        <f t="shared" si="38"/>
        <v>0</v>
      </c>
      <c r="W254" s="347">
        <f>IF(B254&gt;$C$76,0,$C$243+SUM($J$246:J254))</f>
        <v>0</v>
      </c>
      <c r="X254" s="378">
        <f t="shared" si="39"/>
        <v>0</v>
      </c>
    </row>
    <row r="255" spans="1:24" x14ac:dyDescent="0.45">
      <c r="A255" s="550"/>
      <c r="B255" s="344">
        <v>9</v>
      </c>
      <c r="C255" s="1038">
        <f t="shared" si="28"/>
        <v>0</v>
      </c>
      <c r="D255" s="376">
        <f t="shared" si="29"/>
        <v>0</v>
      </c>
      <c r="E255" s="1038">
        <f t="shared" si="30"/>
        <v>0</v>
      </c>
      <c r="F255" s="376">
        <f t="shared" si="31"/>
        <v>0</v>
      </c>
      <c r="G255" s="345">
        <v>0</v>
      </c>
      <c r="H255" s="376">
        <f t="shared" si="22"/>
        <v>0</v>
      </c>
      <c r="I255" s="345">
        <v>2.564E-2</v>
      </c>
      <c r="J255" s="376">
        <f t="shared" si="32"/>
        <v>0</v>
      </c>
      <c r="K255" s="377">
        <f t="shared" si="23"/>
        <v>0</v>
      </c>
      <c r="L255" s="376">
        <f t="shared" si="24"/>
        <v>0</v>
      </c>
      <c r="M255" s="376">
        <f t="shared" si="25"/>
        <v>0</v>
      </c>
      <c r="N255" s="376">
        <f t="shared" si="26"/>
        <v>0</v>
      </c>
      <c r="O255" s="347">
        <f t="shared" si="33"/>
        <v>0</v>
      </c>
      <c r="P255" s="347">
        <f t="shared" si="34"/>
        <v>0</v>
      </c>
      <c r="Q255" s="347">
        <f t="shared" si="35"/>
        <v>0</v>
      </c>
      <c r="R255" s="376">
        <f t="shared" si="36"/>
        <v>0</v>
      </c>
      <c r="S255" s="376">
        <f t="shared" si="27"/>
        <v>0</v>
      </c>
      <c r="T255" s="376">
        <f t="shared" si="37"/>
        <v>0</v>
      </c>
      <c r="U255" s="376"/>
      <c r="V255" s="376">
        <f t="shared" si="38"/>
        <v>0</v>
      </c>
      <c r="W255" s="347">
        <f>IF(B255&gt;$C$76,0,$C$243+SUM($J$246:J255))</f>
        <v>0</v>
      </c>
      <c r="X255" s="378">
        <f t="shared" si="39"/>
        <v>0</v>
      </c>
    </row>
    <row r="256" spans="1:24" x14ac:dyDescent="0.45">
      <c r="A256" s="550"/>
      <c r="B256" s="344">
        <v>10</v>
      </c>
      <c r="C256" s="1038">
        <f t="shared" si="28"/>
        <v>0</v>
      </c>
      <c r="D256" s="376">
        <f t="shared" si="29"/>
        <v>0</v>
      </c>
      <c r="E256" s="1038">
        <f t="shared" si="30"/>
        <v>0</v>
      </c>
      <c r="F256" s="376">
        <f t="shared" si="31"/>
        <v>0</v>
      </c>
      <c r="G256" s="345">
        <v>0</v>
      </c>
      <c r="H256" s="376">
        <f t="shared" si="22"/>
        <v>0</v>
      </c>
      <c r="I256" s="345">
        <v>2.564E-2</v>
      </c>
      <c r="J256" s="376">
        <f t="shared" si="32"/>
        <v>0</v>
      </c>
      <c r="K256" s="377">
        <f t="shared" si="23"/>
        <v>0</v>
      </c>
      <c r="L256" s="376">
        <f t="shared" si="24"/>
        <v>0</v>
      </c>
      <c r="M256" s="376">
        <f t="shared" si="25"/>
        <v>0</v>
      </c>
      <c r="N256" s="376">
        <f t="shared" si="26"/>
        <v>0</v>
      </c>
      <c r="O256" s="347">
        <f t="shared" si="33"/>
        <v>0</v>
      </c>
      <c r="P256" s="347">
        <f t="shared" si="34"/>
        <v>0</v>
      </c>
      <c r="Q256" s="347">
        <f t="shared" si="35"/>
        <v>0</v>
      </c>
      <c r="R256" s="376">
        <f t="shared" si="36"/>
        <v>0</v>
      </c>
      <c r="S256" s="376">
        <f t="shared" si="27"/>
        <v>0</v>
      </c>
      <c r="T256" s="376">
        <f t="shared" si="37"/>
        <v>0</v>
      </c>
      <c r="U256" s="376"/>
      <c r="V256" s="376">
        <f t="shared" si="38"/>
        <v>0</v>
      </c>
      <c r="W256" s="347">
        <f>IF(B256&gt;$C$76,0,$C$243+SUM($J$246:J256))</f>
        <v>0</v>
      </c>
      <c r="X256" s="378">
        <f t="shared" si="39"/>
        <v>0</v>
      </c>
    </row>
    <row r="257" spans="1:24" x14ac:dyDescent="0.45">
      <c r="A257" s="550"/>
      <c r="B257" s="344">
        <v>11</v>
      </c>
      <c r="C257" s="1038">
        <f t="shared" si="28"/>
        <v>0</v>
      </c>
      <c r="D257" s="376">
        <f t="shared" si="29"/>
        <v>0</v>
      </c>
      <c r="E257" s="1038">
        <f t="shared" si="30"/>
        <v>0</v>
      </c>
      <c r="F257" s="376">
        <f t="shared" si="31"/>
        <v>0</v>
      </c>
      <c r="G257" s="345">
        <v>0</v>
      </c>
      <c r="H257" s="376">
        <f t="shared" si="22"/>
        <v>0</v>
      </c>
      <c r="I257" s="345">
        <v>2.564E-2</v>
      </c>
      <c r="J257" s="376">
        <f t="shared" si="32"/>
        <v>0</v>
      </c>
      <c r="K257" s="377">
        <f t="shared" si="23"/>
        <v>0</v>
      </c>
      <c r="L257" s="376">
        <f t="shared" si="24"/>
        <v>0</v>
      </c>
      <c r="M257" s="376">
        <f t="shared" si="25"/>
        <v>0</v>
      </c>
      <c r="N257" s="376">
        <f t="shared" si="26"/>
        <v>0</v>
      </c>
      <c r="O257" s="347">
        <f t="shared" si="33"/>
        <v>0</v>
      </c>
      <c r="P257" s="347">
        <f t="shared" si="34"/>
        <v>0</v>
      </c>
      <c r="Q257" s="347">
        <f t="shared" si="35"/>
        <v>0</v>
      </c>
      <c r="R257" s="376">
        <f t="shared" si="36"/>
        <v>0</v>
      </c>
      <c r="S257" s="376">
        <f t="shared" si="27"/>
        <v>0</v>
      </c>
      <c r="T257" s="376">
        <f t="shared" si="37"/>
        <v>0</v>
      </c>
      <c r="U257" s="376"/>
      <c r="V257" s="376">
        <f t="shared" si="38"/>
        <v>0</v>
      </c>
      <c r="W257" s="347">
        <f>IF(B257&gt;$C$76,0,$C$243+SUM($J$246:J257))</f>
        <v>0</v>
      </c>
      <c r="X257" s="378">
        <f t="shared" si="39"/>
        <v>0</v>
      </c>
    </row>
    <row r="258" spans="1:24" x14ac:dyDescent="0.45">
      <c r="A258" s="550"/>
      <c r="B258" s="344">
        <v>12</v>
      </c>
      <c r="C258" s="1038">
        <f t="shared" si="28"/>
        <v>0</v>
      </c>
      <c r="D258" s="376">
        <f t="shared" si="29"/>
        <v>0</v>
      </c>
      <c r="E258" s="1038">
        <f t="shared" si="30"/>
        <v>0</v>
      </c>
      <c r="F258" s="376">
        <f t="shared" si="31"/>
        <v>0</v>
      </c>
      <c r="G258" s="345">
        <v>0</v>
      </c>
      <c r="H258" s="376">
        <f t="shared" si="22"/>
        <v>0</v>
      </c>
      <c r="I258" s="345">
        <v>2.564E-2</v>
      </c>
      <c r="J258" s="376">
        <f t="shared" si="32"/>
        <v>0</v>
      </c>
      <c r="K258" s="377">
        <f t="shared" si="23"/>
        <v>0</v>
      </c>
      <c r="L258" s="376">
        <f t="shared" si="24"/>
        <v>0</v>
      </c>
      <c r="M258" s="376">
        <f t="shared" si="25"/>
        <v>0</v>
      </c>
      <c r="N258" s="376">
        <f t="shared" si="26"/>
        <v>0</v>
      </c>
      <c r="O258" s="347">
        <f t="shared" si="33"/>
        <v>0</v>
      </c>
      <c r="P258" s="347">
        <f t="shared" si="34"/>
        <v>0</v>
      </c>
      <c r="Q258" s="347">
        <f t="shared" si="35"/>
        <v>0</v>
      </c>
      <c r="R258" s="376">
        <f t="shared" si="36"/>
        <v>0</v>
      </c>
      <c r="S258" s="376">
        <f t="shared" si="27"/>
        <v>0</v>
      </c>
      <c r="T258" s="376">
        <f t="shared" si="37"/>
        <v>0</v>
      </c>
      <c r="U258" s="376"/>
      <c r="V258" s="376">
        <f t="shared" si="38"/>
        <v>0</v>
      </c>
      <c r="W258" s="347">
        <f>IF(B258&gt;$C$76,0,$C$243+SUM($J$246:J258))</f>
        <v>0</v>
      </c>
      <c r="X258" s="378">
        <f t="shared" si="39"/>
        <v>0</v>
      </c>
    </row>
    <row r="259" spans="1:24" x14ac:dyDescent="0.45">
      <c r="A259" s="550"/>
      <c r="B259" s="344">
        <v>13</v>
      </c>
      <c r="C259" s="1038">
        <f t="shared" si="28"/>
        <v>0</v>
      </c>
      <c r="D259" s="376">
        <f t="shared" si="29"/>
        <v>0</v>
      </c>
      <c r="E259" s="1038">
        <f t="shared" si="30"/>
        <v>0</v>
      </c>
      <c r="F259" s="376">
        <f t="shared" si="31"/>
        <v>0</v>
      </c>
      <c r="G259" s="345">
        <v>0</v>
      </c>
      <c r="H259" s="376">
        <f t="shared" si="22"/>
        <v>0</v>
      </c>
      <c r="I259" s="345">
        <v>2.564E-2</v>
      </c>
      <c r="J259" s="376">
        <f t="shared" si="32"/>
        <v>0</v>
      </c>
      <c r="K259" s="377">
        <f t="shared" si="23"/>
        <v>0</v>
      </c>
      <c r="L259" s="376">
        <f t="shared" si="24"/>
        <v>0</v>
      </c>
      <c r="M259" s="376">
        <f t="shared" si="25"/>
        <v>0</v>
      </c>
      <c r="N259" s="376">
        <f t="shared" si="26"/>
        <v>0</v>
      </c>
      <c r="O259" s="347">
        <f t="shared" si="33"/>
        <v>0</v>
      </c>
      <c r="P259" s="347">
        <f t="shared" si="34"/>
        <v>0</v>
      </c>
      <c r="Q259" s="347">
        <f t="shared" si="35"/>
        <v>0</v>
      </c>
      <c r="R259" s="376">
        <f t="shared" si="36"/>
        <v>0</v>
      </c>
      <c r="S259" s="376">
        <f t="shared" si="27"/>
        <v>0</v>
      </c>
      <c r="T259" s="376">
        <f t="shared" si="37"/>
        <v>0</v>
      </c>
      <c r="U259" s="376"/>
      <c r="V259" s="376">
        <f t="shared" si="38"/>
        <v>0</v>
      </c>
      <c r="W259" s="347">
        <f>IF(B259&gt;$C$76,0,$C$243+SUM($J$246:J259))</f>
        <v>0</v>
      </c>
      <c r="X259" s="378">
        <f t="shared" si="39"/>
        <v>0</v>
      </c>
    </row>
    <row r="260" spans="1:24" x14ac:dyDescent="0.45">
      <c r="A260" s="550"/>
      <c r="B260" s="344">
        <v>14</v>
      </c>
      <c r="C260" s="1038">
        <f t="shared" si="28"/>
        <v>0</v>
      </c>
      <c r="D260" s="376">
        <f t="shared" si="29"/>
        <v>0</v>
      </c>
      <c r="E260" s="1038">
        <f t="shared" si="30"/>
        <v>0</v>
      </c>
      <c r="F260" s="376">
        <f t="shared" si="31"/>
        <v>0</v>
      </c>
      <c r="G260" s="345">
        <v>0</v>
      </c>
      <c r="H260" s="376">
        <f t="shared" si="22"/>
        <v>0</v>
      </c>
      <c r="I260" s="345">
        <v>2.564E-2</v>
      </c>
      <c r="J260" s="376">
        <f t="shared" si="32"/>
        <v>0</v>
      </c>
      <c r="K260" s="377">
        <f t="shared" si="23"/>
        <v>0</v>
      </c>
      <c r="L260" s="376">
        <f t="shared" si="24"/>
        <v>0</v>
      </c>
      <c r="M260" s="376">
        <f t="shared" si="25"/>
        <v>0</v>
      </c>
      <c r="N260" s="376">
        <f t="shared" si="26"/>
        <v>0</v>
      </c>
      <c r="O260" s="347">
        <f t="shared" si="33"/>
        <v>0</v>
      </c>
      <c r="P260" s="347">
        <f t="shared" si="34"/>
        <v>0</v>
      </c>
      <c r="Q260" s="347">
        <f t="shared" si="35"/>
        <v>0</v>
      </c>
      <c r="R260" s="376">
        <f t="shared" si="36"/>
        <v>0</v>
      </c>
      <c r="S260" s="376">
        <f t="shared" si="27"/>
        <v>0</v>
      </c>
      <c r="T260" s="376">
        <f t="shared" si="37"/>
        <v>0</v>
      </c>
      <c r="U260" s="376"/>
      <c r="V260" s="376">
        <f t="shared" si="38"/>
        <v>0</v>
      </c>
      <c r="W260" s="347">
        <f>IF(B260&gt;$C$76,0,$C$243+SUM($J$246:J260))</f>
        <v>0</v>
      </c>
      <c r="X260" s="378">
        <f t="shared" si="39"/>
        <v>0</v>
      </c>
    </row>
    <row r="261" spans="1:24" x14ac:dyDescent="0.45">
      <c r="A261" s="550"/>
      <c r="B261" s="344">
        <v>15</v>
      </c>
      <c r="C261" s="1038">
        <f t="shared" si="28"/>
        <v>0</v>
      </c>
      <c r="D261" s="376">
        <f t="shared" si="29"/>
        <v>0</v>
      </c>
      <c r="E261" s="1038">
        <f t="shared" si="30"/>
        <v>0</v>
      </c>
      <c r="F261" s="376">
        <f t="shared" si="31"/>
        <v>0</v>
      </c>
      <c r="G261" s="345">
        <v>0</v>
      </c>
      <c r="H261" s="376">
        <f t="shared" si="22"/>
        <v>0</v>
      </c>
      <c r="I261" s="345">
        <v>2.564E-2</v>
      </c>
      <c r="J261" s="376">
        <f t="shared" si="32"/>
        <v>0</v>
      </c>
      <c r="K261" s="377">
        <f t="shared" si="23"/>
        <v>0</v>
      </c>
      <c r="L261" s="376">
        <f t="shared" si="24"/>
        <v>0</v>
      </c>
      <c r="M261" s="376">
        <f t="shared" si="25"/>
        <v>0</v>
      </c>
      <c r="N261" s="376">
        <f t="shared" si="26"/>
        <v>0</v>
      </c>
      <c r="O261" s="347">
        <f t="shared" si="33"/>
        <v>0</v>
      </c>
      <c r="P261" s="347">
        <f t="shared" si="34"/>
        <v>0</v>
      </c>
      <c r="Q261" s="347">
        <f t="shared" si="35"/>
        <v>0</v>
      </c>
      <c r="R261" s="376">
        <f t="shared" si="36"/>
        <v>0</v>
      </c>
      <c r="S261" s="376">
        <f t="shared" si="27"/>
        <v>0</v>
      </c>
      <c r="T261" s="376">
        <f t="shared" si="37"/>
        <v>0</v>
      </c>
      <c r="U261" s="376"/>
      <c r="V261" s="376">
        <f t="shared" si="38"/>
        <v>0</v>
      </c>
      <c r="W261" s="347">
        <f>IF(B261&gt;$C$76,0,$C$243+SUM($J$246:J261))</f>
        <v>0</v>
      </c>
      <c r="X261" s="378">
        <f t="shared" si="39"/>
        <v>0</v>
      </c>
    </row>
    <row r="262" spans="1:24" x14ac:dyDescent="0.45">
      <c r="A262" s="550"/>
      <c r="B262" s="344">
        <v>16</v>
      </c>
      <c r="C262" s="1038">
        <f t="shared" si="28"/>
        <v>0</v>
      </c>
      <c r="D262" s="376">
        <f t="shared" si="29"/>
        <v>0</v>
      </c>
      <c r="E262" s="1038">
        <f t="shared" si="30"/>
        <v>0</v>
      </c>
      <c r="F262" s="376">
        <f t="shared" si="31"/>
        <v>0</v>
      </c>
      <c r="G262" s="345">
        <v>0</v>
      </c>
      <c r="H262" s="376">
        <f t="shared" si="22"/>
        <v>0</v>
      </c>
      <c r="I262" s="345">
        <v>2.564E-2</v>
      </c>
      <c r="J262" s="376">
        <f t="shared" si="32"/>
        <v>0</v>
      </c>
      <c r="K262" s="377">
        <f t="shared" si="23"/>
        <v>0</v>
      </c>
      <c r="L262" s="376">
        <f t="shared" si="24"/>
        <v>0</v>
      </c>
      <c r="M262" s="376">
        <f t="shared" si="25"/>
        <v>0</v>
      </c>
      <c r="N262" s="376">
        <f t="shared" si="26"/>
        <v>0</v>
      </c>
      <c r="O262" s="347">
        <f t="shared" si="33"/>
        <v>0</v>
      </c>
      <c r="P262" s="347">
        <f t="shared" si="34"/>
        <v>0</v>
      </c>
      <c r="Q262" s="347">
        <f t="shared" si="35"/>
        <v>0</v>
      </c>
      <c r="R262" s="376">
        <f t="shared" si="36"/>
        <v>0</v>
      </c>
      <c r="S262" s="376">
        <f t="shared" si="27"/>
        <v>0</v>
      </c>
      <c r="T262" s="376">
        <f t="shared" si="37"/>
        <v>0</v>
      </c>
      <c r="U262" s="376"/>
      <c r="V262" s="376">
        <f t="shared" si="38"/>
        <v>0</v>
      </c>
      <c r="W262" s="347">
        <f>IF(B262&gt;$C$76,0,$C$243+SUM($J$246:J262))</f>
        <v>0</v>
      </c>
      <c r="X262" s="378">
        <f t="shared" si="39"/>
        <v>0</v>
      </c>
    </row>
    <row r="263" spans="1:24" x14ac:dyDescent="0.45">
      <c r="A263" s="550"/>
      <c r="B263" s="344">
        <v>17</v>
      </c>
      <c r="C263" s="1038">
        <f t="shared" si="28"/>
        <v>0</v>
      </c>
      <c r="D263" s="376">
        <f t="shared" si="29"/>
        <v>0</v>
      </c>
      <c r="E263" s="1038">
        <f t="shared" si="30"/>
        <v>0</v>
      </c>
      <c r="F263" s="376">
        <f t="shared" si="31"/>
        <v>0</v>
      </c>
      <c r="G263" s="345">
        <v>0</v>
      </c>
      <c r="H263" s="376">
        <f t="shared" si="22"/>
        <v>0</v>
      </c>
      <c r="I263" s="345">
        <v>2.564E-2</v>
      </c>
      <c r="J263" s="376">
        <f t="shared" si="32"/>
        <v>0</v>
      </c>
      <c r="K263" s="377">
        <f t="shared" si="23"/>
        <v>0</v>
      </c>
      <c r="L263" s="376">
        <f t="shared" si="24"/>
        <v>0</v>
      </c>
      <c r="M263" s="376">
        <f t="shared" si="25"/>
        <v>0</v>
      </c>
      <c r="N263" s="376">
        <f t="shared" si="26"/>
        <v>0</v>
      </c>
      <c r="O263" s="347">
        <f t="shared" si="33"/>
        <v>0</v>
      </c>
      <c r="P263" s="347">
        <f t="shared" si="34"/>
        <v>0</v>
      </c>
      <c r="Q263" s="347">
        <f t="shared" si="35"/>
        <v>0</v>
      </c>
      <c r="R263" s="376">
        <f t="shared" si="36"/>
        <v>0</v>
      </c>
      <c r="S263" s="376">
        <f t="shared" si="27"/>
        <v>0</v>
      </c>
      <c r="T263" s="376">
        <f t="shared" si="37"/>
        <v>0</v>
      </c>
      <c r="U263" s="376"/>
      <c r="V263" s="376">
        <f t="shared" si="38"/>
        <v>0</v>
      </c>
      <c r="W263" s="347">
        <f>IF(B263&gt;$C$76,0,$C$243+SUM($J$246:J263))</f>
        <v>0</v>
      </c>
      <c r="X263" s="378">
        <f t="shared" si="39"/>
        <v>0</v>
      </c>
    </row>
    <row r="264" spans="1:24" x14ac:dyDescent="0.45">
      <c r="A264" s="550"/>
      <c r="B264" s="344">
        <v>18</v>
      </c>
      <c r="C264" s="1038">
        <f t="shared" si="28"/>
        <v>0</v>
      </c>
      <c r="D264" s="376">
        <f t="shared" si="29"/>
        <v>0</v>
      </c>
      <c r="E264" s="1038">
        <f t="shared" si="30"/>
        <v>0</v>
      </c>
      <c r="F264" s="376">
        <f t="shared" si="31"/>
        <v>0</v>
      </c>
      <c r="G264" s="345">
        <v>0</v>
      </c>
      <c r="H264" s="376">
        <f t="shared" si="22"/>
        <v>0</v>
      </c>
      <c r="I264" s="345">
        <v>2.564E-2</v>
      </c>
      <c r="J264" s="376">
        <f t="shared" si="32"/>
        <v>0</v>
      </c>
      <c r="K264" s="377">
        <f t="shared" si="23"/>
        <v>0</v>
      </c>
      <c r="L264" s="376">
        <f t="shared" si="24"/>
        <v>0</v>
      </c>
      <c r="M264" s="376">
        <f t="shared" si="25"/>
        <v>0</v>
      </c>
      <c r="N264" s="376">
        <f t="shared" si="26"/>
        <v>0</v>
      </c>
      <c r="O264" s="347">
        <f t="shared" si="33"/>
        <v>0</v>
      </c>
      <c r="P264" s="347">
        <f t="shared" si="34"/>
        <v>0</v>
      </c>
      <c r="Q264" s="347">
        <f t="shared" si="35"/>
        <v>0</v>
      </c>
      <c r="R264" s="376">
        <f t="shared" si="36"/>
        <v>0</v>
      </c>
      <c r="S264" s="376">
        <f t="shared" si="27"/>
        <v>0</v>
      </c>
      <c r="T264" s="376">
        <f t="shared" si="37"/>
        <v>0</v>
      </c>
      <c r="U264" s="376"/>
      <c r="V264" s="376">
        <f t="shared" si="38"/>
        <v>0</v>
      </c>
      <c r="W264" s="347">
        <f>IF(B264&gt;$C$76,0,$C$243+SUM($J$246:J264))</f>
        <v>0</v>
      </c>
      <c r="X264" s="378">
        <f t="shared" si="39"/>
        <v>0</v>
      </c>
    </row>
    <row r="265" spans="1:24" x14ac:dyDescent="0.45">
      <c r="A265" s="550"/>
      <c r="B265" s="344">
        <v>19</v>
      </c>
      <c r="C265" s="1038">
        <f t="shared" si="28"/>
        <v>0</v>
      </c>
      <c r="D265" s="376">
        <f t="shared" si="29"/>
        <v>0</v>
      </c>
      <c r="E265" s="1038">
        <f t="shared" si="30"/>
        <v>0</v>
      </c>
      <c r="F265" s="376">
        <f t="shared" si="31"/>
        <v>0</v>
      </c>
      <c r="G265" s="345">
        <v>0</v>
      </c>
      <c r="H265" s="376">
        <f t="shared" si="22"/>
        <v>0</v>
      </c>
      <c r="I265" s="345">
        <v>2.564E-2</v>
      </c>
      <c r="J265" s="376">
        <f t="shared" si="32"/>
        <v>0</v>
      </c>
      <c r="K265" s="377">
        <f t="shared" si="23"/>
        <v>0</v>
      </c>
      <c r="L265" s="376">
        <f t="shared" si="24"/>
        <v>0</v>
      </c>
      <c r="M265" s="376">
        <f t="shared" si="25"/>
        <v>0</v>
      </c>
      <c r="N265" s="376">
        <f t="shared" si="26"/>
        <v>0</v>
      </c>
      <c r="O265" s="347">
        <f t="shared" si="33"/>
        <v>0</v>
      </c>
      <c r="P265" s="347">
        <f t="shared" si="34"/>
        <v>0</v>
      </c>
      <c r="Q265" s="347">
        <f t="shared" si="35"/>
        <v>0</v>
      </c>
      <c r="R265" s="376">
        <f t="shared" si="36"/>
        <v>0</v>
      </c>
      <c r="S265" s="376">
        <f t="shared" si="27"/>
        <v>0</v>
      </c>
      <c r="T265" s="376">
        <f t="shared" si="37"/>
        <v>0</v>
      </c>
      <c r="U265" s="376"/>
      <c r="V265" s="376">
        <f t="shared" si="38"/>
        <v>0</v>
      </c>
      <c r="W265" s="347">
        <f>IF(B265&gt;$C$76,0,$C$243+SUM($J$246:J265))</f>
        <v>0</v>
      </c>
      <c r="X265" s="378">
        <f t="shared" si="39"/>
        <v>0</v>
      </c>
    </row>
    <row r="266" spans="1:24" x14ac:dyDescent="0.45">
      <c r="A266" s="550"/>
      <c r="B266" s="344">
        <v>20</v>
      </c>
      <c r="C266" s="1038">
        <f t="shared" si="28"/>
        <v>0</v>
      </c>
      <c r="D266" s="376">
        <f t="shared" si="29"/>
        <v>0</v>
      </c>
      <c r="E266" s="1038">
        <f t="shared" si="30"/>
        <v>0</v>
      </c>
      <c r="F266" s="376">
        <f t="shared" si="31"/>
        <v>0</v>
      </c>
      <c r="G266" s="345">
        <v>0</v>
      </c>
      <c r="H266" s="376">
        <f t="shared" si="22"/>
        <v>0</v>
      </c>
      <c r="I266" s="345">
        <v>2.564E-2</v>
      </c>
      <c r="J266" s="376">
        <f t="shared" si="32"/>
        <v>0</v>
      </c>
      <c r="K266" s="377">
        <f t="shared" si="23"/>
        <v>0</v>
      </c>
      <c r="L266" s="376">
        <f t="shared" si="24"/>
        <v>0</v>
      </c>
      <c r="M266" s="376">
        <f t="shared" si="25"/>
        <v>0</v>
      </c>
      <c r="N266" s="376">
        <f t="shared" si="26"/>
        <v>0</v>
      </c>
      <c r="O266" s="347">
        <f t="shared" si="33"/>
        <v>0</v>
      </c>
      <c r="P266" s="347">
        <f t="shared" si="34"/>
        <v>0</v>
      </c>
      <c r="Q266" s="347">
        <f t="shared" si="35"/>
        <v>0</v>
      </c>
      <c r="R266" s="376">
        <f t="shared" si="36"/>
        <v>0</v>
      </c>
      <c r="S266" s="376">
        <f t="shared" si="27"/>
        <v>0</v>
      </c>
      <c r="T266" s="376">
        <f t="shared" si="37"/>
        <v>0</v>
      </c>
      <c r="U266" s="376"/>
      <c r="V266" s="376">
        <f t="shared" si="38"/>
        <v>0</v>
      </c>
      <c r="W266" s="347">
        <f>IF(B266&gt;$C$76,0,$C$243+SUM($J$246:J266))</f>
        <v>0</v>
      </c>
      <c r="X266" s="378">
        <f t="shared" si="39"/>
        <v>0</v>
      </c>
    </row>
    <row r="267" spans="1:24" x14ac:dyDescent="0.45">
      <c r="A267" s="550"/>
      <c r="B267" s="344"/>
      <c r="C267" s="1038"/>
      <c r="D267" s="349"/>
      <c r="E267" s="345"/>
      <c r="F267" s="349"/>
      <c r="G267" s="345"/>
      <c r="H267" s="349"/>
      <c r="I267" s="345"/>
      <c r="J267" s="349"/>
      <c r="K267" s="349"/>
      <c r="L267" s="349"/>
      <c r="M267" s="349"/>
      <c r="N267" s="345"/>
      <c r="O267" s="345"/>
      <c r="P267" s="345"/>
      <c r="Q267" s="345"/>
      <c r="R267" s="349"/>
      <c r="S267" s="349"/>
      <c r="T267" s="345"/>
      <c r="U267" s="345"/>
      <c r="V267" s="345"/>
      <c r="W267" s="348" t="s">
        <v>158</v>
      </c>
      <c r="X267" s="353">
        <f>NPV($C$201,X247:X266)+X246</f>
        <v>0</v>
      </c>
    </row>
    <row r="268" spans="1:24" x14ac:dyDescent="0.45">
      <c r="A268" s="550"/>
      <c r="B268" s="344"/>
      <c r="C268" s="1038"/>
      <c r="D268" s="360"/>
      <c r="E268" s="345"/>
      <c r="F268" s="360"/>
      <c r="G268" s="345"/>
      <c r="H268" s="360"/>
      <c r="I268" s="345"/>
      <c r="J268" s="360"/>
      <c r="K268" s="360"/>
      <c r="L268" s="360"/>
      <c r="M268" s="360"/>
      <c r="N268" s="345"/>
      <c r="O268" s="345"/>
      <c r="P268" s="345"/>
      <c r="Q268" s="345"/>
      <c r="R268" s="360"/>
      <c r="S268" s="360"/>
      <c r="T268" s="345"/>
      <c r="U268" s="345"/>
      <c r="V268" s="345"/>
      <c r="W268" s="348" t="s">
        <v>134</v>
      </c>
      <c r="X268" s="837">
        <f>IRR(X246:X266,0.1)</f>
        <v>0.10000000000000009</v>
      </c>
    </row>
    <row r="269" spans="1:24" x14ac:dyDescent="0.45">
      <c r="A269" s="550"/>
      <c r="B269" s="344"/>
      <c r="C269" s="1038"/>
      <c r="D269" s="828"/>
      <c r="E269" s="345"/>
      <c r="F269" s="345"/>
      <c r="G269" s="345"/>
      <c r="H269" s="345"/>
      <c r="I269" s="345"/>
      <c r="J269" s="348"/>
      <c r="K269" s="345"/>
      <c r="L269" s="345"/>
      <c r="M269" s="345"/>
      <c r="N269" s="345"/>
      <c r="O269" s="345"/>
      <c r="P269" s="345"/>
      <c r="Q269" s="345"/>
      <c r="R269" s="345"/>
      <c r="S269" s="345"/>
      <c r="T269" s="345"/>
      <c r="U269" s="345"/>
      <c r="V269" s="345"/>
      <c r="W269" s="345"/>
      <c r="X269" s="346"/>
    </row>
    <row r="270" spans="1:24" x14ac:dyDescent="0.45">
      <c r="A270" s="550"/>
      <c r="B270" s="357" t="s">
        <v>31</v>
      </c>
      <c r="C270" s="1038"/>
      <c r="D270" s="358"/>
      <c r="E270" s="345"/>
      <c r="F270" s="348"/>
      <c r="G270" s="345"/>
      <c r="H270" s="345"/>
      <c r="I270" s="345"/>
      <c r="J270" s="345"/>
      <c r="K270" s="345"/>
      <c r="L270" s="345"/>
      <c r="M270" s="345"/>
      <c r="N270" s="345"/>
      <c r="O270" s="345"/>
      <c r="P270" s="345"/>
      <c r="Q270" s="345"/>
      <c r="R270" s="345"/>
      <c r="S270" s="345"/>
      <c r="T270" s="345"/>
      <c r="U270" s="345"/>
      <c r="V270" s="345"/>
      <c r="W270" s="345"/>
      <c r="X270" s="346"/>
    </row>
    <row r="271" spans="1:24" x14ac:dyDescent="0.45">
      <c r="A271" s="550"/>
      <c r="B271" s="344" t="s">
        <v>272</v>
      </c>
      <c r="C271" s="832">
        <f>$D$84*$C$77</f>
        <v>82981800</v>
      </c>
      <c r="D271" s="345" t="s">
        <v>1</v>
      </c>
      <c r="E271" s="345"/>
      <c r="F271" s="345"/>
      <c r="G271" s="345"/>
      <c r="H271" s="345"/>
      <c r="I271" s="345"/>
      <c r="J271" s="345"/>
      <c r="K271" s="345"/>
      <c r="L271" s="345"/>
      <c r="M271" s="345"/>
      <c r="N271" s="345"/>
      <c r="O271" s="345"/>
      <c r="P271" s="345"/>
      <c r="Q271" s="345"/>
      <c r="R271" s="345"/>
      <c r="S271" s="345"/>
      <c r="T271" s="345"/>
      <c r="U271" s="345"/>
      <c r="V271" s="345"/>
      <c r="W271" s="345"/>
      <c r="X271" s="346"/>
    </row>
    <row r="272" spans="1:24" x14ac:dyDescent="0.45">
      <c r="A272" s="550"/>
      <c r="B272" s="344" t="s">
        <v>273</v>
      </c>
      <c r="C272" s="832">
        <f>$E$84*$C$79</f>
        <v>12296394</v>
      </c>
      <c r="D272" s="345" t="s">
        <v>1</v>
      </c>
      <c r="E272" s="345"/>
      <c r="F272" s="345"/>
      <c r="G272" s="347"/>
      <c r="H272" s="345"/>
      <c r="I272" s="345"/>
      <c r="J272" s="345"/>
      <c r="K272" s="345"/>
      <c r="L272" s="345"/>
      <c r="M272" s="345"/>
      <c r="N272" s="345"/>
      <c r="O272" s="345"/>
      <c r="P272" s="345"/>
      <c r="Q272" s="345"/>
      <c r="R272" s="345"/>
      <c r="S272" s="345"/>
      <c r="T272" s="345"/>
      <c r="U272" s="345"/>
      <c r="V272" s="345"/>
      <c r="W272" s="345"/>
      <c r="X272" s="346"/>
    </row>
    <row r="273" spans="1:24" x14ac:dyDescent="0.45">
      <c r="A273" s="550"/>
      <c r="B273" s="829"/>
      <c r="C273" s="1038"/>
      <c r="D273" s="358"/>
      <c r="E273" s="345"/>
      <c r="F273" s="348"/>
      <c r="G273" s="345"/>
      <c r="H273" s="345"/>
      <c r="I273" s="345"/>
      <c r="J273" s="345"/>
      <c r="K273" s="345"/>
      <c r="L273" s="345"/>
      <c r="M273" s="345"/>
      <c r="N273" s="345"/>
      <c r="O273" s="345"/>
      <c r="P273" s="345"/>
      <c r="Q273" s="345"/>
      <c r="R273" s="345"/>
      <c r="S273" s="345"/>
      <c r="T273" s="345"/>
      <c r="U273" s="345"/>
      <c r="V273" s="345"/>
      <c r="W273" s="345"/>
      <c r="X273" s="346"/>
    </row>
    <row r="274" spans="1:24" x14ac:dyDescent="0.45">
      <c r="A274" s="550"/>
      <c r="B274" s="354" t="s">
        <v>27</v>
      </c>
      <c r="C274" s="1040" t="s">
        <v>379</v>
      </c>
      <c r="D274" s="355" t="s">
        <v>128</v>
      </c>
      <c r="E274" s="355" t="s">
        <v>380</v>
      </c>
      <c r="F274" s="355" t="s">
        <v>245</v>
      </c>
      <c r="G274" s="355" t="s">
        <v>367</v>
      </c>
      <c r="H274" s="355" t="s">
        <v>368</v>
      </c>
      <c r="I274" s="355" t="s">
        <v>369</v>
      </c>
      <c r="J274" s="355" t="s">
        <v>370</v>
      </c>
      <c r="K274" s="355" t="s">
        <v>131</v>
      </c>
      <c r="L274" s="355" t="s">
        <v>130</v>
      </c>
      <c r="M274" s="355" t="s">
        <v>129</v>
      </c>
      <c r="N274" s="355" t="s">
        <v>374</v>
      </c>
      <c r="O274" s="355" t="s">
        <v>124</v>
      </c>
      <c r="P274" s="355" t="s">
        <v>125</v>
      </c>
      <c r="Q274" s="355" t="s">
        <v>126</v>
      </c>
      <c r="R274" s="355" t="s">
        <v>155</v>
      </c>
      <c r="S274" s="355" t="s">
        <v>157</v>
      </c>
      <c r="T274" s="355" t="s">
        <v>156</v>
      </c>
      <c r="U274" s="345" t="s">
        <v>280</v>
      </c>
      <c r="V274" s="355" t="s">
        <v>375</v>
      </c>
      <c r="W274" s="355" t="s">
        <v>373</v>
      </c>
      <c r="X274" s="835" t="s">
        <v>164</v>
      </c>
    </row>
    <row r="275" spans="1:24" x14ac:dyDescent="0.45">
      <c r="A275" s="550"/>
      <c r="B275" s="359">
        <v>0</v>
      </c>
      <c r="C275" s="1039">
        <v>0.13354180131566287</v>
      </c>
      <c r="D275" s="375">
        <v>0</v>
      </c>
      <c r="E275" s="833">
        <f>SUM(J32:J48)</f>
        <v>8.3656583687142252E-2</v>
      </c>
      <c r="F275" s="375">
        <v>0</v>
      </c>
      <c r="G275" s="345">
        <v>0</v>
      </c>
      <c r="H275" s="376">
        <f t="shared" ref="H275:H295" si="40">IF(D275&gt;0,-1*G275*$C$271,0)</f>
        <v>0</v>
      </c>
      <c r="I275" s="376">
        <v>0</v>
      </c>
      <c r="J275" s="376">
        <v>0</v>
      </c>
      <c r="K275" s="379">
        <f t="shared" ref="K275:K295" si="41">D275+F275+H275+J275</f>
        <v>0</v>
      </c>
      <c r="L275" s="375">
        <f t="shared" ref="L275:L295" si="42">IF(F275&lt;&gt;0,-1*($C$203+$C$204)*D275,0)</f>
        <v>0</v>
      </c>
      <c r="M275" s="375">
        <f t="shared" ref="M275:M295" si="43">K275+L275</f>
        <v>0</v>
      </c>
      <c r="N275" s="376">
        <f t="shared" ref="N275:N295" si="44">IF(V275&gt;0,V275-W275,0)</f>
        <v>0</v>
      </c>
      <c r="O275" s="347">
        <v>0</v>
      </c>
      <c r="P275" s="347">
        <v>0</v>
      </c>
      <c r="Q275" s="347">
        <v>0</v>
      </c>
      <c r="R275" s="376">
        <f>IF(M275&gt;0,-1*(M275+N275)*$C$202,0)</f>
        <v>0</v>
      </c>
      <c r="S275" s="375">
        <f t="shared" ref="S275:S295" si="45">IF(B275=$C$77,0,$C$205/12*(D276+F276+L276))</f>
        <v>5146963.2570961704</v>
      </c>
      <c r="T275" s="375">
        <f>S275</f>
        <v>5146963.2570961704</v>
      </c>
      <c r="U275" s="375">
        <f>-1*(C271+C272)</f>
        <v>-95278194</v>
      </c>
      <c r="V275" s="376">
        <f>IF(B275=$C$77+1,$C$272+SUM($J274:J$276)+$C$271+SUM($H274:H$276),0)</f>
        <v>0</v>
      </c>
      <c r="W275" s="347">
        <f>IF(B275&gt;$C$77,0,$C$272+SUM($J$275:J275))</f>
        <v>12296394</v>
      </c>
      <c r="X275" s="836">
        <f>-T275+U275</f>
        <v>-100425157.25709617</v>
      </c>
    </row>
    <row r="276" spans="1:24" x14ac:dyDescent="0.45">
      <c r="A276" s="550"/>
      <c r="B276" s="344">
        <v>1</v>
      </c>
      <c r="C276" s="1038">
        <f t="shared" ref="C276:C295" si="46">IF(B276&gt;$C$77,0,$C$275*(1+$C$199)^B276)</f>
        <v>0.13647972094460745</v>
      </c>
      <c r="D276" s="376">
        <f t="shared" ref="D276:D295" si="47">C276*$C$198*1000000</f>
        <v>76661567.522111222</v>
      </c>
      <c r="E276" s="1038">
        <f t="shared" ref="E276:E295" si="48">IF(B276&gt;$C$77,0,$E$275*(1+$C$200)^B276)</f>
        <v>8.5497028528259383E-2</v>
      </c>
      <c r="F276" s="376">
        <f t="shared" ref="F276:F295" si="49">-1*E276*$C$198*1000000</f>
        <v>-48024249.903904863</v>
      </c>
      <c r="G276" s="345">
        <v>0.1429</v>
      </c>
      <c r="H276" s="376">
        <f t="shared" si="40"/>
        <v>-11858099.220000001</v>
      </c>
      <c r="I276" s="345">
        <v>1.391E-2</v>
      </c>
      <c r="J276" s="376">
        <f t="shared" ref="J276:J295" si="50">IF(D276&gt;0,-1*$C$272*I276,0)</f>
        <v>-171042.84054</v>
      </c>
      <c r="K276" s="377">
        <f t="shared" si="41"/>
        <v>16608175.557666361</v>
      </c>
      <c r="L276" s="376">
        <f t="shared" si="42"/>
        <v>-8049464.5898216777</v>
      </c>
      <c r="M276" s="376">
        <f t="shared" si="43"/>
        <v>8558710.9678446837</v>
      </c>
      <c r="N276" s="376">
        <f t="shared" si="44"/>
        <v>0</v>
      </c>
      <c r="O276" s="347">
        <f t="shared" ref="O276:O295" si="51">IF(M276&lt;0,M276*-1,0)</f>
        <v>0</v>
      </c>
      <c r="P276" s="347">
        <f t="shared" ref="P276:P295" si="52">P275+O276-Q276</f>
        <v>0</v>
      </c>
      <c r="Q276" s="347">
        <f t="shared" ref="Q276:Q295" si="53">IF(B276=$C$77+1,O276,IF(AND(M276&gt;0, P275&gt;0), MIN(M276,P275),0))</f>
        <v>0</v>
      </c>
      <c r="R276" s="376">
        <f t="shared" ref="R276:R295" si="54">IF(M276&gt;0,-1*(M276+N276-Q276)*$C$202,0)</f>
        <v>-2387880.3600286664</v>
      </c>
      <c r="S276" s="376">
        <f t="shared" si="45"/>
        <v>5260196.4487522896</v>
      </c>
      <c r="T276" s="376">
        <f t="shared" ref="T276:T295" si="55">(S276-S275)</f>
        <v>113233.19165611919</v>
      </c>
      <c r="U276" s="376"/>
      <c r="V276" s="376">
        <f t="shared" ref="V276:V295" si="56">IF(B276=$C$77,$C$272*(1-1/$C$79*B276),0)</f>
        <v>0</v>
      </c>
      <c r="W276" s="347">
        <f>IF(B276&gt;$C$77,0,$C$272+SUM($J$275:J276))</f>
        <v>12125351.159460001</v>
      </c>
      <c r="X276" s="378">
        <f t="shared" ref="X276:X295" si="57">M276+R276-1*(H276+J276)-T276+U276+V276</f>
        <v>18086739.476699896</v>
      </c>
    </row>
    <row r="277" spans="1:24" x14ac:dyDescent="0.45">
      <c r="A277" s="550"/>
      <c r="B277" s="344">
        <v>2</v>
      </c>
      <c r="C277" s="1038">
        <f t="shared" si="46"/>
        <v>0.13948227480538883</v>
      </c>
      <c r="D277" s="376">
        <f t="shared" si="47"/>
        <v>78348122.007597685</v>
      </c>
      <c r="E277" s="1038">
        <f t="shared" si="48"/>
        <v>8.7377963155881089E-2</v>
      </c>
      <c r="F277" s="376">
        <f t="shared" si="49"/>
        <v>-49080783.401790768</v>
      </c>
      <c r="G277" s="345">
        <v>0.24490000000000001</v>
      </c>
      <c r="H277" s="376">
        <f t="shared" si="40"/>
        <v>-20322242.82</v>
      </c>
      <c r="I277" s="345">
        <v>2.564E-2</v>
      </c>
      <c r="J277" s="376">
        <f t="shared" si="50"/>
        <v>-315279.54216000001</v>
      </c>
      <c r="K277" s="377">
        <f t="shared" si="41"/>
        <v>8629816.243646916</v>
      </c>
      <c r="L277" s="376">
        <f t="shared" si="42"/>
        <v>-8226552.8107977565</v>
      </c>
      <c r="M277" s="376">
        <f t="shared" si="43"/>
        <v>403263.43284915946</v>
      </c>
      <c r="N277" s="376">
        <f t="shared" si="44"/>
        <v>0</v>
      </c>
      <c r="O277" s="347">
        <f t="shared" si="51"/>
        <v>0</v>
      </c>
      <c r="P277" s="347">
        <f t="shared" si="52"/>
        <v>0</v>
      </c>
      <c r="Q277" s="347">
        <f t="shared" si="53"/>
        <v>0</v>
      </c>
      <c r="R277" s="376">
        <f t="shared" si="54"/>
        <v>-112510.49776491548</v>
      </c>
      <c r="S277" s="376">
        <f t="shared" si="45"/>
        <v>5375920.7706248406</v>
      </c>
      <c r="T277" s="376">
        <f t="shared" si="55"/>
        <v>115724.32187255099</v>
      </c>
      <c r="U277" s="376"/>
      <c r="V277" s="376">
        <f t="shared" si="56"/>
        <v>0</v>
      </c>
      <c r="W277" s="347">
        <f>IF(B277&gt;$C$77,0,$C$272+SUM($J$275:J277))</f>
        <v>11810071.6173</v>
      </c>
      <c r="X277" s="378">
        <f t="shared" si="57"/>
        <v>20812550.975371692</v>
      </c>
    </row>
    <row r="278" spans="1:24" x14ac:dyDescent="0.45">
      <c r="A278" s="550"/>
      <c r="B278" s="344">
        <v>3</v>
      </c>
      <c r="C278" s="1038">
        <f t="shared" si="46"/>
        <v>0.14255088485110737</v>
      </c>
      <c r="D278" s="376">
        <f t="shared" si="47"/>
        <v>80071780.691764832</v>
      </c>
      <c r="E278" s="1038">
        <f t="shared" si="48"/>
        <v>8.9300278345310471E-2</v>
      </c>
      <c r="F278" s="376">
        <f t="shared" si="49"/>
        <v>-50160560.636630163</v>
      </c>
      <c r="G278" s="345">
        <v>0.1749</v>
      </c>
      <c r="H278" s="376">
        <f t="shared" si="40"/>
        <v>-14513516.82</v>
      </c>
      <c r="I278" s="345">
        <v>2.564E-2</v>
      </c>
      <c r="J278" s="376">
        <f t="shared" si="50"/>
        <v>-315279.54216000001</v>
      </c>
      <c r="K278" s="377">
        <f t="shared" si="41"/>
        <v>15082423.692974668</v>
      </c>
      <c r="L278" s="376">
        <f t="shared" si="42"/>
        <v>-8407536.9726353064</v>
      </c>
      <c r="M278" s="376">
        <f t="shared" si="43"/>
        <v>6674886.7203393616</v>
      </c>
      <c r="N278" s="376">
        <f t="shared" si="44"/>
        <v>0</v>
      </c>
      <c r="O278" s="347">
        <f t="shared" si="51"/>
        <v>0</v>
      </c>
      <c r="P278" s="347">
        <f t="shared" si="52"/>
        <v>0</v>
      </c>
      <c r="Q278" s="347">
        <f t="shared" si="53"/>
        <v>0</v>
      </c>
      <c r="R278" s="376">
        <f t="shared" si="54"/>
        <v>-1862293.3949746818</v>
      </c>
      <c r="S278" s="376">
        <f t="shared" si="45"/>
        <v>5494191.0275785858</v>
      </c>
      <c r="T278" s="376">
        <f t="shared" si="55"/>
        <v>118270.25695374515</v>
      </c>
      <c r="U278" s="376"/>
      <c r="V278" s="376">
        <f t="shared" si="56"/>
        <v>0</v>
      </c>
      <c r="W278" s="347">
        <f>IF(B278&gt;$C$77,0,$C$272+SUM($J$275:J278))</f>
        <v>11494792.075139999</v>
      </c>
      <c r="X278" s="378">
        <f t="shared" si="57"/>
        <v>19523119.430570934</v>
      </c>
    </row>
    <row r="279" spans="1:24" x14ac:dyDescent="0.45">
      <c r="A279" s="550"/>
      <c r="B279" s="344">
        <v>4</v>
      </c>
      <c r="C279" s="1038">
        <f t="shared" si="46"/>
        <v>0.14568700431783174</v>
      </c>
      <c r="D279" s="376">
        <f t="shared" si="47"/>
        <v>81833359.866983652</v>
      </c>
      <c r="E279" s="1038">
        <f t="shared" si="48"/>
        <v>9.1264884468907306E-2</v>
      </c>
      <c r="F279" s="376">
        <f t="shared" si="49"/>
        <v>-51264092.970636025</v>
      </c>
      <c r="G279" s="345">
        <v>0.1249</v>
      </c>
      <c r="H279" s="376">
        <f t="shared" si="40"/>
        <v>-10364426.82</v>
      </c>
      <c r="I279" s="345">
        <v>2.564E-2</v>
      </c>
      <c r="J279" s="376">
        <f t="shared" si="50"/>
        <v>-315279.54216000001</v>
      </c>
      <c r="K279" s="377">
        <f t="shared" si="41"/>
        <v>19889560.534187626</v>
      </c>
      <c r="L279" s="376">
        <f t="shared" si="42"/>
        <v>-8592502.7860332839</v>
      </c>
      <c r="M279" s="376">
        <f t="shared" si="43"/>
        <v>11297057.748154342</v>
      </c>
      <c r="N279" s="376">
        <f t="shared" si="44"/>
        <v>0</v>
      </c>
      <c r="O279" s="347">
        <f t="shared" si="51"/>
        <v>0</v>
      </c>
      <c r="P279" s="347">
        <f t="shared" si="52"/>
        <v>0</v>
      </c>
      <c r="Q279" s="347">
        <f t="shared" si="53"/>
        <v>0</v>
      </c>
      <c r="R279" s="376">
        <f t="shared" si="54"/>
        <v>-3151879.1117350613</v>
      </c>
      <c r="S279" s="376">
        <f t="shared" si="45"/>
        <v>5615063.230185315</v>
      </c>
      <c r="T279" s="376">
        <f t="shared" si="55"/>
        <v>120872.20260672923</v>
      </c>
      <c r="U279" s="376"/>
      <c r="V279" s="376">
        <f t="shared" si="56"/>
        <v>0</v>
      </c>
      <c r="W279" s="347">
        <f>IF(B279&gt;$C$77,0,$C$272+SUM($J$275:J279))</f>
        <v>11179512.532980001</v>
      </c>
      <c r="X279" s="378">
        <f t="shared" si="57"/>
        <v>18704012.795972552</v>
      </c>
    </row>
    <row r="280" spans="1:24" x14ac:dyDescent="0.45">
      <c r="A280" s="550"/>
      <c r="B280" s="344">
        <v>5</v>
      </c>
      <c r="C280" s="1038">
        <f t="shared" si="46"/>
        <v>0.14889211841282404</v>
      </c>
      <c r="D280" s="376">
        <f t="shared" si="47"/>
        <v>83633693.784057304</v>
      </c>
      <c r="E280" s="1038">
        <f t="shared" si="48"/>
        <v>9.3272711927223265E-2</v>
      </c>
      <c r="F280" s="376">
        <f t="shared" si="49"/>
        <v>-52391903.015990026</v>
      </c>
      <c r="G280" s="345">
        <v>8.9300000000000004E-2</v>
      </c>
      <c r="H280" s="376">
        <f t="shared" si="40"/>
        <v>-7410274.7400000002</v>
      </c>
      <c r="I280" s="345">
        <v>2.564E-2</v>
      </c>
      <c r="J280" s="376">
        <f t="shared" si="50"/>
        <v>-315279.54216000001</v>
      </c>
      <c r="K280" s="377">
        <f t="shared" si="41"/>
        <v>23516236.485907275</v>
      </c>
      <c r="L280" s="376">
        <f t="shared" si="42"/>
        <v>-8781537.8473260161</v>
      </c>
      <c r="M280" s="376">
        <f t="shared" si="43"/>
        <v>14734698.638581259</v>
      </c>
      <c r="N280" s="376">
        <f t="shared" si="44"/>
        <v>0</v>
      </c>
      <c r="O280" s="347">
        <f t="shared" si="51"/>
        <v>0</v>
      </c>
      <c r="P280" s="347">
        <f t="shared" si="52"/>
        <v>0</v>
      </c>
      <c r="Q280" s="347">
        <f t="shared" si="53"/>
        <v>0</v>
      </c>
      <c r="R280" s="376">
        <f t="shared" si="54"/>
        <v>-4110980.9201641707</v>
      </c>
      <c r="S280" s="376">
        <f t="shared" si="45"/>
        <v>5738594.6212493889</v>
      </c>
      <c r="T280" s="376">
        <f t="shared" si="55"/>
        <v>123531.39106407389</v>
      </c>
      <c r="U280" s="376"/>
      <c r="V280" s="376">
        <f t="shared" si="56"/>
        <v>0</v>
      </c>
      <c r="W280" s="347">
        <f>IF(B280&gt;$C$77,0,$C$272+SUM($J$275:J280))</f>
        <v>10864232.99082</v>
      </c>
      <c r="X280" s="378">
        <f t="shared" si="57"/>
        <v>18225740.609513015</v>
      </c>
    </row>
    <row r="281" spans="1:24" x14ac:dyDescent="0.45">
      <c r="A281" s="550"/>
      <c r="B281" s="344">
        <v>6</v>
      </c>
      <c r="C281" s="1038">
        <f t="shared" si="46"/>
        <v>0.15216774501790614</v>
      </c>
      <c r="D281" s="376">
        <f t="shared" si="47"/>
        <v>85473635.047306538</v>
      </c>
      <c r="E281" s="1038">
        <f t="shared" si="48"/>
        <v>9.5324711589622163E-2</v>
      </c>
      <c r="F281" s="376">
        <f t="shared" si="49"/>
        <v>-53544524.882341795</v>
      </c>
      <c r="G281" s="345">
        <v>8.9200000000000002E-2</v>
      </c>
      <c r="H281" s="376">
        <f t="shared" si="40"/>
        <v>-7401976.5600000005</v>
      </c>
      <c r="I281" s="345">
        <v>2.564E-2</v>
      </c>
      <c r="J281" s="376">
        <f t="shared" si="50"/>
        <v>-315279.54216000001</v>
      </c>
      <c r="K281" s="377">
        <f t="shared" si="41"/>
        <v>24211854.06280474</v>
      </c>
      <c r="L281" s="376">
        <f t="shared" si="42"/>
        <v>-8974731.6799671855</v>
      </c>
      <c r="M281" s="376">
        <f t="shared" si="43"/>
        <v>15237122.382837554</v>
      </c>
      <c r="N281" s="376">
        <f t="shared" si="44"/>
        <v>0</v>
      </c>
      <c r="O281" s="347">
        <f t="shared" si="51"/>
        <v>0</v>
      </c>
      <c r="P281" s="347">
        <f t="shared" si="52"/>
        <v>0</v>
      </c>
      <c r="Q281" s="347">
        <f t="shared" si="53"/>
        <v>0</v>
      </c>
      <c r="R281" s="376">
        <f t="shared" si="54"/>
        <v>-4251157.1448116768</v>
      </c>
      <c r="S281" s="376">
        <f t="shared" si="45"/>
        <v>5864843.7029168773</v>
      </c>
      <c r="T281" s="376">
        <f t="shared" si="55"/>
        <v>126249.08166748844</v>
      </c>
      <c r="U281" s="376"/>
      <c r="V281" s="376">
        <f t="shared" si="56"/>
        <v>0</v>
      </c>
      <c r="W281" s="347">
        <f>IF(B281&gt;$C$77,0,$C$272+SUM($J$275:J281))</f>
        <v>10548953.448659999</v>
      </c>
      <c r="X281" s="378">
        <f t="shared" si="57"/>
        <v>18576972.25851839</v>
      </c>
    </row>
    <row r="282" spans="1:24" x14ac:dyDescent="0.45">
      <c r="A282" s="550"/>
      <c r="B282" s="344">
        <v>7</v>
      </c>
      <c r="C282" s="1038">
        <f t="shared" si="46"/>
        <v>0.1555154354083001</v>
      </c>
      <c r="D282" s="376">
        <f t="shared" si="47"/>
        <v>87354055.018347293</v>
      </c>
      <c r="E282" s="1038">
        <f t="shared" si="48"/>
        <v>9.7421855244593861E-2</v>
      </c>
      <c r="F282" s="376">
        <f t="shared" si="49"/>
        <v>-54722504.429753318</v>
      </c>
      <c r="G282" s="345">
        <v>8.9300000000000004E-2</v>
      </c>
      <c r="H282" s="376">
        <f t="shared" si="40"/>
        <v>-7410274.7400000002</v>
      </c>
      <c r="I282" s="345">
        <v>2.564E-2</v>
      </c>
      <c r="J282" s="376">
        <f t="shared" si="50"/>
        <v>-315279.54216000001</v>
      </c>
      <c r="K282" s="377">
        <f t="shared" si="41"/>
        <v>24905996.306433972</v>
      </c>
      <c r="L282" s="376">
        <f t="shared" si="42"/>
        <v>-9172175.7769264653</v>
      </c>
      <c r="M282" s="376">
        <f t="shared" si="43"/>
        <v>15733820.529507507</v>
      </c>
      <c r="N282" s="376">
        <f t="shared" si="44"/>
        <v>-1380270.2265000008</v>
      </c>
      <c r="O282" s="347">
        <f t="shared" si="51"/>
        <v>0</v>
      </c>
      <c r="P282" s="347">
        <f t="shared" si="52"/>
        <v>0</v>
      </c>
      <c r="Q282" s="347">
        <f t="shared" si="53"/>
        <v>0</v>
      </c>
      <c r="R282" s="376">
        <f t="shared" si="54"/>
        <v>-4004640.5345390937</v>
      </c>
      <c r="S282" s="376">
        <f t="shared" si="45"/>
        <v>0</v>
      </c>
      <c r="T282" s="376">
        <f t="shared" si="55"/>
        <v>-5864843.7029168773</v>
      </c>
      <c r="U282" s="376"/>
      <c r="V282" s="376">
        <f t="shared" si="56"/>
        <v>8853403.6799999997</v>
      </c>
      <c r="W282" s="347">
        <f>IF(B282&gt;$C$77,0,$C$272+SUM($J$275:J282))</f>
        <v>10233673.906500001</v>
      </c>
      <c r="X282" s="378">
        <f t="shared" si="57"/>
        <v>34172981.660045289</v>
      </c>
    </row>
    <row r="283" spans="1:24" x14ac:dyDescent="0.45">
      <c r="A283" s="550"/>
      <c r="B283" s="344">
        <v>8</v>
      </c>
      <c r="C283" s="1038">
        <f t="shared" si="46"/>
        <v>0</v>
      </c>
      <c r="D283" s="376">
        <f t="shared" si="47"/>
        <v>0</v>
      </c>
      <c r="E283" s="1038">
        <f t="shared" si="48"/>
        <v>0</v>
      </c>
      <c r="F283" s="376">
        <f t="shared" si="49"/>
        <v>0</v>
      </c>
      <c r="G283" s="345">
        <v>4.4600000000000001E-2</v>
      </c>
      <c r="H283" s="376">
        <f t="shared" si="40"/>
        <v>0</v>
      </c>
      <c r="I283" s="345">
        <v>2.564E-2</v>
      </c>
      <c r="J283" s="376">
        <f t="shared" si="50"/>
        <v>0</v>
      </c>
      <c r="K283" s="377">
        <f t="shared" si="41"/>
        <v>0</v>
      </c>
      <c r="L283" s="376">
        <f t="shared" si="42"/>
        <v>0</v>
      </c>
      <c r="M283" s="376">
        <f t="shared" si="43"/>
        <v>0</v>
      </c>
      <c r="N283" s="376">
        <f t="shared" si="44"/>
        <v>0</v>
      </c>
      <c r="O283" s="347">
        <f t="shared" si="51"/>
        <v>0</v>
      </c>
      <c r="P283" s="347">
        <f t="shared" si="52"/>
        <v>0</v>
      </c>
      <c r="Q283" s="347">
        <f t="shared" si="53"/>
        <v>0</v>
      </c>
      <c r="R283" s="376">
        <f t="shared" si="54"/>
        <v>0</v>
      </c>
      <c r="S283" s="376">
        <f t="shared" si="45"/>
        <v>0</v>
      </c>
      <c r="T283" s="376">
        <f t="shared" si="55"/>
        <v>0</v>
      </c>
      <c r="U283" s="376"/>
      <c r="V283" s="376">
        <f t="shared" si="56"/>
        <v>0</v>
      </c>
      <c r="W283" s="347">
        <f>IF(B283&gt;$C$77,0,$C$272+SUM($J$275:J283))</f>
        <v>0</v>
      </c>
      <c r="X283" s="378">
        <f t="shared" si="57"/>
        <v>0</v>
      </c>
    </row>
    <row r="284" spans="1:24" x14ac:dyDescent="0.45">
      <c r="A284" s="550"/>
      <c r="B284" s="344">
        <v>9</v>
      </c>
      <c r="C284" s="1038">
        <f t="shared" si="46"/>
        <v>0</v>
      </c>
      <c r="D284" s="376">
        <f t="shared" si="47"/>
        <v>0</v>
      </c>
      <c r="E284" s="1038">
        <f t="shared" si="48"/>
        <v>0</v>
      </c>
      <c r="F284" s="376">
        <f t="shared" si="49"/>
        <v>0</v>
      </c>
      <c r="G284" s="345">
        <v>0</v>
      </c>
      <c r="H284" s="376">
        <f t="shared" si="40"/>
        <v>0</v>
      </c>
      <c r="I284" s="345">
        <v>2.564E-2</v>
      </c>
      <c r="J284" s="376">
        <f t="shared" si="50"/>
        <v>0</v>
      </c>
      <c r="K284" s="377">
        <f t="shared" si="41"/>
        <v>0</v>
      </c>
      <c r="L284" s="376">
        <f t="shared" si="42"/>
        <v>0</v>
      </c>
      <c r="M284" s="376">
        <f t="shared" si="43"/>
        <v>0</v>
      </c>
      <c r="N284" s="376">
        <f t="shared" si="44"/>
        <v>0</v>
      </c>
      <c r="O284" s="347">
        <f t="shared" si="51"/>
        <v>0</v>
      </c>
      <c r="P284" s="347">
        <f t="shared" si="52"/>
        <v>0</v>
      </c>
      <c r="Q284" s="347">
        <f t="shared" si="53"/>
        <v>0</v>
      </c>
      <c r="R284" s="376">
        <f t="shared" si="54"/>
        <v>0</v>
      </c>
      <c r="S284" s="376">
        <f t="shared" si="45"/>
        <v>0</v>
      </c>
      <c r="T284" s="376">
        <f t="shared" si="55"/>
        <v>0</v>
      </c>
      <c r="U284" s="376"/>
      <c r="V284" s="376">
        <f t="shared" si="56"/>
        <v>0</v>
      </c>
      <c r="W284" s="347">
        <f>IF(B284&gt;$C$77,0,$C$272+SUM($J$275:J284))</f>
        <v>0</v>
      </c>
      <c r="X284" s="378">
        <f t="shared" si="57"/>
        <v>0</v>
      </c>
    </row>
    <row r="285" spans="1:24" x14ac:dyDescent="0.45">
      <c r="A285" s="550"/>
      <c r="B285" s="344">
        <v>10</v>
      </c>
      <c r="C285" s="1038">
        <f t="shared" si="46"/>
        <v>0</v>
      </c>
      <c r="D285" s="376">
        <f t="shared" si="47"/>
        <v>0</v>
      </c>
      <c r="E285" s="1038">
        <f t="shared" si="48"/>
        <v>0</v>
      </c>
      <c r="F285" s="376">
        <f t="shared" si="49"/>
        <v>0</v>
      </c>
      <c r="G285" s="345">
        <v>0</v>
      </c>
      <c r="H285" s="376">
        <f t="shared" si="40"/>
        <v>0</v>
      </c>
      <c r="I285" s="345">
        <v>2.564E-2</v>
      </c>
      <c r="J285" s="376">
        <f t="shared" si="50"/>
        <v>0</v>
      </c>
      <c r="K285" s="377">
        <f t="shared" si="41"/>
        <v>0</v>
      </c>
      <c r="L285" s="376">
        <f t="shared" si="42"/>
        <v>0</v>
      </c>
      <c r="M285" s="376">
        <f t="shared" si="43"/>
        <v>0</v>
      </c>
      <c r="N285" s="376">
        <f t="shared" si="44"/>
        <v>0</v>
      </c>
      <c r="O285" s="347">
        <f t="shared" si="51"/>
        <v>0</v>
      </c>
      <c r="P285" s="347">
        <f t="shared" si="52"/>
        <v>0</v>
      </c>
      <c r="Q285" s="347">
        <f t="shared" si="53"/>
        <v>0</v>
      </c>
      <c r="R285" s="376">
        <f t="shared" si="54"/>
        <v>0</v>
      </c>
      <c r="S285" s="376">
        <f t="shared" si="45"/>
        <v>0</v>
      </c>
      <c r="T285" s="376">
        <f t="shared" si="55"/>
        <v>0</v>
      </c>
      <c r="U285" s="376"/>
      <c r="V285" s="376">
        <f t="shared" si="56"/>
        <v>0</v>
      </c>
      <c r="W285" s="347">
        <f>IF(B285&gt;$C$77,0,$C$272+SUM($J$275:J285))</f>
        <v>0</v>
      </c>
      <c r="X285" s="378">
        <f t="shared" si="57"/>
        <v>0</v>
      </c>
    </row>
    <row r="286" spans="1:24" x14ac:dyDescent="0.45">
      <c r="A286" s="550"/>
      <c r="B286" s="344">
        <v>11</v>
      </c>
      <c r="C286" s="1038">
        <f t="shared" si="46"/>
        <v>0</v>
      </c>
      <c r="D286" s="376">
        <f t="shared" si="47"/>
        <v>0</v>
      </c>
      <c r="E286" s="1038">
        <f t="shared" si="48"/>
        <v>0</v>
      </c>
      <c r="F286" s="376">
        <f t="shared" si="49"/>
        <v>0</v>
      </c>
      <c r="G286" s="345">
        <v>0</v>
      </c>
      <c r="H286" s="376">
        <f t="shared" si="40"/>
        <v>0</v>
      </c>
      <c r="I286" s="345">
        <v>2.564E-2</v>
      </c>
      <c r="J286" s="376">
        <f t="shared" si="50"/>
        <v>0</v>
      </c>
      <c r="K286" s="377">
        <f t="shared" si="41"/>
        <v>0</v>
      </c>
      <c r="L286" s="376">
        <f t="shared" si="42"/>
        <v>0</v>
      </c>
      <c r="M286" s="376">
        <f t="shared" si="43"/>
        <v>0</v>
      </c>
      <c r="N286" s="376">
        <f t="shared" si="44"/>
        <v>0</v>
      </c>
      <c r="O286" s="347">
        <f t="shared" si="51"/>
        <v>0</v>
      </c>
      <c r="P286" s="347">
        <f t="shared" si="52"/>
        <v>0</v>
      </c>
      <c r="Q286" s="347">
        <f t="shared" si="53"/>
        <v>0</v>
      </c>
      <c r="R286" s="376">
        <f t="shared" si="54"/>
        <v>0</v>
      </c>
      <c r="S286" s="376">
        <f t="shared" si="45"/>
        <v>0</v>
      </c>
      <c r="T286" s="376">
        <f t="shared" si="55"/>
        <v>0</v>
      </c>
      <c r="U286" s="376"/>
      <c r="V286" s="376">
        <f t="shared" si="56"/>
        <v>0</v>
      </c>
      <c r="W286" s="347">
        <f>IF(B286&gt;$C$77,0,$C$272+SUM($J$275:J286))</f>
        <v>0</v>
      </c>
      <c r="X286" s="378">
        <f t="shared" si="57"/>
        <v>0</v>
      </c>
    </row>
    <row r="287" spans="1:24" x14ac:dyDescent="0.45">
      <c r="A287" s="550"/>
      <c r="B287" s="344">
        <v>12</v>
      </c>
      <c r="C287" s="1038">
        <f t="shared" si="46"/>
        <v>0</v>
      </c>
      <c r="D287" s="376">
        <f t="shared" si="47"/>
        <v>0</v>
      </c>
      <c r="E287" s="1038">
        <f t="shared" si="48"/>
        <v>0</v>
      </c>
      <c r="F287" s="376">
        <f t="shared" si="49"/>
        <v>0</v>
      </c>
      <c r="G287" s="345">
        <v>0</v>
      </c>
      <c r="H287" s="376">
        <f t="shared" si="40"/>
        <v>0</v>
      </c>
      <c r="I287" s="345">
        <v>2.564E-2</v>
      </c>
      <c r="J287" s="376">
        <f t="shared" si="50"/>
        <v>0</v>
      </c>
      <c r="K287" s="377">
        <f t="shared" si="41"/>
        <v>0</v>
      </c>
      <c r="L287" s="376">
        <f t="shared" si="42"/>
        <v>0</v>
      </c>
      <c r="M287" s="376">
        <f t="shared" si="43"/>
        <v>0</v>
      </c>
      <c r="N287" s="376">
        <f t="shared" si="44"/>
        <v>0</v>
      </c>
      <c r="O287" s="347">
        <f t="shared" si="51"/>
        <v>0</v>
      </c>
      <c r="P287" s="347">
        <f t="shared" si="52"/>
        <v>0</v>
      </c>
      <c r="Q287" s="347">
        <f t="shared" si="53"/>
        <v>0</v>
      </c>
      <c r="R287" s="376">
        <f t="shared" si="54"/>
        <v>0</v>
      </c>
      <c r="S287" s="376">
        <f t="shared" si="45"/>
        <v>0</v>
      </c>
      <c r="T287" s="376">
        <f t="shared" si="55"/>
        <v>0</v>
      </c>
      <c r="U287" s="376"/>
      <c r="V287" s="376">
        <f t="shared" si="56"/>
        <v>0</v>
      </c>
      <c r="W287" s="347">
        <f>IF(B287&gt;$C$77,0,$C$272+SUM($J$275:J287))</f>
        <v>0</v>
      </c>
      <c r="X287" s="378">
        <f t="shared" si="57"/>
        <v>0</v>
      </c>
    </row>
    <row r="288" spans="1:24" x14ac:dyDescent="0.45">
      <c r="A288" s="550"/>
      <c r="B288" s="344">
        <v>13</v>
      </c>
      <c r="C288" s="1038">
        <f t="shared" si="46"/>
        <v>0</v>
      </c>
      <c r="D288" s="376">
        <f t="shared" si="47"/>
        <v>0</v>
      </c>
      <c r="E288" s="1038">
        <f t="shared" si="48"/>
        <v>0</v>
      </c>
      <c r="F288" s="376">
        <f t="shared" si="49"/>
        <v>0</v>
      </c>
      <c r="G288" s="345">
        <v>0</v>
      </c>
      <c r="H288" s="376">
        <f t="shared" si="40"/>
        <v>0</v>
      </c>
      <c r="I288" s="345">
        <v>2.564E-2</v>
      </c>
      <c r="J288" s="376">
        <f t="shared" si="50"/>
        <v>0</v>
      </c>
      <c r="K288" s="377">
        <f t="shared" si="41"/>
        <v>0</v>
      </c>
      <c r="L288" s="376">
        <f t="shared" si="42"/>
        <v>0</v>
      </c>
      <c r="M288" s="376">
        <f t="shared" si="43"/>
        <v>0</v>
      </c>
      <c r="N288" s="376">
        <f t="shared" si="44"/>
        <v>0</v>
      </c>
      <c r="O288" s="347">
        <f t="shared" si="51"/>
        <v>0</v>
      </c>
      <c r="P288" s="347">
        <f t="shared" si="52"/>
        <v>0</v>
      </c>
      <c r="Q288" s="347">
        <f t="shared" si="53"/>
        <v>0</v>
      </c>
      <c r="R288" s="376">
        <f t="shared" si="54"/>
        <v>0</v>
      </c>
      <c r="S288" s="376">
        <f t="shared" si="45"/>
        <v>0</v>
      </c>
      <c r="T288" s="376">
        <f t="shared" si="55"/>
        <v>0</v>
      </c>
      <c r="U288" s="376"/>
      <c r="V288" s="376">
        <f t="shared" si="56"/>
        <v>0</v>
      </c>
      <c r="W288" s="347">
        <f>IF(B288&gt;$C$77,0,$C$272+SUM($J$275:J288))</f>
        <v>0</v>
      </c>
      <c r="X288" s="378">
        <f t="shared" si="57"/>
        <v>0</v>
      </c>
    </row>
    <row r="289" spans="1:24" x14ac:dyDescent="0.45">
      <c r="A289" s="550"/>
      <c r="B289" s="344">
        <v>14</v>
      </c>
      <c r="C289" s="1038">
        <f t="shared" si="46"/>
        <v>0</v>
      </c>
      <c r="D289" s="376">
        <f t="shared" si="47"/>
        <v>0</v>
      </c>
      <c r="E289" s="1038">
        <f t="shared" si="48"/>
        <v>0</v>
      </c>
      <c r="F289" s="376">
        <f t="shared" si="49"/>
        <v>0</v>
      </c>
      <c r="G289" s="345">
        <v>0</v>
      </c>
      <c r="H289" s="376">
        <f t="shared" si="40"/>
        <v>0</v>
      </c>
      <c r="I289" s="345">
        <v>2.564E-2</v>
      </c>
      <c r="J289" s="376">
        <f t="shared" si="50"/>
        <v>0</v>
      </c>
      <c r="K289" s="377">
        <f t="shared" si="41"/>
        <v>0</v>
      </c>
      <c r="L289" s="376">
        <f t="shared" si="42"/>
        <v>0</v>
      </c>
      <c r="M289" s="376">
        <f t="shared" si="43"/>
        <v>0</v>
      </c>
      <c r="N289" s="376">
        <f t="shared" si="44"/>
        <v>0</v>
      </c>
      <c r="O289" s="347">
        <f t="shared" si="51"/>
        <v>0</v>
      </c>
      <c r="P289" s="347">
        <f t="shared" si="52"/>
        <v>0</v>
      </c>
      <c r="Q289" s="347">
        <f t="shared" si="53"/>
        <v>0</v>
      </c>
      <c r="R289" s="376">
        <f t="shared" si="54"/>
        <v>0</v>
      </c>
      <c r="S289" s="376">
        <f t="shared" si="45"/>
        <v>0</v>
      </c>
      <c r="T289" s="376">
        <f t="shared" si="55"/>
        <v>0</v>
      </c>
      <c r="U289" s="376"/>
      <c r="V289" s="376">
        <f t="shared" si="56"/>
        <v>0</v>
      </c>
      <c r="W289" s="347">
        <f>IF(B289&gt;$C$77,0,$C$272+SUM($J$275:J289))</f>
        <v>0</v>
      </c>
      <c r="X289" s="378">
        <f t="shared" si="57"/>
        <v>0</v>
      </c>
    </row>
    <row r="290" spans="1:24" x14ac:dyDescent="0.45">
      <c r="A290" s="550"/>
      <c r="B290" s="344">
        <v>15</v>
      </c>
      <c r="C290" s="1038">
        <f t="shared" si="46"/>
        <v>0</v>
      </c>
      <c r="D290" s="376">
        <f t="shared" si="47"/>
        <v>0</v>
      </c>
      <c r="E290" s="1038">
        <f t="shared" si="48"/>
        <v>0</v>
      </c>
      <c r="F290" s="376">
        <f t="shared" si="49"/>
        <v>0</v>
      </c>
      <c r="G290" s="345">
        <v>0</v>
      </c>
      <c r="H290" s="376">
        <f t="shared" si="40"/>
        <v>0</v>
      </c>
      <c r="I290" s="345">
        <v>2.564E-2</v>
      </c>
      <c r="J290" s="376">
        <f t="shared" si="50"/>
        <v>0</v>
      </c>
      <c r="K290" s="377">
        <f t="shared" si="41"/>
        <v>0</v>
      </c>
      <c r="L290" s="376">
        <f t="shared" si="42"/>
        <v>0</v>
      </c>
      <c r="M290" s="376">
        <f t="shared" si="43"/>
        <v>0</v>
      </c>
      <c r="N290" s="376">
        <f t="shared" si="44"/>
        <v>0</v>
      </c>
      <c r="O290" s="347">
        <f t="shared" si="51"/>
        <v>0</v>
      </c>
      <c r="P290" s="347">
        <f t="shared" si="52"/>
        <v>0</v>
      </c>
      <c r="Q290" s="347">
        <f t="shared" si="53"/>
        <v>0</v>
      </c>
      <c r="R290" s="376">
        <f t="shared" si="54"/>
        <v>0</v>
      </c>
      <c r="S290" s="376">
        <f t="shared" si="45"/>
        <v>0</v>
      </c>
      <c r="T290" s="376">
        <f t="shared" si="55"/>
        <v>0</v>
      </c>
      <c r="U290" s="376"/>
      <c r="V290" s="376">
        <f t="shared" si="56"/>
        <v>0</v>
      </c>
      <c r="W290" s="347">
        <f>IF(B290&gt;$C$77,0,$C$272+SUM($J$275:J290))</f>
        <v>0</v>
      </c>
      <c r="X290" s="378">
        <f t="shared" si="57"/>
        <v>0</v>
      </c>
    </row>
    <row r="291" spans="1:24" x14ac:dyDescent="0.45">
      <c r="A291" s="550"/>
      <c r="B291" s="344">
        <v>16</v>
      </c>
      <c r="C291" s="1038">
        <f t="shared" si="46"/>
        <v>0</v>
      </c>
      <c r="D291" s="376">
        <f t="shared" si="47"/>
        <v>0</v>
      </c>
      <c r="E291" s="1038">
        <f t="shared" si="48"/>
        <v>0</v>
      </c>
      <c r="F291" s="376">
        <f t="shared" si="49"/>
        <v>0</v>
      </c>
      <c r="G291" s="345">
        <v>0</v>
      </c>
      <c r="H291" s="376">
        <f t="shared" si="40"/>
        <v>0</v>
      </c>
      <c r="I291" s="345">
        <v>2.564E-2</v>
      </c>
      <c r="J291" s="376">
        <f t="shared" si="50"/>
        <v>0</v>
      </c>
      <c r="K291" s="377">
        <f t="shared" si="41"/>
        <v>0</v>
      </c>
      <c r="L291" s="376">
        <f t="shared" si="42"/>
        <v>0</v>
      </c>
      <c r="M291" s="376">
        <f t="shared" si="43"/>
        <v>0</v>
      </c>
      <c r="N291" s="376">
        <f t="shared" si="44"/>
        <v>0</v>
      </c>
      <c r="O291" s="347">
        <f t="shared" si="51"/>
        <v>0</v>
      </c>
      <c r="P291" s="347">
        <f t="shared" si="52"/>
        <v>0</v>
      </c>
      <c r="Q291" s="347">
        <f t="shared" si="53"/>
        <v>0</v>
      </c>
      <c r="R291" s="376">
        <f t="shared" si="54"/>
        <v>0</v>
      </c>
      <c r="S291" s="376">
        <f t="shared" si="45"/>
        <v>0</v>
      </c>
      <c r="T291" s="376">
        <f t="shared" si="55"/>
        <v>0</v>
      </c>
      <c r="U291" s="376"/>
      <c r="V291" s="376">
        <f t="shared" si="56"/>
        <v>0</v>
      </c>
      <c r="W291" s="347">
        <f>IF(B291&gt;$C$77,0,$C$272+SUM($J$275:J291))</f>
        <v>0</v>
      </c>
      <c r="X291" s="378">
        <f t="shared" si="57"/>
        <v>0</v>
      </c>
    </row>
    <row r="292" spans="1:24" x14ac:dyDescent="0.45">
      <c r="A292" s="550"/>
      <c r="B292" s="344">
        <v>17</v>
      </c>
      <c r="C292" s="1038">
        <f t="shared" si="46"/>
        <v>0</v>
      </c>
      <c r="D292" s="376">
        <f t="shared" si="47"/>
        <v>0</v>
      </c>
      <c r="E292" s="1038">
        <f t="shared" si="48"/>
        <v>0</v>
      </c>
      <c r="F292" s="376">
        <f t="shared" si="49"/>
        <v>0</v>
      </c>
      <c r="G292" s="345">
        <v>0</v>
      </c>
      <c r="H292" s="376">
        <f t="shared" si="40"/>
        <v>0</v>
      </c>
      <c r="I292" s="345">
        <v>2.564E-2</v>
      </c>
      <c r="J292" s="376">
        <f t="shared" si="50"/>
        <v>0</v>
      </c>
      <c r="K292" s="377">
        <f t="shared" si="41"/>
        <v>0</v>
      </c>
      <c r="L292" s="376">
        <f t="shared" si="42"/>
        <v>0</v>
      </c>
      <c r="M292" s="376">
        <f t="shared" si="43"/>
        <v>0</v>
      </c>
      <c r="N292" s="376">
        <f t="shared" si="44"/>
        <v>0</v>
      </c>
      <c r="O292" s="347">
        <f t="shared" si="51"/>
        <v>0</v>
      </c>
      <c r="P292" s="347">
        <f t="shared" si="52"/>
        <v>0</v>
      </c>
      <c r="Q292" s="347">
        <f t="shared" si="53"/>
        <v>0</v>
      </c>
      <c r="R292" s="376">
        <f t="shared" si="54"/>
        <v>0</v>
      </c>
      <c r="S292" s="376">
        <f t="shared" si="45"/>
        <v>0</v>
      </c>
      <c r="T292" s="376">
        <f t="shared" si="55"/>
        <v>0</v>
      </c>
      <c r="U292" s="376"/>
      <c r="V292" s="376">
        <f t="shared" si="56"/>
        <v>0</v>
      </c>
      <c r="W292" s="347">
        <f>IF(B292&gt;$C$77,0,$C$272+SUM($J$275:J292))</f>
        <v>0</v>
      </c>
      <c r="X292" s="378">
        <f t="shared" si="57"/>
        <v>0</v>
      </c>
    </row>
    <row r="293" spans="1:24" x14ac:dyDescent="0.45">
      <c r="A293" s="550"/>
      <c r="B293" s="344">
        <v>18</v>
      </c>
      <c r="C293" s="1038">
        <f t="shared" si="46"/>
        <v>0</v>
      </c>
      <c r="D293" s="376">
        <f t="shared" si="47"/>
        <v>0</v>
      </c>
      <c r="E293" s="1038">
        <f t="shared" si="48"/>
        <v>0</v>
      </c>
      <c r="F293" s="376">
        <f t="shared" si="49"/>
        <v>0</v>
      </c>
      <c r="G293" s="345">
        <v>0</v>
      </c>
      <c r="H293" s="376">
        <f t="shared" si="40"/>
        <v>0</v>
      </c>
      <c r="I293" s="345">
        <v>2.564E-2</v>
      </c>
      <c r="J293" s="376">
        <f t="shared" si="50"/>
        <v>0</v>
      </c>
      <c r="K293" s="377">
        <f t="shared" si="41"/>
        <v>0</v>
      </c>
      <c r="L293" s="376">
        <f t="shared" si="42"/>
        <v>0</v>
      </c>
      <c r="M293" s="376">
        <f t="shared" si="43"/>
        <v>0</v>
      </c>
      <c r="N293" s="376">
        <f t="shared" si="44"/>
        <v>0</v>
      </c>
      <c r="O293" s="347">
        <f t="shared" si="51"/>
        <v>0</v>
      </c>
      <c r="P293" s="347">
        <f t="shared" si="52"/>
        <v>0</v>
      </c>
      <c r="Q293" s="347">
        <f t="shared" si="53"/>
        <v>0</v>
      </c>
      <c r="R293" s="376">
        <f t="shared" si="54"/>
        <v>0</v>
      </c>
      <c r="S293" s="376">
        <f t="shared" si="45"/>
        <v>0</v>
      </c>
      <c r="T293" s="376">
        <f t="shared" si="55"/>
        <v>0</v>
      </c>
      <c r="U293" s="376"/>
      <c r="V293" s="376">
        <f t="shared" si="56"/>
        <v>0</v>
      </c>
      <c r="W293" s="347">
        <f>IF(B293&gt;$C$77,0,$C$272+SUM($J$275:J293))</f>
        <v>0</v>
      </c>
      <c r="X293" s="378">
        <f t="shared" si="57"/>
        <v>0</v>
      </c>
    </row>
    <row r="294" spans="1:24" x14ac:dyDescent="0.45">
      <c r="A294" s="550"/>
      <c r="B294" s="344">
        <v>19</v>
      </c>
      <c r="C294" s="1038">
        <f t="shared" si="46"/>
        <v>0</v>
      </c>
      <c r="D294" s="376">
        <f t="shared" si="47"/>
        <v>0</v>
      </c>
      <c r="E294" s="1038">
        <f t="shared" si="48"/>
        <v>0</v>
      </c>
      <c r="F294" s="376">
        <f t="shared" si="49"/>
        <v>0</v>
      </c>
      <c r="G294" s="345">
        <v>0</v>
      </c>
      <c r="H294" s="376">
        <f t="shared" si="40"/>
        <v>0</v>
      </c>
      <c r="I294" s="345">
        <v>2.564E-2</v>
      </c>
      <c r="J294" s="376">
        <f t="shared" si="50"/>
        <v>0</v>
      </c>
      <c r="K294" s="377">
        <f t="shared" si="41"/>
        <v>0</v>
      </c>
      <c r="L294" s="376">
        <f t="shared" si="42"/>
        <v>0</v>
      </c>
      <c r="M294" s="376">
        <f t="shared" si="43"/>
        <v>0</v>
      </c>
      <c r="N294" s="376">
        <f t="shared" si="44"/>
        <v>0</v>
      </c>
      <c r="O294" s="347">
        <f t="shared" si="51"/>
        <v>0</v>
      </c>
      <c r="P294" s="347">
        <f t="shared" si="52"/>
        <v>0</v>
      </c>
      <c r="Q294" s="347">
        <f t="shared" si="53"/>
        <v>0</v>
      </c>
      <c r="R294" s="376">
        <f t="shared" si="54"/>
        <v>0</v>
      </c>
      <c r="S294" s="376">
        <f t="shared" si="45"/>
        <v>0</v>
      </c>
      <c r="T294" s="376">
        <f t="shared" si="55"/>
        <v>0</v>
      </c>
      <c r="U294" s="376"/>
      <c r="V294" s="376">
        <f t="shared" si="56"/>
        <v>0</v>
      </c>
      <c r="W294" s="347">
        <f>IF(B294&gt;$C$77,0,$C$272+SUM($J$275:J294))</f>
        <v>0</v>
      </c>
      <c r="X294" s="378">
        <f t="shared" si="57"/>
        <v>0</v>
      </c>
    </row>
    <row r="295" spans="1:24" x14ac:dyDescent="0.45">
      <c r="A295" s="550"/>
      <c r="B295" s="344">
        <v>20</v>
      </c>
      <c r="C295" s="1038">
        <f t="shared" si="46"/>
        <v>0</v>
      </c>
      <c r="D295" s="376">
        <f t="shared" si="47"/>
        <v>0</v>
      </c>
      <c r="E295" s="1038">
        <f t="shared" si="48"/>
        <v>0</v>
      </c>
      <c r="F295" s="376">
        <f t="shared" si="49"/>
        <v>0</v>
      </c>
      <c r="G295" s="345">
        <v>0</v>
      </c>
      <c r="H295" s="376">
        <f t="shared" si="40"/>
        <v>0</v>
      </c>
      <c r="I295" s="345">
        <v>2.564E-2</v>
      </c>
      <c r="J295" s="376">
        <f t="shared" si="50"/>
        <v>0</v>
      </c>
      <c r="K295" s="377">
        <f t="shared" si="41"/>
        <v>0</v>
      </c>
      <c r="L295" s="376">
        <f t="shared" si="42"/>
        <v>0</v>
      </c>
      <c r="M295" s="376">
        <f t="shared" si="43"/>
        <v>0</v>
      </c>
      <c r="N295" s="376">
        <f t="shared" si="44"/>
        <v>0</v>
      </c>
      <c r="O295" s="347">
        <f t="shared" si="51"/>
        <v>0</v>
      </c>
      <c r="P295" s="347">
        <f t="shared" si="52"/>
        <v>0</v>
      </c>
      <c r="Q295" s="347">
        <f t="shared" si="53"/>
        <v>0</v>
      </c>
      <c r="R295" s="376">
        <f t="shared" si="54"/>
        <v>0</v>
      </c>
      <c r="S295" s="376">
        <f t="shared" si="45"/>
        <v>0</v>
      </c>
      <c r="T295" s="376">
        <f t="shared" si="55"/>
        <v>0</v>
      </c>
      <c r="U295" s="376"/>
      <c r="V295" s="376">
        <f t="shared" si="56"/>
        <v>0</v>
      </c>
      <c r="W295" s="347">
        <f>IF(B295&gt;$C$77,0,$C$272+SUM($J$275:J295))</f>
        <v>0</v>
      </c>
      <c r="X295" s="378">
        <f t="shared" si="57"/>
        <v>0</v>
      </c>
    </row>
    <row r="296" spans="1:24" x14ac:dyDescent="0.45">
      <c r="A296" s="550"/>
      <c r="B296" s="344"/>
      <c r="C296" s="1038"/>
      <c r="D296" s="349"/>
      <c r="E296" s="345"/>
      <c r="F296" s="349"/>
      <c r="G296" s="345"/>
      <c r="H296" s="349"/>
      <c r="I296" s="345"/>
      <c r="J296" s="349"/>
      <c r="K296" s="349"/>
      <c r="L296" s="349"/>
      <c r="M296" s="349"/>
      <c r="N296" s="345"/>
      <c r="O296" s="345"/>
      <c r="P296" s="345"/>
      <c r="Q296" s="345"/>
      <c r="R296" s="349"/>
      <c r="S296" s="349"/>
      <c r="T296" s="345"/>
      <c r="U296" s="345"/>
      <c r="V296" s="345"/>
      <c r="W296" s="348" t="s">
        <v>158</v>
      </c>
      <c r="X296" s="353">
        <f>NPV($C$201,X276:X295)+X275</f>
        <v>0</v>
      </c>
    </row>
    <row r="297" spans="1:24" x14ac:dyDescent="0.45">
      <c r="A297" s="550"/>
      <c r="B297" s="344"/>
      <c r="C297" s="1038"/>
      <c r="D297" s="360"/>
      <c r="E297" s="345"/>
      <c r="F297" s="360"/>
      <c r="G297" s="345"/>
      <c r="H297" s="360"/>
      <c r="I297" s="345"/>
      <c r="J297" s="360"/>
      <c r="K297" s="360"/>
      <c r="L297" s="360"/>
      <c r="M297" s="360"/>
      <c r="N297" s="345"/>
      <c r="O297" s="345"/>
      <c r="P297" s="345"/>
      <c r="Q297" s="345"/>
      <c r="R297" s="360"/>
      <c r="S297" s="360"/>
      <c r="T297" s="345"/>
      <c r="U297" s="345"/>
      <c r="V297" s="345"/>
      <c r="W297" s="348" t="s">
        <v>134</v>
      </c>
      <c r="X297" s="837">
        <f>IRR(X275:X295,0.1)</f>
        <v>0.10000000000000009</v>
      </c>
    </row>
    <row r="298" spans="1:24" x14ac:dyDescent="0.45">
      <c r="A298" s="550"/>
      <c r="B298" s="344"/>
      <c r="C298" s="1038"/>
      <c r="D298" s="828"/>
      <c r="E298" s="345"/>
      <c r="F298" s="345"/>
      <c r="G298" s="345"/>
      <c r="H298" s="345"/>
      <c r="I298" s="345"/>
      <c r="J298" s="348"/>
      <c r="K298" s="345"/>
      <c r="L298" s="345"/>
      <c r="M298" s="345"/>
      <c r="N298" s="345"/>
      <c r="O298" s="345"/>
      <c r="P298" s="345"/>
      <c r="Q298" s="345"/>
      <c r="R298" s="345"/>
      <c r="S298" s="345"/>
      <c r="T298" s="345"/>
      <c r="U298" s="345"/>
      <c r="V298" s="345"/>
      <c r="W298" s="345"/>
      <c r="X298" s="346"/>
    </row>
    <row r="299" spans="1:24" x14ac:dyDescent="0.45">
      <c r="A299" s="550"/>
      <c r="B299" s="357" t="s">
        <v>32</v>
      </c>
      <c r="C299" s="1038"/>
      <c r="D299" s="358"/>
      <c r="E299" s="345"/>
      <c r="F299" s="348"/>
      <c r="G299" s="345"/>
      <c r="H299" s="345"/>
      <c r="I299" s="345"/>
      <c r="J299" s="345"/>
      <c r="K299" s="345"/>
      <c r="L299" s="345"/>
      <c r="M299" s="345"/>
      <c r="N299" s="345"/>
      <c r="O299" s="345"/>
      <c r="P299" s="345"/>
      <c r="Q299" s="345"/>
      <c r="R299" s="345"/>
      <c r="S299" s="345"/>
      <c r="T299" s="345"/>
      <c r="U299" s="345"/>
      <c r="V299" s="345"/>
      <c r="W299" s="345"/>
      <c r="X299" s="346"/>
    </row>
    <row r="300" spans="1:24" x14ac:dyDescent="0.45">
      <c r="A300" s="550"/>
      <c r="B300" s="344" t="s">
        <v>274</v>
      </c>
      <c r="C300" s="832">
        <f>$D$85*$C$78</f>
        <v>33268158</v>
      </c>
      <c r="D300" s="345" t="s">
        <v>1</v>
      </c>
      <c r="E300" s="345"/>
      <c r="F300" s="345"/>
      <c r="G300" s="345"/>
      <c r="H300" s="345"/>
      <c r="I300" s="345"/>
      <c r="J300" s="345"/>
      <c r="K300" s="345"/>
      <c r="L300" s="345"/>
      <c r="M300" s="345"/>
      <c r="N300" s="345"/>
      <c r="O300" s="345"/>
      <c r="P300" s="345"/>
      <c r="Q300" s="345"/>
      <c r="R300" s="345"/>
      <c r="S300" s="345"/>
      <c r="T300" s="345"/>
      <c r="U300" s="345"/>
      <c r="V300" s="345"/>
      <c r="W300" s="345"/>
      <c r="X300" s="346"/>
    </row>
    <row r="301" spans="1:24" x14ac:dyDescent="0.45">
      <c r="A301" s="550"/>
      <c r="B301" s="344" t="s">
        <v>275</v>
      </c>
      <c r="C301" s="832">
        <f>$E$85*$C$79</f>
        <v>9052560</v>
      </c>
      <c r="D301" s="345" t="s">
        <v>1</v>
      </c>
      <c r="E301" s="345"/>
      <c r="F301" s="345"/>
      <c r="G301" s="347"/>
      <c r="H301" s="345"/>
      <c r="I301" s="345"/>
      <c r="J301" s="345"/>
      <c r="K301" s="345"/>
      <c r="L301" s="345"/>
      <c r="M301" s="345"/>
      <c r="N301" s="345"/>
      <c r="O301" s="345"/>
      <c r="P301" s="345"/>
      <c r="Q301" s="345"/>
      <c r="R301" s="345"/>
      <c r="S301" s="345"/>
      <c r="T301" s="345"/>
      <c r="U301" s="345"/>
      <c r="V301" s="345"/>
      <c r="W301" s="345"/>
      <c r="X301" s="346"/>
    </row>
    <row r="302" spans="1:24" x14ac:dyDescent="0.45">
      <c r="A302" s="550"/>
      <c r="B302" s="829"/>
      <c r="C302" s="1038"/>
      <c r="D302" s="358"/>
      <c r="E302" s="345"/>
      <c r="F302" s="348"/>
      <c r="G302" s="345"/>
      <c r="H302" s="345"/>
      <c r="I302" s="345"/>
      <c r="J302" s="345"/>
      <c r="K302" s="345"/>
      <c r="L302" s="345"/>
      <c r="M302" s="345"/>
      <c r="N302" s="345"/>
      <c r="O302" s="345"/>
      <c r="P302" s="345"/>
      <c r="Q302" s="345"/>
      <c r="R302" s="345"/>
      <c r="S302" s="345"/>
      <c r="T302" s="345"/>
      <c r="U302" s="345"/>
      <c r="V302" s="345"/>
      <c r="W302" s="345"/>
      <c r="X302" s="346"/>
    </row>
    <row r="303" spans="1:24" x14ac:dyDescent="0.45">
      <c r="A303" s="550"/>
      <c r="B303" s="354" t="s">
        <v>27</v>
      </c>
      <c r="C303" s="1040" t="s">
        <v>379</v>
      </c>
      <c r="D303" s="355" t="s">
        <v>128</v>
      </c>
      <c r="E303" s="355" t="s">
        <v>380</v>
      </c>
      <c r="F303" s="355" t="s">
        <v>245</v>
      </c>
      <c r="G303" s="355" t="s">
        <v>367</v>
      </c>
      <c r="H303" s="355" t="s">
        <v>368</v>
      </c>
      <c r="I303" s="355" t="s">
        <v>369</v>
      </c>
      <c r="J303" s="355" t="s">
        <v>370</v>
      </c>
      <c r="K303" s="355" t="s">
        <v>131</v>
      </c>
      <c r="L303" s="355" t="s">
        <v>130</v>
      </c>
      <c r="M303" s="355" t="s">
        <v>129</v>
      </c>
      <c r="N303" s="355" t="s">
        <v>374</v>
      </c>
      <c r="O303" s="355" t="s">
        <v>124</v>
      </c>
      <c r="P303" s="355" t="s">
        <v>125</v>
      </c>
      <c r="Q303" s="355" t="s">
        <v>126</v>
      </c>
      <c r="R303" s="355" t="s">
        <v>155</v>
      </c>
      <c r="S303" s="355" t="s">
        <v>157</v>
      </c>
      <c r="T303" s="355" t="s">
        <v>156</v>
      </c>
      <c r="U303" s="345" t="s">
        <v>280</v>
      </c>
      <c r="V303" s="355" t="s">
        <v>375</v>
      </c>
      <c r="W303" s="355" t="s">
        <v>373</v>
      </c>
      <c r="X303" s="835" t="s">
        <v>164</v>
      </c>
    </row>
    <row r="304" spans="1:24" x14ac:dyDescent="0.45">
      <c r="A304" s="550"/>
      <c r="B304" s="359">
        <v>0</v>
      </c>
      <c r="C304" s="1039">
        <v>0.23535824540322278</v>
      </c>
      <c r="D304" s="375">
        <v>0</v>
      </c>
      <c r="E304" s="833">
        <f>SUM(K32:K48)</f>
        <v>0.19510241488878799</v>
      </c>
      <c r="F304" s="375">
        <v>0</v>
      </c>
      <c r="G304" s="345">
        <v>0</v>
      </c>
      <c r="H304" s="376">
        <f t="shared" ref="H304:H324" si="58">IF(D304&gt;0,-1*G304*$C$300,0)</f>
        <v>0</v>
      </c>
      <c r="I304" s="376">
        <v>0</v>
      </c>
      <c r="J304" s="376">
        <v>0</v>
      </c>
      <c r="K304" s="379">
        <f t="shared" ref="K304:K324" si="59">D304+F304+H304+J304</f>
        <v>0</v>
      </c>
      <c r="L304" s="375">
        <f t="shared" ref="L304:L324" si="60">IF(F304&lt;&gt;0,-1*($C$203+$C$204)*D304,0)</f>
        <v>0</v>
      </c>
      <c r="M304" s="375">
        <f t="shared" ref="M304:M324" si="61">K304+L304</f>
        <v>0</v>
      </c>
      <c r="N304" s="376">
        <f t="shared" ref="N304:N324" si="62">IF(V304&gt;0,V304-W304,0)</f>
        <v>0</v>
      </c>
      <c r="O304" s="347">
        <v>0</v>
      </c>
      <c r="P304" s="347">
        <v>0</v>
      </c>
      <c r="Q304" s="347">
        <v>0</v>
      </c>
      <c r="R304" s="376">
        <f>IF(M304&gt;0,-1*(M304+N304)*$C$202,0)</f>
        <v>0</v>
      </c>
      <c r="S304" s="375">
        <f t="shared" ref="S304:S324" si="63">IF(B304=$C$78,0,$C$205/12*(D305+F305+L305))</f>
        <v>2230700.790137996</v>
      </c>
      <c r="T304" s="375">
        <f>S304</f>
        <v>2230700.790137996</v>
      </c>
      <c r="U304" s="375">
        <f>-1*(C300+C301)</f>
        <v>-42320718</v>
      </c>
      <c r="V304" s="376">
        <v>0</v>
      </c>
      <c r="W304" s="347">
        <f>IF(B304&gt;$C$78,0,$C$301+SUM($J$304:J304))</f>
        <v>9052560</v>
      </c>
      <c r="X304" s="836">
        <f>-T304+U304</f>
        <v>-44551418.790137999</v>
      </c>
    </row>
    <row r="305" spans="1:24" x14ac:dyDescent="0.45">
      <c r="A305" s="550"/>
      <c r="B305" s="344">
        <v>1</v>
      </c>
      <c r="C305" s="1038">
        <f t="shared" ref="C305:C324" si="64">IF(B305&gt;$C$78,0,$C$304*(1+$C$199)^B305)</f>
        <v>0.24053612680209369</v>
      </c>
      <c r="D305" s="376">
        <f t="shared" ref="D305:D324" si="65">C305*$C$198*1000000</f>
        <v>135110743.18381658</v>
      </c>
      <c r="E305" s="1038">
        <f t="shared" ref="E305:E324" si="66">IF(B305&gt;$C$78,0,$E$304*(1+$C$200)^B305)</f>
        <v>0.19939466801634134</v>
      </c>
      <c r="F305" s="376">
        <f t="shared" ref="F305:F324" si="67">-1*E305*$C$198*1000000</f>
        <v>-112001311.98896386</v>
      </c>
      <c r="G305" s="345">
        <v>0.1429</v>
      </c>
      <c r="H305" s="376">
        <f t="shared" si="58"/>
        <v>-4754019.7781999996</v>
      </c>
      <c r="I305" s="345">
        <v>1.391E-2</v>
      </c>
      <c r="J305" s="376">
        <f t="shared" ref="J305:J324" si="68">IF(D305&gt;0,-1*$C$301*I305,0)</f>
        <v>-125921.10960000001</v>
      </c>
      <c r="K305" s="377">
        <f t="shared" si="59"/>
        <v>18229490.307052724</v>
      </c>
      <c r="L305" s="376">
        <f t="shared" si="60"/>
        <v>-14186628.034300741</v>
      </c>
      <c r="M305" s="376">
        <f t="shared" si="61"/>
        <v>4042862.2727519833</v>
      </c>
      <c r="N305" s="376">
        <f t="shared" si="62"/>
        <v>0</v>
      </c>
      <c r="O305" s="347">
        <f t="shared" ref="O305:O324" si="69">IF(M305&lt;0,M305*-1,0)</f>
        <v>0</v>
      </c>
      <c r="P305" s="347">
        <f t="shared" ref="P305:P324" si="70">P304+O305-Q305</f>
        <v>0</v>
      </c>
      <c r="Q305" s="347">
        <f t="shared" ref="Q305:Q324" si="71">IF(B305=$C$78+1,O305,IF(AND(M305&gt;0, P304&gt;0), MIN(M305,P304),0))</f>
        <v>0</v>
      </c>
      <c r="R305" s="376">
        <f t="shared" ref="R305:R324" si="72">IF(M305&gt;0,-1*(M305+N305-Q305)*$C$202,0)</f>
        <v>-1127958.5740978031</v>
      </c>
      <c r="S305" s="376">
        <f t="shared" si="63"/>
        <v>2279776.2075210423</v>
      </c>
      <c r="T305" s="376">
        <f t="shared" ref="T305:T324" si="73">(S305-S304)</f>
        <v>49075.417383046355</v>
      </c>
      <c r="U305" s="376"/>
      <c r="V305" s="376">
        <f t="shared" ref="V305:V324" si="74">IF(B305=$C$78,$C$301*(1-1/$C$79*B305),0)</f>
        <v>0</v>
      </c>
      <c r="W305" s="347">
        <f>IF(B305&gt;$C$78,0,$C$301+SUM($J$304:J305))</f>
        <v>8926638.8903999999</v>
      </c>
      <c r="X305" s="378">
        <f t="shared" ref="X305:X324" si="75">M305+R305-1*(H305+J305)-T305+U305+V305</f>
        <v>7745769.1690711342</v>
      </c>
    </row>
    <row r="306" spans="1:24" x14ac:dyDescent="0.45">
      <c r="A306" s="550"/>
      <c r="B306" s="344">
        <v>2</v>
      </c>
      <c r="C306" s="1038">
        <f t="shared" si="64"/>
        <v>0.24582792159173975</v>
      </c>
      <c r="D306" s="376">
        <f t="shared" si="65"/>
        <v>138083179.53386056</v>
      </c>
      <c r="E306" s="1038">
        <f t="shared" si="66"/>
        <v>0.20378135071270082</v>
      </c>
      <c r="F306" s="376">
        <f t="shared" si="67"/>
        <v>-114465340.85272104</v>
      </c>
      <c r="G306" s="345">
        <v>0.24490000000000001</v>
      </c>
      <c r="H306" s="376">
        <f t="shared" si="58"/>
        <v>-8147371.8942</v>
      </c>
      <c r="I306" s="345">
        <v>2.564E-2</v>
      </c>
      <c r="J306" s="376">
        <f t="shared" si="68"/>
        <v>-232107.6384</v>
      </c>
      <c r="K306" s="377">
        <f t="shared" si="59"/>
        <v>15238359.148539528</v>
      </c>
      <c r="L306" s="376">
        <f t="shared" si="60"/>
        <v>-14498733.851055359</v>
      </c>
      <c r="M306" s="376">
        <f t="shared" si="61"/>
        <v>739625.29748416878</v>
      </c>
      <c r="N306" s="376">
        <f t="shared" si="62"/>
        <v>0</v>
      </c>
      <c r="O306" s="347">
        <f t="shared" si="69"/>
        <v>0</v>
      </c>
      <c r="P306" s="347">
        <f t="shared" si="70"/>
        <v>0</v>
      </c>
      <c r="Q306" s="347">
        <f t="shared" si="71"/>
        <v>0</v>
      </c>
      <c r="R306" s="376">
        <f t="shared" si="72"/>
        <v>-206355.45799808306</v>
      </c>
      <c r="S306" s="376">
        <f t="shared" si="63"/>
        <v>2329931.2840865091</v>
      </c>
      <c r="T306" s="376">
        <f t="shared" si="73"/>
        <v>50155.076565466821</v>
      </c>
      <c r="U306" s="376"/>
      <c r="V306" s="376">
        <f t="shared" si="74"/>
        <v>0</v>
      </c>
      <c r="W306" s="347">
        <f>IF(B306&gt;$C$78,0,$C$301+SUM($J$304:J306))</f>
        <v>8694531.2520000003</v>
      </c>
      <c r="X306" s="378">
        <f t="shared" si="75"/>
        <v>8862594.2955206186</v>
      </c>
    </row>
    <row r="307" spans="1:24" x14ac:dyDescent="0.45">
      <c r="A307" s="550"/>
      <c r="B307" s="344">
        <v>3</v>
      </c>
      <c r="C307" s="1038">
        <f t="shared" si="64"/>
        <v>0.25123613586675803</v>
      </c>
      <c r="D307" s="376">
        <f t="shared" si="65"/>
        <v>141121009.48360553</v>
      </c>
      <c r="E307" s="1038">
        <f t="shared" si="66"/>
        <v>0.20826454042838025</v>
      </c>
      <c r="F307" s="376">
        <f t="shared" si="67"/>
        <v>-116983578.35148092</v>
      </c>
      <c r="G307" s="345">
        <v>0.1749</v>
      </c>
      <c r="H307" s="376">
        <f t="shared" si="58"/>
        <v>-5818600.8342000004</v>
      </c>
      <c r="I307" s="345">
        <v>2.564E-2</v>
      </c>
      <c r="J307" s="376">
        <f t="shared" si="68"/>
        <v>-232107.6384</v>
      </c>
      <c r="K307" s="377">
        <f t="shared" si="59"/>
        <v>18086722.659524616</v>
      </c>
      <c r="L307" s="376">
        <f t="shared" si="60"/>
        <v>-14817705.995778581</v>
      </c>
      <c r="M307" s="376">
        <f t="shared" si="61"/>
        <v>3269016.6637460347</v>
      </c>
      <c r="N307" s="376">
        <f t="shared" si="62"/>
        <v>0</v>
      </c>
      <c r="O307" s="347">
        <f t="shared" si="69"/>
        <v>0</v>
      </c>
      <c r="P307" s="347">
        <f t="shared" si="70"/>
        <v>0</v>
      </c>
      <c r="Q307" s="347">
        <f t="shared" si="71"/>
        <v>0</v>
      </c>
      <c r="R307" s="376">
        <f t="shared" si="72"/>
        <v>-912055.64918514364</v>
      </c>
      <c r="S307" s="376">
        <f t="shared" si="63"/>
        <v>2381189.7723364038</v>
      </c>
      <c r="T307" s="376">
        <f t="shared" si="73"/>
        <v>51258.488249894697</v>
      </c>
      <c r="U307" s="376"/>
      <c r="V307" s="376">
        <f t="shared" si="74"/>
        <v>0</v>
      </c>
      <c r="W307" s="347">
        <f>IF(B307&gt;$C$78,0,$C$301+SUM($J$304:J307))</f>
        <v>8462423.6136000007</v>
      </c>
      <c r="X307" s="378">
        <f t="shared" si="75"/>
        <v>8356410.9989109971</v>
      </c>
    </row>
    <row r="308" spans="1:24" x14ac:dyDescent="0.45">
      <c r="A308" s="550"/>
      <c r="B308" s="344">
        <v>4</v>
      </c>
      <c r="C308" s="1038">
        <f t="shared" si="64"/>
        <v>0.2567633308558267</v>
      </c>
      <c r="D308" s="376">
        <f t="shared" si="65"/>
        <v>144225671.69224483</v>
      </c>
      <c r="E308" s="1038">
        <f t="shared" si="66"/>
        <v>0.21284636031780463</v>
      </c>
      <c r="F308" s="376">
        <f t="shared" si="67"/>
        <v>-119557217.07521351</v>
      </c>
      <c r="G308" s="345">
        <v>0.1249</v>
      </c>
      <c r="H308" s="376">
        <f t="shared" si="58"/>
        <v>-4155192.9342</v>
      </c>
      <c r="I308" s="345">
        <v>2.564E-2</v>
      </c>
      <c r="J308" s="376">
        <f t="shared" si="68"/>
        <v>-232107.6384</v>
      </c>
      <c r="K308" s="377">
        <f t="shared" si="59"/>
        <v>20281154.044431321</v>
      </c>
      <c r="L308" s="376">
        <f t="shared" si="60"/>
        <v>-15143695.527685706</v>
      </c>
      <c r="M308" s="376">
        <f t="shared" si="61"/>
        <v>5137458.5167456158</v>
      </c>
      <c r="N308" s="376">
        <f t="shared" si="62"/>
        <v>0</v>
      </c>
      <c r="O308" s="347">
        <f t="shared" si="69"/>
        <v>0</v>
      </c>
      <c r="P308" s="347">
        <f t="shared" si="70"/>
        <v>0</v>
      </c>
      <c r="Q308" s="347">
        <f t="shared" si="71"/>
        <v>0</v>
      </c>
      <c r="R308" s="376">
        <f t="shared" si="72"/>
        <v>-1433350.9261720267</v>
      </c>
      <c r="S308" s="376">
        <f t="shared" si="63"/>
        <v>2433575.9473278094</v>
      </c>
      <c r="T308" s="376">
        <f t="shared" si="73"/>
        <v>52386.174991405569</v>
      </c>
      <c r="U308" s="376"/>
      <c r="V308" s="376">
        <f t="shared" si="74"/>
        <v>0</v>
      </c>
      <c r="W308" s="347">
        <f>IF(B308&gt;$C$78,0,$C$301+SUM($J$304:J308))</f>
        <v>8230315.9752000002</v>
      </c>
      <c r="X308" s="378">
        <f t="shared" si="75"/>
        <v>8039021.9881821834</v>
      </c>
    </row>
    <row r="309" spans="1:24" x14ac:dyDescent="0.45">
      <c r="A309" s="550"/>
      <c r="B309" s="344">
        <v>5</v>
      </c>
      <c r="C309" s="1038">
        <f t="shared" si="64"/>
        <v>0.26241212413465487</v>
      </c>
      <c r="D309" s="376">
        <f t="shared" si="65"/>
        <v>147398636.46947423</v>
      </c>
      <c r="E309" s="1038">
        <f t="shared" si="66"/>
        <v>0.21752898024479633</v>
      </c>
      <c r="F309" s="376">
        <f t="shared" si="67"/>
        <v>-122187475.8508682</v>
      </c>
      <c r="G309" s="345">
        <v>8.9300000000000004E-2</v>
      </c>
      <c r="H309" s="376">
        <f t="shared" si="58"/>
        <v>-2970846.5094000003</v>
      </c>
      <c r="I309" s="345">
        <v>2.564E-2</v>
      </c>
      <c r="J309" s="376">
        <f t="shared" si="68"/>
        <v>-232107.6384</v>
      </c>
      <c r="K309" s="377">
        <f t="shared" si="59"/>
        <v>22008206.470806032</v>
      </c>
      <c r="L309" s="376">
        <f t="shared" si="60"/>
        <v>-15476856.829294793</v>
      </c>
      <c r="M309" s="376">
        <f t="shared" si="61"/>
        <v>6531349.6415112391</v>
      </c>
      <c r="N309" s="376">
        <f t="shared" si="62"/>
        <v>0</v>
      </c>
      <c r="O309" s="347">
        <f t="shared" si="69"/>
        <v>0</v>
      </c>
      <c r="P309" s="347">
        <f t="shared" si="70"/>
        <v>0</v>
      </c>
      <c r="Q309" s="347">
        <f t="shared" si="71"/>
        <v>0</v>
      </c>
      <c r="R309" s="376">
        <f t="shared" si="72"/>
        <v>-1822246.5499816355</v>
      </c>
      <c r="S309" s="376">
        <f t="shared" si="63"/>
        <v>2487114.6181690209</v>
      </c>
      <c r="T309" s="376">
        <f t="shared" si="73"/>
        <v>53538.670841211453</v>
      </c>
      <c r="U309" s="376"/>
      <c r="V309" s="376">
        <f t="shared" si="74"/>
        <v>0</v>
      </c>
      <c r="W309" s="347">
        <f>IF(B309&gt;$C$78,0,$C$301+SUM($J$304:J309))</f>
        <v>7998208.3367999997</v>
      </c>
      <c r="X309" s="378">
        <f t="shared" si="75"/>
        <v>7858518.568488393</v>
      </c>
    </row>
    <row r="310" spans="1:24" x14ac:dyDescent="0.45">
      <c r="A310" s="550"/>
      <c r="B310" s="344">
        <v>6</v>
      </c>
      <c r="C310" s="1038">
        <f t="shared" si="64"/>
        <v>0.26818519086561726</v>
      </c>
      <c r="D310" s="376">
        <f t="shared" si="65"/>
        <v>150641406.47180265</v>
      </c>
      <c r="E310" s="1038">
        <f t="shared" si="66"/>
        <v>0.22231461781018183</v>
      </c>
      <c r="F310" s="376">
        <f t="shared" si="67"/>
        <v>-124875600.31958729</v>
      </c>
      <c r="G310" s="345">
        <v>8.9200000000000002E-2</v>
      </c>
      <c r="H310" s="376">
        <f t="shared" si="58"/>
        <v>-2967519.6935999999</v>
      </c>
      <c r="I310" s="345">
        <v>2.564E-2</v>
      </c>
      <c r="J310" s="376">
        <f t="shared" si="68"/>
        <v>-232107.6384</v>
      </c>
      <c r="K310" s="377">
        <f t="shared" si="59"/>
        <v>22566178.820215363</v>
      </c>
      <c r="L310" s="376">
        <f t="shared" si="60"/>
        <v>-15817347.679539278</v>
      </c>
      <c r="M310" s="376">
        <f t="shared" si="61"/>
        <v>6748831.1406760849</v>
      </c>
      <c r="N310" s="376">
        <f t="shared" si="62"/>
        <v>0</v>
      </c>
      <c r="O310" s="347">
        <f t="shared" si="69"/>
        <v>0</v>
      </c>
      <c r="P310" s="347">
        <f t="shared" si="70"/>
        <v>0</v>
      </c>
      <c r="Q310" s="347">
        <f t="shared" si="71"/>
        <v>0</v>
      </c>
      <c r="R310" s="376">
        <f t="shared" si="72"/>
        <v>-1882923.8882486275</v>
      </c>
      <c r="S310" s="376">
        <f t="shared" si="63"/>
        <v>2541831.139768735</v>
      </c>
      <c r="T310" s="376">
        <f t="shared" si="73"/>
        <v>54716.521599714179</v>
      </c>
      <c r="U310" s="376"/>
      <c r="V310" s="376">
        <f t="shared" si="74"/>
        <v>0</v>
      </c>
      <c r="W310" s="347">
        <f>IF(B310&gt;$C$78,0,$C$301+SUM($J$304:J310))</f>
        <v>7766100.6984000001</v>
      </c>
      <c r="X310" s="378">
        <f t="shared" si="75"/>
        <v>8010818.0628277436</v>
      </c>
    </row>
    <row r="311" spans="1:24" x14ac:dyDescent="0.45">
      <c r="A311" s="550"/>
      <c r="B311" s="344">
        <v>7</v>
      </c>
      <c r="C311" s="1038">
        <f t="shared" si="64"/>
        <v>0.27408526506466085</v>
      </c>
      <c r="D311" s="376">
        <f t="shared" si="65"/>
        <v>153955517.41418228</v>
      </c>
      <c r="E311" s="1038">
        <f t="shared" si="66"/>
        <v>0.22720553940200583</v>
      </c>
      <c r="F311" s="376">
        <f t="shared" si="67"/>
        <v>-127622863.5266182</v>
      </c>
      <c r="G311" s="345">
        <v>8.9300000000000004E-2</v>
      </c>
      <c r="H311" s="376">
        <f t="shared" si="58"/>
        <v>-2970846.5094000003</v>
      </c>
      <c r="I311" s="345">
        <v>2.564E-2</v>
      </c>
      <c r="J311" s="376">
        <f t="shared" si="68"/>
        <v>-232107.6384</v>
      </c>
      <c r="K311" s="377">
        <f t="shared" si="59"/>
        <v>23129699.739764079</v>
      </c>
      <c r="L311" s="376">
        <f t="shared" si="60"/>
        <v>-16165329.328489138</v>
      </c>
      <c r="M311" s="376">
        <f t="shared" si="61"/>
        <v>6964370.4112749416</v>
      </c>
      <c r="N311" s="376">
        <f t="shared" si="62"/>
        <v>-1016149.8599999994</v>
      </c>
      <c r="O311" s="347">
        <f t="shared" si="69"/>
        <v>0</v>
      </c>
      <c r="P311" s="347">
        <f t="shared" si="70"/>
        <v>0</v>
      </c>
      <c r="Q311" s="347">
        <f t="shared" si="71"/>
        <v>0</v>
      </c>
      <c r="R311" s="376">
        <f t="shared" si="72"/>
        <v>-1659553.5338057086</v>
      </c>
      <c r="S311" s="376">
        <f t="shared" si="63"/>
        <v>0</v>
      </c>
      <c r="T311" s="376">
        <f t="shared" si="73"/>
        <v>-2541831.139768735</v>
      </c>
      <c r="U311" s="376"/>
      <c r="V311" s="376">
        <f t="shared" si="74"/>
        <v>6517843.2000000002</v>
      </c>
      <c r="W311" s="347">
        <f>IF(B311&gt;$C$78,0,$C$301+SUM($J$304:J311))</f>
        <v>7533993.0599999996</v>
      </c>
      <c r="X311" s="378">
        <f t="shared" si="75"/>
        <v>17567445.365037967</v>
      </c>
    </row>
    <row r="312" spans="1:24" x14ac:dyDescent="0.45">
      <c r="A312" s="550"/>
      <c r="B312" s="344">
        <v>8</v>
      </c>
      <c r="C312" s="1038">
        <f t="shared" si="64"/>
        <v>0</v>
      </c>
      <c r="D312" s="376">
        <f t="shared" si="65"/>
        <v>0</v>
      </c>
      <c r="E312" s="1038">
        <f t="shared" si="66"/>
        <v>0</v>
      </c>
      <c r="F312" s="376">
        <f t="shared" si="67"/>
        <v>0</v>
      </c>
      <c r="G312" s="345">
        <v>4.4600000000000001E-2</v>
      </c>
      <c r="H312" s="376">
        <f t="shared" si="58"/>
        <v>0</v>
      </c>
      <c r="I312" s="345">
        <v>2.564E-2</v>
      </c>
      <c r="J312" s="376">
        <f t="shared" si="68"/>
        <v>0</v>
      </c>
      <c r="K312" s="377">
        <f t="shared" si="59"/>
        <v>0</v>
      </c>
      <c r="L312" s="376">
        <f t="shared" si="60"/>
        <v>0</v>
      </c>
      <c r="M312" s="376">
        <f t="shared" si="61"/>
        <v>0</v>
      </c>
      <c r="N312" s="376">
        <f t="shared" si="62"/>
        <v>0</v>
      </c>
      <c r="O312" s="347">
        <f t="shared" si="69"/>
        <v>0</v>
      </c>
      <c r="P312" s="347">
        <f t="shared" si="70"/>
        <v>0</v>
      </c>
      <c r="Q312" s="347">
        <f t="shared" si="71"/>
        <v>0</v>
      </c>
      <c r="R312" s="376">
        <f t="shared" si="72"/>
        <v>0</v>
      </c>
      <c r="S312" s="376">
        <f t="shared" si="63"/>
        <v>0</v>
      </c>
      <c r="T312" s="376">
        <f t="shared" si="73"/>
        <v>0</v>
      </c>
      <c r="U312" s="376"/>
      <c r="V312" s="376">
        <f t="shared" si="74"/>
        <v>0</v>
      </c>
      <c r="W312" s="347">
        <f>IF(B312&gt;$C$78,0,$C$301+SUM($J$304:J312))</f>
        <v>0</v>
      </c>
      <c r="X312" s="378">
        <f t="shared" si="75"/>
        <v>0</v>
      </c>
    </row>
    <row r="313" spans="1:24" x14ac:dyDescent="0.45">
      <c r="A313" s="550"/>
      <c r="B313" s="344">
        <v>9</v>
      </c>
      <c r="C313" s="1038">
        <f t="shared" si="64"/>
        <v>0</v>
      </c>
      <c r="D313" s="376">
        <f t="shared" si="65"/>
        <v>0</v>
      </c>
      <c r="E313" s="1038">
        <f t="shared" si="66"/>
        <v>0</v>
      </c>
      <c r="F313" s="376">
        <f t="shared" si="67"/>
        <v>0</v>
      </c>
      <c r="G313" s="345">
        <v>0</v>
      </c>
      <c r="H313" s="376">
        <f t="shared" si="58"/>
        <v>0</v>
      </c>
      <c r="I313" s="345">
        <v>2.564E-2</v>
      </c>
      <c r="J313" s="376">
        <f t="shared" si="68"/>
        <v>0</v>
      </c>
      <c r="K313" s="377">
        <f t="shared" si="59"/>
        <v>0</v>
      </c>
      <c r="L313" s="376">
        <f t="shared" si="60"/>
        <v>0</v>
      </c>
      <c r="M313" s="376">
        <f t="shared" si="61"/>
        <v>0</v>
      </c>
      <c r="N313" s="376">
        <f t="shared" si="62"/>
        <v>0</v>
      </c>
      <c r="O313" s="347">
        <f t="shared" si="69"/>
        <v>0</v>
      </c>
      <c r="P313" s="347">
        <f t="shared" si="70"/>
        <v>0</v>
      </c>
      <c r="Q313" s="347">
        <f t="shared" si="71"/>
        <v>0</v>
      </c>
      <c r="R313" s="376">
        <f t="shared" si="72"/>
        <v>0</v>
      </c>
      <c r="S313" s="376">
        <f t="shared" si="63"/>
        <v>0</v>
      </c>
      <c r="T313" s="376">
        <f t="shared" si="73"/>
        <v>0</v>
      </c>
      <c r="U313" s="376"/>
      <c r="V313" s="376">
        <f t="shared" si="74"/>
        <v>0</v>
      </c>
      <c r="W313" s="347">
        <f>IF(B313&gt;$C$78,0,$C$301+SUM($J$304:J313))</f>
        <v>0</v>
      </c>
      <c r="X313" s="378">
        <f t="shared" si="75"/>
        <v>0</v>
      </c>
    </row>
    <row r="314" spans="1:24" x14ac:dyDescent="0.45">
      <c r="A314" s="550"/>
      <c r="B314" s="344">
        <v>10</v>
      </c>
      <c r="C314" s="1038">
        <f t="shared" si="64"/>
        <v>0</v>
      </c>
      <c r="D314" s="376">
        <f t="shared" si="65"/>
        <v>0</v>
      </c>
      <c r="E314" s="1038">
        <f t="shared" si="66"/>
        <v>0</v>
      </c>
      <c r="F314" s="376">
        <f t="shared" si="67"/>
        <v>0</v>
      </c>
      <c r="G314" s="345">
        <v>0</v>
      </c>
      <c r="H314" s="376">
        <f t="shared" si="58"/>
        <v>0</v>
      </c>
      <c r="I314" s="345">
        <v>2.564E-2</v>
      </c>
      <c r="J314" s="376">
        <f t="shared" si="68"/>
        <v>0</v>
      </c>
      <c r="K314" s="377">
        <f t="shared" si="59"/>
        <v>0</v>
      </c>
      <c r="L314" s="376">
        <f t="shared" si="60"/>
        <v>0</v>
      </c>
      <c r="M314" s="376">
        <f t="shared" si="61"/>
        <v>0</v>
      </c>
      <c r="N314" s="376">
        <f t="shared" si="62"/>
        <v>0</v>
      </c>
      <c r="O314" s="347">
        <f t="shared" si="69"/>
        <v>0</v>
      </c>
      <c r="P314" s="347">
        <f t="shared" si="70"/>
        <v>0</v>
      </c>
      <c r="Q314" s="347">
        <f t="shared" si="71"/>
        <v>0</v>
      </c>
      <c r="R314" s="376">
        <f t="shared" si="72"/>
        <v>0</v>
      </c>
      <c r="S314" s="376">
        <f t="shared" si="63"/>
        <v>0</v>
      </c>
      <c r="T314" s="376">
        <f t="shared" si="73"/>
        <v>0</v>
      </c>
      <c r="U314" s="376"/>
      <c r="V314" s="376">
        <f t="shared" si="74"/>
        <v>0</v>
      </c>
      <c r="W314" s="347">
        <f>IF(B314&gt;$C$78,0,$C$301+SUM($J$304:J314))</f>
        <v>0</v>
      </c>
      <c r="X314" s="378">
        <f t="shared" si="75"/>
        <v>0</v>
      </c>
    </row>
    <row r="315" spans="1:24" x14ac:dyDescent="0.45">
      <c r="A315" s="550"/>
      <c r="B315" s="344">
        <v>11</v>
      </c>
      <c r="C315" s="1038">
        <f t="shared" si="64"/>
        <v>0</v>
      </c>
      <c r="D315" s="376">
        <f t="shared" si="65"/>
        <v>0</v>
      </c>
      <c r="E315" s="1038">
        <f t="shared" si="66"/>
        <v>0</v>
      </c>
      <c r="F315" s="376">
        <f t="shared" si="67"/>
        <v>0</v>
      </c>
      <c r="G315" s="345">
        <v>0</v>
      </c>
      <c r="H315" s="376">
        <f t="shared" si="58"/>
        <v>0</v>
      </c>
      <c r="I315" s="345">
        <v>2.564E-2</v>
      </c>
      <c r="J315" s="376">
        <f t="shared" si="68"/>
        <v>0</v>
      </c>
      <c r="K315" s="377">
        <f t="shared" si="59"/>
        <v>0</v>
      </c>
      <c r="L315" s="376">
        <f t="shared" si="60"/>
        <v>0</v>
      </c>
      <c r="M315" s="376">
        <f t="shared" si="61"/>
        <v>0</v>
      </c>
      <c r="N315" s="376">
        <f t="shared" si="62"/>
        <v>0</v>
      </c>
      <c r="O315" s="347">
        <f t="shared" si="69"/>
        <v>0</v>
      </c>
      <c r="P315" s="347">
        <f t="shared" si="70"/>
        <v>0</v>
      </c>
      <c r="Q315" s="347">
        <f t="shared" si="71"/>
        <v>0</v>
      </c>
      <c r="R315" s="376">
        <f t="shared" si="72"/>
        <v>0</v>
      </c>
      <c r="S315" s="376">
        <f t="shared" si="63"/>
        <v>0</v>
      </c>
      <c r="T315" s="376">
        <f t="shared" si="73"/>
        <v>0</v>
      </c>
      <c r="U315" s="376"/>
      <c r="V315" s="376">
        <f t="shared" si="74"/>
        <v>0</v>
      </c>
      <c r="W315" s="347">
        <f>IF(B315&gt;$C$78,0,$C$301+SUM($J$304:J315))</f>
        <v>0</v>
      </c>
      <c r="X315" s="378">
        <f t="shared" si="75"/>
        <v>0</v>
      </c>
    </row>
    <row r="316" spans="1:24" x14ac:dyDescent="0.45">
      <c r="A316" s="550"/>
      <c r="B316" s="344">
        <v>12</v>
      </c>
      <c r="C316" s="1038">
        <f t="shared" si="64"/>
        <v>0</v>
      </c>
      <c r="D316" s="376">
        <f t="shared" si="65"/>
        <v>0</v>
      </c>
      <c r="E316" s="1038">
        <f t="shared" si="66"/>
        <v>0</v>
      </c>
      <c r="F316" s="376">
        <f t="shared" si="67"/>
        <v>0</v>
      </c>
      <c r="G316" s="345">
        <v>0</v>
      </c>
      <c r="H316" s="376">
        <f t="shared" si="58"/>
        <v>0</v>
      </c>
      <c r="I316" s="345">
        <v>2.564E-2</v>
      </c>
      <c r="J316" s="376">
        <f t="shared" si="68"/>
        <v>0</v>
      </c>
      <c r="K316" s="377">
        <f t="shared" si="59"/>
        <v>0</v>
      </c>
      <c r="L316" s="376">
        <f t="shared" si="60"/>
        <v>0</v>
      </c>
      <c r="M316" s="376">
        <f t="shared" si="61"/>
        <v>0</v>
      </c>
      <c r="N316" s="376">
        <f t="shared" si="62"/>
        <v>0</v>
      </c>
      <c r="O316" s="347">
        <f t="shared" si="69"/>
        <v>0</v>
      </c>
      <c r="P316" s="347">
        <f t="shared" si="70"/>
        <v>0</v>
      </c>
      <c r="Q316" s="347">
        <f t="shared" si="71"/>
        <v>0</v>
      </c>
      <c r="R316" s="376">
        <f t="shared" si="72"/>
        <v>0</v>
      </c>
      <c r="S316" s="376">
        <f t="shared" si="63"/>
        <v>0</v>
      </c>
      <c r="T316" s="376">
        <f t="shared" si="73"/>
        <v>0</v>
      </c>
      <c r="U316" s="376"/>
      <c r="V316" s="376">
        <f t="shared" si="74"/>
        <v>0</v>
      </c>
      <c r="W316" s="347">
        <f>IF(B316&gt;$C$78,0,$C$301+SUM($J$304:J316))</f>
        <v>0</v>
      </c>
      <c r="X316" s="378">
        <f t="shared" si="75"/>
        <v>0</v>
      </c>
    </row>
    <row r="317" spans="1:24" x14ac:dyDescent="0.45">
      <c r="A317" s="550"/>
      <c r="B317" s="344">
        <v>13</v>
      </c>
      <c r="C317" s="1038">
        <f t="shared" si="64"/>
        <v>0</v>
      </c>
      <c r="D317" s="376">
        <f t="shared" si="65"/>
        <v>0</v>
      </c>
      <c r="E317" s="1038">
        <f t="shared" si="66"/>
        <v>0</v>
      </c>
      <c r="F317" s="376">
        <f t="shared" si="67"/>
        <v>0</v>
      </c>
      <c r="G317" s="345">
        <v>0</v>
      </c>
      <c r="H317" s="376">
        <f t="shared" si="58"/>
        <v>0</v>
      </c>
      <c r="I317" s="345">
        <v>2.564E-2</v>
      </c>
      <c r="J317" s="376">
        <f t="shared" si="68"/>
        <v>0</v>
      </c>
      <c r="K317" s="377">
        <f t="shared" si="59"/>
        <v>0</v>
      </c>
      <c r="L317" s="376">
        <f t="shared" si="60"/>
        <v>0</v>
      </c>
      <c r="M317" s="376">
        <f t="shared" si="61"/>
        <v>0</v>
      </c>
      <c r="N317" s="376">
        <f t="shared" si="62"/>
        <v>0</v>
      </c>
      <c r="O317" s="347">
        <f t="shared" si="69"/>
        <v>0</v>
      </c>
      <c r="P317" s="347">
        <f t="shared" si="70"/>
        <v>0</v>
      </c>
      <c r="Q317" s="347">
        <f t="shared" si="71"/>
        <v>0</v>
      </c>
      <c r="R317" s="376">
        <f t="shared" si="72"/>
        <v>0</v>
      </c>
      <c r="S317" s="376">
        <f t="shared" si="63"/>
        <v>0</v>
      </c>
      <c r="T317" s="376">
        <f t="shared" si="73"/>
        <v>0</v>
      </c>
      <c r="U317" s="376"/>
      <c r="V317" s="376">
        <f t="shared" si="74"/>
        <v>0</v>
      </c>
      <c r="W317" s="347">
        <f>IF(B317&gt;$C$78,0,$C$301+SUM($J$304:J317))</f>
        <v>0</v>
      </c>
      <c r="X317" s="378">
        <f t="shared" si="75"/>
        <v>0</v>
      </c>
    </row>
    <row r="318" spans="1:24" x14ac:dyDescent="0.45">
      <c r="A318" s="550"/>
      <c r="B318" s="344">
        <v>14</v>
      </c>
      <c r="C318" s="1038">
        <f t="shared" si="64"/>
        <v>0</v>
      </c>
      <c r="D318" s="376">
        <f t="shared" si="65"/>
        <v>0</v>
      </c>
      <c r="E318" s="1038">
        <f t="shared" si="66"/>
        <v>0</v>
      </c>
      <c r="F318" s="376">
        <f t="shared" si="67"/>
        <v>0</v>
      </c>
      <c r="G318" s="345">
        <v>0</v>
      </c>
      <c r="H318" s="376">
        <f t="shared" si="58"/>
        <v>0</v>
      </c>
      <c r="I318" s="345">
        <v>2.564E-2</v>
      </c>
      <c r="J318" s="376">
        <f t="shared" si="68"/>
        <v>0</v>
      </c>
      <c r="K318" s="377">
        <f t="shared" si="59"/>
        <v>0</v>
      </c>
      <c r="L318" s="376">
        <f t="shared" si="60"/>
        <v>0</v>
      </c>
      <c r="M318" s="376">
        <f t="shared" si="61"/>
        <v>0</v>
      </c>
      <c r="N318" s="376">
        <f t="shared" si="62"/>
        <v>0</v>
      </c>
      <c r="O318" s="347">
        <f t="shared" si="69"/>
        <v>0</v>
      </c>
      <c r="P318" s="347">
        <f t="shared" si="70"/>
        <v>0</v>
      </c>
      <c r="Q318" s="347">
        <f t="shared" si="71"/>
        <v>0</v>
      </c>
      <c r="R318" s="376">
        <f t="shared" si="72"/>
        <v>0</v>
      </c>
      <c r="S318" s="376">
        <f t="shared" si="63"/>
        <v>0</v>
      </c>
      <c r="T318" s="376">
        <f t="shared" si="73"/>
        <v>0</v>
      </c>
      <c r="U318" s="376"/>
      <c r="V318" s="376">
        <f t="shared" si="74"/>
        <v>0</v>
      </c>
      <c r="W318" s="347">
        <f>IF(B318&gt;$C$78,0,$C$301+SUM($J$304:J318))</f>
        <v>0</v>
      </c>
      <c r="X318" s="378">
        <f t="shared" si="75"/>
        <v>0</v>
      </c>
    </row>
    <row r="319" spans="1:24" x14ac:dyDescent="0.45">
      <c r="A319" s="550"/>
      <c r="B319" s="344">
        <v>15</v>
      </c>
      <c r="C319" s="1038">
        <f t="shared" si="64"/>
        <v>0</v>
      </c>
      <c r="D319" s="376">
        <f t="shared" si="65"/>
        <v>0</v>
      </c>
      <c r="E319" s="1038">
        <f t="shared" si="66"/>
        <v>0</v>
      </c>
      <c r="F319" s="376">
        <f t="shared" si="67"/>
        <v>0</v>
      </c>
      <c r="G319" s="345">
        <v>0</v>
      </c>
      <c r="H319" s="376">
        <f t="shared" si="58"/>
        <v>0</v>
      </c>
      <c r="I319" s="345">
        <v>2.564E-2</v>
      </c>
      <c r="J319" s="376">
        <f t="shared" si="68"/>
        <v>0</v>
      </c>
      <c r="K319" s="377">
        <f t="shared" si="59"/>
        <v>0</v>
      </c>
      <c r="L319" s="376">
        <f t="shared" si="60"/>
        <v>0</v>
      </c>
      <c r="M319" s="376">
        <f t="shared" si="61"/>
        <v>0</v>
      </c>
      <c r="N319" s="376">
        <f t="shared" si="62"/>
        <v>0</v>
      </c>
      <c r="O319" s="347">
        <f t="shared" si="69"/>
        <v>0</v>
      </c>
      <c r="P319" s="347">
        <f t="shared" si="70"/>
        <v>0</v>
      </c>
      <c r="Q319" s="347">
        <f t="shared" si="71"/>
        <v>0</v>
      </c>
      <c r="R319" s="376">
        <f t="shared" si="72"/>
        <v>0</v>
      </c>
      <c r="S319" s="376">
        <f t="shared" si="63"/>
        <v>0</v>
      </c>
      <c r="T319" s="376">
        <f t="shared" si="73"/>
        <v>0</v>
      </c>
      <c r="U319" s="376"/>
      <c r="V319" s="376">
        <f t="shared" si="74"/>
        <v>0</v>
      </c>
      <c r="W319" s="347">
        <f>IF(B319&gt;$C$78,0,$C$301+SUM($J$304:J319))</f>
        <v>0</v>
      </c>
      <c r="X319" s="378">
        <f t="shared" si="75"/>
        <v>0</v>
      </c>
    </row>
    <row r="320" spans="1:24" x14ac:dyDescent="0.45">
      <c r="A320" s="550"/>
      <c r="B320" s="344">
        <v>16</v>
      </c>
      <c r="C320" s="1038">
        <f t="shared" si="64"/>
        <v>0</v>
      </c>
      <c r="D320" s="376">
        <f t="shared" si="65"/>
        <v>0</v>
      </c>
      <c r="E320" s="1038">
        <f t="shared" si="66"/>
        <v>0</v>
      </c>
      <c r="F320" s="376">
        <f t="shared" si="67"/>
        <v>0</v>
      </c>
      <c r="G320" s="345">
        <v>0</v>
      </c>
      <c r="H320" s="376">
        <f t="shared" si="58"/>
        <v>0</v>
      </c>
      <c r="I320" s="345">
        <v>2.564E-2</v>
      </c>
      <c r="J320" s="376">
        <f t="shared" si="68"/>
        <v>0</v>
      </c>
      <c r="K320" s="377">
        <f t="shared" si="59"/>
        <v>0</v>
      </c>
      <c r="L320" s="376">
        <f t="shared" si="60"/>
        <v>0</v>
      </c>
      <c r="M320" s="376">
        <f t="shared" si="61"/>
        <v>0</v>
      </c>
      <c r="N320" s="376">
        <f t="shared" si="62"/>
        <v>0</v>
      </c>
      <c r="O320" s="347">
        <f t="shared" si="69"/>
        <v>0</v>
      </c>
      <c r="P320" s="347">
        <f t="shared" si="70"/>
        <v>0</v>
      </c>
      <c r="Q320" s="347">
        <f t="shared" si="71"/>
        <v>0</v>
      </c>
      <c r="R320" s="376">
        <f t="shared" si="72"/>
        <v>0</v>
      </c>
      <c r="S320" s="376">
        <f t="shared" si="63"/>
        <v>0</v>
      </c>
      <c r="T320" s="376">
        <f t="shared" si="73"/>
        <v>0</v>
      </c>
      <c r="U320" s="376"/>
      <c r="V320" s="376">
        <f t="shared" si="74"/>
        <v>0</v>
      </c>
      <c r="W320" s="347">
        <f>IF(B320&gt;$C$78,0,$C$301+SUM($J$304:J320))</f>
        <v>0</v>
      </c>
      <c r="X320" s="378">
        <f t="shared" si="75"/>
        <v>0</v>
      </c>
    </row>
    <row r="321" spans="1:24" x14ac:dyDescent="0.45">
      <c r="A321" s="550"/>
      <c r="B321" s="344">
        <v>17</v>
      </c>
      <c r="C321" s="1038">
        <f t="shared" si="64"/>
        <v>0</v>
      </c>
      <c r="D321" s="376">
        <f t="shared" si="65"/>
        <v>0</v>
      </c>
      <c r="E321" s="1038">
        <f t="shared" si="66"/>
        <v>0</v>
      </c>
      <c r="F321" s="376">
        <f t="shared" si="67"/>
        <v>0</v>
      </c>
      <c r="G321" s="345">
        <v>0</v>
      </c>
      <c r="H321" s="376">
        <f t="shared" si="58"/>
        <v>0</v>
      </c>
      <c r="I321" s="345">
        <v>2.564E-2</v>
      </c>
      <c r="J321" s="376">
        <f t="shared" si="68"/>
        <v>0</v>
      </c>
      <c r="K321" s="377">
        <f t="shared" si="59"/>
        <v>0</v>
      </c>
      <c r="L321" s="376">
        <f t="shared" si="60"/>
        <v>0</v>
      </c>
      <c r="M321" s="376">
        <f t="shared" si="61"/>
        <v>0</v>
      </c>
      <c r="N321" s="376">
        <f t="shared" si="62"/>
        <v>0</v>
      </c>
      <c r="O321" s="347">
        <f t="shared" si="69"/>
        <v>0</v>
      </c>
      <c r="P321" s="347">
        <f t="shared" si="70"/>
        <v>0</v>
      </c>
      <c r="Q321" s="347">
        <f t="shared" si="71"/>
        <v>0</v>
      </c>
      <c r="R321" s="376">
        <f t="shared" si="72"/>
        <v>0</v>
      </c>
      <c r="S321" s="376">
        <f t="shared" si="63"/>
        <v>0</v>
      </c>
      <c r="T321" s="376">
        <f t="shared" si="73"/>
        <v>0</v>
      </c>
      <c r="U321" s="376"/>
      <c r="V321" s="376">
        <f t="shared" si="74"/>
        <v>0</v>
      </c>
      <c r="W321" s="347">
        <f>IF(B321&gt;$C$78,0,$C$301+SUM($J$304:J321))</f>
        <v>0</v>
      </c>
      <c r="X321" s="378">
        <f t="shared" si="75"/>
        <v>0</v>
      </c>
    </row>
    <row r="322" spans="1:24" x14ac:dyDescent="0.45">
      <c r="A322" s="550"/>
      <c r="B322" s="344">
        <v>18</v>
      </c>
      <c r="C322" s="1038">
        <f t="shared" si="64"/>
        <v>0</v>
      </c>
      <c r="D322" s="376">
        <f t="shared" si="65"/>
        <v>0</v>
      </c>
      <c r="E322" s="1038">
        <f t="shared" si="66"/>
        <v>0</v>
      </c>
      <c r="F322" s="376">
        <f t="shared" si="67"/>
        <v>0</v>
      </c>
      <c r="G322" s="345">
        <v>0</v>
      </c>
      <c r="H322" s="376">
        <f t="shared" si="58"/>
        <v>0</v>
      </c>
      <c r="I322" s="345">
        <v>2.564E-2</v>
      </c>
      <c r="J322" s="376">
        <f t="shared" si="68"/>
        <v>0</v>
      </c>
      <c r="K322" s="377">
        <f t="shared" si="59"/>
        <v>0</v>
      </c>
      <c r="L322" s="376">
        <f t="shared" si="60"/>
        <v>0</v>
      </c>
      <c r="M322" s="376">
        <f t="shared" si="61"/>
        <v>0</v>
      </c>
      <c r="N322" s="376">
        <f t="shared" si="62"/>
        <v>0</v>
      </c>
      <c r="O322" s="347">
        <f t="shared" si="69"/>
        <v>0</v>
      </c>
      <c r="P322" s="347">
        <f t="shared" si="70"/>
        <v>0</v>
      </c>
      <c r="Q322" s="347">
        <f t="shared" si="71"/>
        <v>0</v>
      </c>
      <c r="R322" s="376">
        <f t="shared" si="72"/>
        <v>0</v>
      </c>
      <c r="S322" s="376">
        <f t="shared" si="63"/>
        <v>0</v>
      </c>
      <c r="T322" s="376">
        <f t="shared" si="73"/>
        <v>0</v>
      </c>
      <c r="U322" s="376"/>
      <c r="V322" s="376">
        <f t="shared" si="74"/>
        <v>0</v>
      </c>
      <c r="W322" s="347">
        <f>IF(B322&gt;$C$78,0,$C$301+SUM($J$304:J322))</f>
        <v>0</v>
      </c>
      <c r="X322" s="378">
        <f t="shared" si="75"/>
        <v>0</v>
      </c>
    </row>
    <row r="323" spans="1:24" x14ac:dyDescent="0.45">
      <c r="A323" s="550"/>
      <c r="B323" s="344">
        <v>19</v>
      </c>
      <c r="C323" s="1038">
        <f t="shared" si="64"/>
        <v>0</v>
      </c>
      <c r="D323" s="376">
        <f t="shared" si="65"/>
        <v>0</v>
      </c>
      <c r="E323" s="1038">
        <f t="shared" si="66"/>
        <v>0</v>
      </c>
      <c r="F323" s="376">
        <f t="shared" si="67"/>
        <v>0</v>
      </c>
      <c r="G323" s="345">
        <v>0</v>
      </c>
      <c r="H323" s="376">
        <f t="shared" si="58"/>
        <v>0</v>
      </c>
      <c r="I323" s="345">
        <v>2.564E-2</v>
      </c>
      <c r="J323" s="376">
        <f t="shared" si="68"/>
        <v>0</v>
      </c>
      <c r="K323" s="377">
        <f t="shared" si="59"/>
        <v>0</v>
      </c>
      <c r="L323" s="376">
        <f t="shared" si="60"/>
        <v>0</v>
      </c>
      <c r="M323" s="376">
        <f t="shared" si="61"/>
        <v>0</v>
      </c>
      <c r="N323" s="376">
        <f t="shared" si="62"/>
        <v>0</v>
      </c>
      <c r="O323" s="347">
        <f t="shared" si="69"/>
        <v>0</v>
      </c>
      <c r="P323" s="347">
        <f t="shared" si="70"/>
        <v>0</v>
      </c>
      <c r="Q323" s="347">
        <f t="shared" si="71"/>
        <v>0</v>
      </c>
      <c r="R323" s="376">
        <f t="shared" si="72"/>
        <v>0</v>
      </c>
      <c r="S323" s="376">
        <f t="shared" si="63"/>
        <v>0</v>
      </c>
      <c r="T323" s="376">
        <f t="shared" si="73"/>
        <v>0</v>
      </c>
      <c r="U323" s="376"/>
      <c r="V323" s="376">
        <f t="shared" si="74"/>
        <v>0</v>
      </c>
      <c r="W323" s="347">
        <f>IF(B323&gt;$C$78,0,$C$301+SUM($J$304:J323))</f>
        <v>0</v>
      </c>
      <c r="X323" s="378">
        <f t="shared" si="75"/>
        <v>0</v>
      </c>
    </row>
    <row r="324" spans="1:24" x14ac:dyDescent="0.45">
      <c r="A324" s="550"/>
      <c r="B324" s="344">
        <v>20</v>
      </c>
      <c r="C324" s="1038">
        <f t="shared" si="64"/>
        <v>0</v>
      </c>
      <c r="D324" s="376">
        <f t="shared" si="65"/>
        <v>0</v>
      </c>
      <c r="E324" s="1038">
        <f t="shared" si="66"/>
        <v>0</v>
      </c>
      <c r="F324" s="376">
        <f t="shared" si="67"/>
        <v>0</v>
      </c>
      <c r="G324" s="345">
        <v>0</v>
      </c>
      <c r="H324" s="376">
        <f t="shared" si="58"/>
        <v>0</v>
      </c>
      <c r="I324" s="345">
        <v>2.564E-2</v>
      </c>
      <c r="J324" s="376">
        <f t="shared" si="68"/>
        <v>0</v>
      </c>
      <c r="K324" s="377">
        <f t="shared" si="59"/>
        <v>0</v>
      </c>
      <c r="L324" s="376">
        <f t="shared" si="60"/>
        <v>0</v>
      </c>
      <c r="M324" s="376">
        <f t="shared" si="61"/>
        <v>0</v>
      </c>
      <c r="N324" s="376">
        <f t="shared" si="62"/>
        <v>0</v>
      </c>
      <c r="O324" s="347">
        <f t="shared" si="69"/>
        <v>0</v>
      </c>
      <c r="P324" s="347">
        <f t="shared" si="70"/>
        <v>0</v>
      </c>
      <c r="Q324" s="347">
        <f t="shared" si="71"/>
        <v>0</v>
      </c>
      <c r="R324" s="376">
        <f t="shared" si="72"/>
        <v>0</v>
      </c>
      <c r="S324" s="376">
        <f t="shared" si="63"/>
        <v>0</v>
      </c>
      <c r="T324" s="376">
        <f t="shared" si="73"/>
        <v>0</v>
      </c>
      <c r="U324" s="376"/>
      <c r="V324" s="376">
        <f t="shared" si="74"/>
        <v>0</v>
      </c>
      <c r="W324" s="347">
        <f>IF(B324&gt;$C$78,0,$C$301+SUM($J$304:J324))</f>
        <v>0</v>
      </c>
      <c r="X324" s="378">
        <f t="shared" si="75"/>
        <v>0</v>
      </c>
    </row>
    <row r="325" spans="1:24" x14ac:dyDescent="0.45">
      <c r="A325" s="550"/>
      <c r="B325" s="344"/>
      <c r="C325" s="345"/>
      <c r="D325" s="349"/>
      <c r="E325" s="345"/>
      <c r="F325" s="349"/>
      <c r="G325" s="345"/>
      <c r="H325" s="349"/>
      <c r="I325" s="345"/>
      <c r="J325" s="349"/>
      <c r="K325" s="349"/>
      <c r="L325" s="349"/>
      <c r="M325" s="349"/>
      <c r="N325" s="345"/>
      <c r="O325" s="345"/>
      <c r="P325" s="345"/>
      <c r="Q325" s="345"/>
      <c r="R325" s="349"/>
      <c r="S325" s="349"/>
      <c r="T325" s="345"/>
      <c r="U325" s="345"/>
      <c r="V325" s="345"/>
      <c r="W325" s="348" t="s">
        <v>158</v>
      </c>
      <c r="X325" s="353">
        <f>NPV($C$201,X305:X324)+X304</f>
        <v>0</v>
      </c>
    </row>
    <row r="326" spans="1:24" x14ac:dyDescent="0.45">
      <c r="A326" s="550"/>
      <c r="B326" s="354"/>
      <c r="C326" s="355"/>
      <c r="D326" s="834"/>
      <c r="E326" s="355"/>
      <c r="F326" s="834"/>
      <c r="G326" s="355"/>
      <c r="H326" s="834"/>
      <c r="I326" s="355"/>
      <c r="J326" s="834"/>
      <c r="K326" s="834"/>
      <c r="L326" s="834"/>
      <c r="M326" s="834"/>
      <c r="N326" s="355"/>
      <c r="O326" s="355"/>
      <c r="P326" s="355"/>
      <c r="Q326" s="355"/>
      <c r="R326" s="834"/>
      <c r="S326" s="834"/>
      <c r="T326" s="355"/>
      <c r="U326" s="355"/>
      <c r="V326" s="355"/>
      <c r="W326" s="356" t="s">
        <v>134</v>
      </c>
      <c r="X326" s="838">
        <f>IRR(X304:X324,0.1)</f>
        <v>9.9999999999999867E-2</v>
      </c>
    </row>
    <row r="327" spans="1:24" x14ac:dyDescent="0.45">
      <c r="A327" s="550"/>
      <c r="B327" s="631"/>
      <c r="C327" s="631"/>
      <c r="D327" s="631"/>
      <c r="E327" s="631"/>
      <c r="F327" s="631"/>
      <c r="G327" s="631"/>
      <c r="H327" s="631"/>
      <c r="I327" s="631"/>
      <c r="J327" s="631"/>
      <c r="L327" s="631"/>
      <c r="M327" s="631"/>
      <c r="N327" s="631"/>
      <c r="O327" s="631"/>
      <c r="P327" s="631"/>
      <c r="Q327" s="631"/>
      <c r="R327" s="631"/>
      <c r="U327" s="631"/>
    </row>
    <row r="328" spans="1:24" x14ac:dyDescent="0.45">
      <c r="B328" s="605" t="s">
        <v>243</v>
      </c>
      <c r="C328" s="522"/>
      <c r="D328" s="522"/>
      <c r="E328" s="522"/>
      <c r="F328" s="522"/>
      <c r="G328" s="522"/>
      <c r="H328" s="522"/>
      <c r="I328" s="606"/>
      <c r="J328" s="631"/>
      <c r="K328" s="631"/>
      <c r="L328" s="631"/>
      <c r="M328" s="631"/>
      <c r="N328" s="631"/>
      <c r="O328" s="631"/>
      <c r="P328" s="631"/>
      <c r="Q328" s="631"/>
      <c r="R328" s="631"/>
    </row>
    <row r="329" spans="1:24" x14ac:dyDescent="0.45">
      <c r="B329" s="810" t="s">
        <v>385</v>
      </c>
      <c r="C329" s="214"/>
      <c r="D329" s="214"/>
      <c r="E329" s="214"/>
      <c r="F329" s="214"/>
      <c r="G329" s="214"/>
      <c r="H329" s="214"/>
      <c r="I329" s="368"/>
      <c r="J329" s="631"/>
      <c r="K329" s="631"/>
      <c r="L329" s="631"/>
      <c r="M329" s="631"/>
      <c r="N329" s="631"/>
      <c r="O329" s="631"/>
      <c r="P329" s="631"/>
      <c r="Q329" s="631"/>
      <c r="R329" s="631"/>
    </row>
    <row r="330" spans="1:24" x14ac:dyDescent="0.45">
      <c r="B330" s="580" t="s">
        <v>364</v>
      </c>
      <c r="C330" s="527">
        <f>4.6%*1</f>
        <v>4.5999999999999999E-2</v>
      </c>
      <c r="D330" s="734" t="s">
        <v>0</v>
      </c>
      <c r="E330" s="734"/>
      <c r="F330" s="734"/>
      <c r="G330" s="734"/>
      <c r="H330" s="734"/>
      <c r="I330" s="595"/>
      <c r="L330" s="631"/>
      <c r="M330" s="631"/>
      <c r="N330" s="631"/>
      <c r="O330" s="631"/>
      <c r="P330" s="631"/>
      <c r="Q330" s="631"/>
      <c r="R330" s="631"/>
    </row>
    <row r="331" spans="1:24" x14ac:dyDescent="0.45">
      <c r="B331" s="580" t="s">
        <v>365</v>
      </c>
      <c r="C331" s="527">
        <v>0.5</v>
      </c>
      <c r="D331" s="734" t="s">
        <v>0</v>
      </c>
      <c r="E331" s="734"/>
      <c r="F331" s="734"/>
      <c r="G331" s="734"/>
      <c r="H331" s="734"/>
      <c r="I331" s="595"/>
      <c r="L331" s="631"/>
      <c r="P331" s="631"/>
      <c r="Q331" s="631"/>
      <c r="R331" s="631"/>
    </row>
    <row r="332" spans="1:24" x14ac:dyDescent="0.45">
      <c r="B332" s="580" t="s">
        <v>110</v>
      </c>
      <c r="C332" s="734">
        <v>5</v>
      </c>
      <c r="D332" s="734" t="s">
        <v>111</v>
      </c>
      <c r="E332" s="734"/>
      <c r="F332" s="734"/>
      <c r="G332" s="734"/>
      <c r="H332" s="734"/>
      <c r="I332" s="595"/>
      <c r="L332" s="631"/>
      <c r="N332" s="546"/>
      <c r="P332" s="631"/>
      <c r="Q332" s="631"/>
      <c r="R332" s="631"/>
    </row>
    <row r="333" spans="1:24" x14ac:dyDescent="0.45">
      <c r="B333" s="580" t="s">
        <v>398</v>
      </c>
      <c r="C333" s="734" t="s">
        <v>138</v>
      </c>
      <c r="D333" s="734"/>
      <c r="E333" s="734"/>
      <c r="F333" s="734"/>
      <c r="G333" s="734"/>
      <c r="H333" s="734"/>
      <c r="I333" s="595"/>
      <c r="L333" s="631"/>
      <c r="N333" s="546"/>
      <c r="P333" s="631"/>
      <c r="Q333" s="631"/>
      <c r="R333" s="631"/>
    </row>
    <row r="334" spans="1:24" x14ac:dyDescent="0.45">
      <c r="B334" s="580" t="str">
        <f t="shared" ref="B334:B350" si="76">B30</f>
        <v>Silicon Feedstock</v>
      </c>
      <c r="C334" s="578">
        <f>G30*(1+$C$200)</f>
        <v>7.042606936864923E-2</v>
      </c>
      <c r="D334" s="723"/>
      <c r="E334" s="734"/>
      <c r="F334" s="734"/>
      <c r="G334" s="734"/>
      <c r="H334" s="734"/>
      <c r="I334" s="595"/>
      <c r="L334" s="631"/>
      <c r="N334" s="546"/>
      <c r="P334" s="631"/>
      <c r="Q334" s="631"/>
      <c r="R334" s="631"/>
    </row>
    <row r="335" spans="1:24" x14ac:dyDescent="0.45">
      <c r="B335" s="580" t="str">
        <f t="shared" si="76"/>
        <v>Depreciation</v>
      </c>
      <c r="C335" s="578">
        <f>-1*SUM(H218,J218,H247,J247,H276,J276,H305,J305)/(C198*1000000)</f>
        <v>5.7333708938961857E-2</v>
      </c>
      <c r="D335" s="723"/>
      <c r="E335" s="734"/>
      <c r="F335" s="734"/>
      <c r="G335" s="734"/>
      <c r="H335" s="734"/>
      <c r="I335" s="595"/>
      <c r="L335" s="631"/>
      <c r="N335" s="543"/>
      <c r="P335" s="631"/>
      <c r="Q335" s="631"/>
      <c r="R335" s="631"/>
    </row>
    <row r="336" spans="1:24" x14ac:dyDescent="0.45">
      <c r="B336" s="580" t="str">
        <f t="shared" si="76"/>
        <v>Maintenance</v>
      </c>
      <c r="C336" s="578">
        <f t="shared" ref="C336:C352" si="77">G32*(1+$C$200)</f>
        <v>2.2356112708798014E-2</v>
      </c>
      <c r="D336" s="723"/>
      <c r="E336" s="734"/>
      <c r="F336" s="734"/>
      <c r="G336" s="734"/>
      <c r="H336" s="734"/>
      <c r="I336" s="595"/>
      <c r="L336" s="631"/>
      <c r="N336" s="543"/>
      <c r="P336" s="631"/>
      <c r="Q336" s="631"/>
      <c r="R336" s="631"/>
    </row>
    <row r="337" spans="2:18" x14ac:dyDescent="0.45">
      <c r="B337" s="580" t="str">
        <f t="shared" si="76"/>
        <v>Labor</v>
      </c>
      <c r="C337" s="578">
        <f t="shared" si="77"/>
        <v>5.8003041744234513E-2</v>
      </c>
      <c r="D337" s="723"/>
      <c r="E337" s="734"/>
      <c r="F337" s="578"/>
      <c r="G337" s="734"/>
      <c r="H337" s="734"/>
      <c r="I337" s="595"/>
      <c r="L337" s="631"/>
      <c r="N337" s="546"/>
      <c r="P337" s="631"/>
      <c r="Q337" s="631"/>
      <c r="R337" s="631"/>
    </row>
    <row r="338" spans="2:18" x14ac:dyDescent="0.45">
      <c r="B338" s="580" t="str">
        <f t="shared" si="76"/>
        <v>Input Electricity</v>
      </c>
      <c r="C338" s="578">
        <f t="shared" si="77"/>
        <v>3.2561389622021188E-2</v>
      </c>
      <c r="D338" s="723"/>
      <c r="E338" s="734"/>
      <c r="F338" s="578"/>
      <c r="G338" s="734"/>
      <c r="H338" s="734"/>
      <c r="I338" s="595"/>
      <c r="J338" s="631"/>
      <c r="K338" s="631"/>
      <c r="L338" s="631"/>
      <c r="M338" s="631"/>
      <c r="N338" s="631"/>
      <c r="O338" s="631"/>
      <c r="P338" s="631"/>
      <c r="Q338" s="631"/>
      <c r="R338" s="631"/>
    </row>
    <row r="339" spans="2:18" x14ac:dyDescent="0.45">
      <c r="B339" s="580" t="str">
        <f t="shared" si="76"/>
        <v>Metal Paste</v>
      </c>
      <c r="C339" s="578">
        <f t="shared" si="77"/>
        <v>2.440855344169602E-2</v>
      </c>
      <c r="D339" s="723"/>
      <c r="E339" s="734"/>
      <c r="F339" s="734"/>
      <c r="G339" s="734"/>
      <c r="H339" s="734"/>
      <c r="I339" s="595"/>
      <c r="J339" s="631"/>
      <c r="K339" s="631"/>
      <c r="L339" s="631"/>
      <c r="M339" s="631"/>
      <c r="N339" s="631"/>
      <c r="O339" s="631"/>
      <c r="P339" s="631"/>
      <c r="Q339" s="631"/>
      <c r="R339" s="631"/>
    </row>
    <row r="340" spans="2:18" x14ac:dyDescent="0.45">
      <c r="B340" s="580" t="str">
        <f t="shared" si="76"/>
        <v>Crucible</v>
      </c>
      <c r="C340" s="578">
        <f t="shared" si="77"/>
        <v>4.0767257965694491E-3</v>
      </c>
      <c r="D340" s="723"/>
      <c r="E340" s="734"/>
      <c r="F340" s="734"/>
      <c r="G340" s="734"/>
      <c r="H340" s="734"/>
      <c r="I340" s="595"/>
      <c r="J340" s="631"/>
      <c r="K340" s="631"/>
      <c r="L340" s="631"/>
      <c r="M340" s="631"/>
      <c r="N340" s="631"/>
      <c r="O340" s="631"/>
      <c r="P340" s="631"/>
      <c r="Q340" s="631"/>
      <c r="R340" s="631"/>
    </row>
    <row r="341" spans="2:18" x14ac:dyDescent="0.45">
      <c r="B341" s="580" t="str">
        <f t="shared" si="76"/>
        <v>Wire</v>
      </c>
      <c r="C341" s="578">
        <f t="shared" si="77"/>
        <v>1.3205327263825905E-2</v>
      </c>
      <c r="D341" s="723"/>
      <c r="E341" s="734"/>
      <c r="F341" s="734"/>
      <c r="G341" s="734"/>
      <c r="H341" s="734"/>
      <c r="I341" s="595"/>
      <c r="J341" s="631"/>
      <c r="K341" s="631"/>
      <c r="L341" s="631"/>
      <c r="M341" s="631"/>
      <c r="N341" s="631"/>
      <c r="O341" s="631"/>
      <c r="P341" s="631"/>
      <c r="Q341" s="631"/>
      <c r="R341" s="631"/>
    </row>
    <row r="342" spans="2:18" x14ac:dyDescent="0.45">
      <c r="B342" s="580" t="str">
        <f t="shared" si="76"/>
        <v>Slurry</v>
      </c>
      <c r="C342" s="578">
        <f t="shared" si="77"/>
        <v>1.554743877992391E-2</v>
      </c>
      <c r="D342" s="723"/>
      <c r="E342" s="734"/>
      <c r="F342" s="734"/>
      <c r="G342" s="734"/>
      <c r="H342" s="734"/>
      <c r="I342" s="595"/>
      <c r="J342" s="631"/>
      <c r="K342" s="631"/>
      <c r="L342" s="631"/>
      <c r="M342" s="631"/>
      <c r="N342" s="631"/>
      <c r="O342" s="631"/>
      <c r="P342" s="631"/>
      <c r="Q342" s="631"/>
      <c r="R342" s="631"/>
    </row>
    <row r="343" spans="2:18" x14ac:dyDescent="0.45">
      <c r="B343" s="580" t="str">
        <f t="shared" si="76"/>
        <v>Glass</v>
      </c>
      <c r="C343" s="578">
        <f t="shared" si="77"/>
        <v>3.6576050986640525E-2</v>
      </c>
      <c r="D343" s="723"/>
      <c r="E343" s="734"/>
      <c r="F343" s="734"/>
      <c r="G343" s="734"/>
      <c r="H343" s="734"/>
      <c r="I343" s="595"/>
      <c r="J343" s="631"/>
      <c r="K343" s="631"/>
      <c r="L343" s="631"/>
      <c r="M343" s="631"/>
      <c r="N343" s="631"/>
      <c r="O343" s="631"/>
      <c r="P343" s="631"/>
      <c r="Q343" s="631"/>
      <c r="R343" s="631"/>
    </row>
    <row r="344" spans="2:18" x14ac:dyDescent="0.45">
      <c r="B344" s="580" t="str">
        <f t="shared" si="76"/>
        <v>Frame</v>
      </c>
      <c r="C344" s="578">
        <f t="shared" si="77"/>
        <v>4.2310159364499236E-2</v>
      </c>
      <c r="D344" s="723"/>
      <c r="E344" s="734"/>
      <c r="F344" s="734"/>
      <c r="G344" s="734"/>
      <c r="H344" s="578"/>
      <c r="I344" s="595"/>
      <c r="J344" s="631"/>
      <c r="K344" s="631"/>
      <c r="L344" s="631"/>
      <c r="M344" s="631"/>
      <c r="N344" s="631"/>
      <c r="O344" s="631"/>
      <c r="P344" s="631"/>
      <c r="Q344" s="631"/>
      <c r="R344" s="631"/>
    </row>
    <row r="345" spans="2:18" x14ac:dyDescent="0.45">
      <c r="B345" s="580" t="str">
        <f t="shared" si="76"/>
        <v>Encapsulant</v>
      </c>
      <c r="C345" s="578">
        <f t="shared" si="77"/>
        <v>2.5052089716877071E-2</v>
      </c>
      <c r="D345" s="723"/>
      <c r="E345" s="734"/>
      <c r="F345" s="734"/>
      <c r="G345" s="734"/>
      <c r="H345" s="734"/>
      <c r="I345" s="595"/>
      <c r="J345" s="631"/>
      <c r="K345" s="631"/>
      <c r="L345" s="631"/>
      <c r="M345" s="631"/>
      <c r="N345" s="631"/>
      <c r="O345" s="631"/>
      <c r="P345" s="631"/>
      <c r="Q345" s="631"/>
      <c r="R345" s="631"/>
    </row>
    <row r="346" spans="2:18" x14ac:dyDescent="0.45">
      <c r="B346" s="580" t="str">
        <f t="shared" si="76"/>
        <v>JB and Cable</v>
      </c>
      <c r="C346" s="578">
        <f t="shared" si="77"/>
        <v>1.8323767133481751E-2</v>
      </c>
      <c r="D346" s="723"/>
      <c r="E346" s="734"/>
      <c r="F346" s="734"/>
      <c r="G346" s="734"/>
      <c r="H346" s="734"/>
      <c r="I346" s="595"/>
      <c r="J346" s="631"/>
      <c r="K346" s="631"/>
      <c r="L346" s="631"/>
      <c r="M346" s="631"/>
      <c r="N346" s="631"/>
      <c r="O346" s="631"/>
      <c r="P346" s="631"/>
      <c r="Q346" s="631"/>
      <c r="R346" s="631"/>
    </row>
    <row r="347" spans="2:18" x14ac:dyDescent="0.45">
      <c r="B347" s="580" t="str">
        <f t="shared" si="76"/>
        <v>Chemicals</v>
      </c>
      <c r="C347" s="578">
        <f t="shared" si="77"/>
        <v>1.8232148297814343E-2</v>
      </c>
      <c r="D347" s="723"/>
      <c r="E347" s="734"/>
      <c r="F347" s="734"/>
      <c r="G347" s="734"/>
      <c r="H347" s="734"/>
      <c r="I347" s="595"/>
      <c r="J347" s="631"/>
      <c r="K347" s="631"/>
      <c r="L347" s="631"/>
      <c r="M347" s="631"/>
      <c r="N347" s="631"/>
      <c r="O347" s="631"/>
      <c r="P347" s="631"/>
      <c r="Q347" s="631"/>
      <c r="R347" s="631"/>
    </row>
    <row r="348" spans="2:18" x14ac:dyDescent="0.45">
      <c r="B348" s="580" t="str">
        <f t="shared" si="76"/>
        <v>Backsheet</v>
      </c>
      <c r="C348" s="578">
        <f t="shared" si="77"/>
        <v>3.5072925603627902E-2</v>
      </c>
      <c r="D348" s="723"/>
      <c r="E348" s="734"/>
      <c r="F348" s="734"/>
      <c r="G348" s="734"/>
      <c r="H348" s="734"/>
      <c r="I348" s="595"/>
      <c r="J348" s="631"/>
      <c r="K348" s="631"/>
      <c r="L348" s="631"/>
      <c r="M348" s="631"/>
      <c r="N348" s="631"/>
      <c r="O348" s="631"/>
      <c r="P348" s="631"/>
      <c r="Q348" s="631"/>
      <c r="R348" s="631"/>
    </row>
    <row r="349" spans="2:18" x14ac:dyDescent="0.45">
      <c r="B349" s="580" t="str">
        <f t="shared" si="76"/>
        <v>Ribbon</v>
      </c>
      <c r="C349" s="578">
        <f t="shared" si="77"/>
        <v>2.3548964333864445E-2</v>
      </c>
      <c r="D349" s="723"/>
      <c r="E349" s="734"/>
      <c r="F349" s="734"/>
      <c r="G349" s="734"/>
      <c r="H349" s="734"/>
      <c r="I349" s="595"/>
      <c r="J349" s="631"/>
      <c r="K349" s="631"/>
      <c r="L349" s="631"/>
      <c r="M349" s="631"/>
      <c r="N349" s="631"/>
      <c r="O349" s="631"/>
      <c r="P349" s="631"/>
      <c r="Q349" s="631"/>
      <c r="R349" s="631"/>
    </row>
    <row r="350" spans="2:18" x14ac:dyDescent="0.45">
      <c r="B350" s="580" t="str">
        <f t="shared" si="76"/>
        <v>Packaging</v>
      </c>
      <c r="C350" s="578">
        <f t="shared" si="77"/>
        <v>2.2546880745189365E-3</v>
      </c>
      <c r="D350" s="723"/>
      <c r="E350" s="734"/>
      <c r="F350" s="734"/>
      <c r="G350" s="734"/>
      <c r="H350" s="734"/>
      <c r="I350" s="595"/>
      <c r="J350" s="631"/>
      <c r="K350" s="631"/>
      <c r="L350" s="631"/>
      <c r="M350" s="631"/>
      <c r="N350" s="631"/>
      <c r="O350" s="631"/>
      <c r="P350" s="631"/>
      <c r="Q350" s="631"/>
      <c r="R350" s="631"/>
    </row>
    <row r="351" spans="2:18" x14ac:dyDescent="0.45">
      <c r="B351" s="580" t="str">
        <f>B47</f>
        <v>Screens</v>
      </c>
      <c r="C351" s="578">
        <f t="shared" si="77"/>
        <v>6.4780994916349638E-3</v>
      </c>
      <c r="D351" s="723"/>
      <c r="E351" s="734"/>
      <c r="F351" s="734"/>
      <c r="G351" s="734"/>
      <c r="H351" s="734"/>
      <c r="I351" s="595"/>
      <c r="J351" s="631"/>
      <c r="K351" s="631"/>
      <c r="L351" s="631"/>
      <c r="M351" s="631"/>
      <c r="N351" s="631"/>
      <c r="O351" s="631"/>
      <c r="P351" s="631"/>
      <c r="Q351" s="631"/>
      <c r="R351" s="631"/>
    </row>
    <row r="352" spans="2:18" x14ac:dyDescent="0.45">
      <c r="B352" s="580" t="str">
        <f>B48</f>
        <v>Shipping costs</v>
      </c>
      <c r="C352" s="578">
        <f t="shared" si="77"/>
        <v>0</v>
      </c>
      <c r="D352" s="723"/>
      <c r="E352" s="734"/>
      <c r="F352" s="734"/>
      <c r="G352" s="734"/>
      <c r="H352" s="734"/>
      <c r="I352" s="595"/>
      <c r="J352" s="631"/>
      <c r="K352" s="631"/>
      <c r="L352" s="631"/>
      <c r="M352" s="631"/>
      <c r="N352" s="631"/>
      <c r="O352" s="631"/>
      <c r="P352" s="631"/>
      <c r="Q352" s="631"/>
      <c r="R352" s="631"/>
    </row>
    <row r="353" spans="2:18" x14ac:dyDescent="0.45">
      <c r="B353" s="580"/>
      <c r="C353" s="578"/>
      <c r="D353" s="723"/>
      <c r="E353" s="734"/>
      <c r="F353" s="734"/>
      <c r="G353" s="734"/>
      <c r="H353" s="734"/>
      <c r="I353" s="595"/>
      <c r="J353" s="631"/>
      <c r="K353" s="631"/>
      <c r="L353" s="631"/>
      <c r="M353" s="631"/>
      <c r="N353" s="631"/>
      <c r="O353" s="631"/>
      <c r="P353" s="631"/>
      <c r="Q353" s="631"/>
      <c r="R353" s="631"/>
    </row>
    <row r="354" spans="2:18" x14ac:dyDescent="0.45">
      <c r="B354" s="504" t="s">
        <v>354</v>
      </c>
      <c r="C354" s="734"/>
      <c r="D354" s="936" t="s">
        <v>356</v>
      </c>
      <c r="E354" s="734"/>
      <c r="F354" s="734"/>
      <c r="G354" s="936" t="s">
        <v>384</v>
      </c>
      <c r="H354" s="734"/>
      <c r="I354" s="595"/>
      <c r="J354" s="631"/>
      <c r="K354" s="631"/>
      <c r="L354" s="631"/>
      <c r="M354" s="631"/>
      <c r="N354" s="631"/>
      <c r="O354" s="631"/>
      <c r="P354" s="631"/>
      <c r="Q354" s="631"/>
      <c r="R354" s="631"/>
    </row>
    <row r="355" spans="2:18" x14ac:dyDescent="0.45">
      <c r="B355" s="580" t="s">
        <v>247</v>
      </c>
      <c r="C355" s="734"/>
      <c r="D355" s="523" t="s">
        <v>250</v>
      </c>
      <c r="E355" s="523" t="s">
        <v>249</v>
      </c>
      <c r="F355" s="523" t="s">
        <v>284</v>
      </c>
      <c r="G355" s="523" t="s">
        <v>250</v>
      </c>
      <c r="H355" s="523" t="s">
        <v>249</v>
      </c>
      <c r="I355" s="524" t="s">
        <v>284</v>
      </c>
      <c r="J355" s="631"/>
      <c r="K355" s="631"/>
      <c r="L355" s="631"/>
      <c r="M355" s="631"/>
      <c r="N355" s="631"/>
      <c r="O355" s="631"/>
      <c r="P355" s="631"/>
      <c r="Q355" s="631"/>
      <c r="R355" s="631"/>
    </row>
    <row r="356" spans="2:18" x14ac:dyDescent="0.45">
      <c r="B356" s="580"/>
      <c r="C356" s="734" t="s">
        <v>238</v>
      </c>
      <c r="D356" s="369">
        <f>SUM(C218,C247,C276,C305)</f>
        <v>0.60776079785026482</v>
      </c>
      <c r="E356" s="369">
        <f t="shared" ref="E356:E361" si="78">D356</f>
        <v>0.60776079785026482</v>
      </c>
      <c r="F356" s="369">
        <f>D356</f>
        <v>0.60776079785026482</v>
      </c>
      <c r="G356" s="369">
        <f>SUM(C224,C253,C282,C311)</f>
        <v>0.69252914973456559</v>
      </c>
      <c r="H356" s="369">
        <f t="shared" ref="H356:H361" si="79">G356</f>
        <v>0.69252914973456559</v>
      </c>
      <c r="I356" s="525">
        <f>G356</f>
        <v>0.69252914973456559</v>
      </c>
      <c r="J356" s="631"/>
      <c r="K356" s="631"/>
      <c r="L356" s="631"/>
      <c r="M356" s="631"/>
      <c r="N356" s="631"/>
      <c r="O356" s="631"/>
      <c r="P356" s="631"/>
      <c r="Q356" s="631"/>
      <c r="R356" s="631"/>
    </row>
    <row r="357" spans="2:18" x14ac:dyDescent="0.45">
      <c r="B357" s="530"/>
      <c r="C357" s="734" t="s">
        <v>239</v>
      </c>
      <c r="D357" s="369">
        <f>SUM(C334,C339:C352)</f>
        <v>0.33551300765362368</v>
      </c>
      <c r="E357" s="369">
        <f t="shared" si="78"/>
        <v>0.33551300765362368</v>
      </c>
      <c r="F357" s="369">
        <f>D357</f>
        <v>0.33551300765362368</v>
      </c>
      <c r="G357" s="369">
        <f>D357*(1+$C$200)^(7-1)</f>
        <v>0.38230918930130792</v>
      </c>
      <c r="H357" s="369">
        <f t="shared" si="79"/>
        <v>0.38230918930130792</v>
      </c>
      <c r="I357" s="525">
        <f>G357</f>
        <v>0.38230918930130792</v>
      </c>
      <c r="J357" s="631"/>
      <c r="K357" s="631"/>
      <c r="L357" s="631"/>
      <c r="M357" s="631"/>
      <c r="N357" s="631"/>
      <c r="O357" s="631"/>
      <c r="P357" s="631"/>
      <c r="Q357" s="631"/>
      <c r="R357" s="631"/>
    </row>
    <row r="358" spans="2:18" x14ac:dyDescent="0.45">
      <c r="B358" s="530"/>
      <c r="C358" s="734" t="s">
        <v>240</v>
      </c>
      <c r="D358" s="369">
        <f>$C$337</f>
        <v>5.8003041744234513E-2</v>
      </c>
      <c r="E358" s="369">
        <f t="shared" si="78"/>
        <v>5.8003041744234513E-2</v>
      </c>
      <c r="F358" s="369">
        <f>D358</f>
        <v>5.8003041744234513E-2</v>
      </c>
      <c r="G358" s="369">
        <f>D358*(1+$C$200)^(7-1)</f>
        <v>6.6093103278849027E-2</v>
      </c>
      <c r="H358" s="369">
        <f t="shared" si="79"/>
        <v>6.6093103278849027E-2</v>
      </c>
      <c r="I358" s="525">
        <f>G358</f>
        <v>6.6093103278849027E-2</v>
      </c>
      <c r="J358" s="631"/>
      <c r="K358" s="631"/>
      <c r="L358" s="631"/>
      <c r="M358" s="631"/>
      <c r="N358" s="631"/>
      <c r="O358" s="631"/>
      <c r="P358" s="631"/>
      <c r="Q358" s="631"/>
      <c r="R358" s="631"/>
    </row>
    <row r="359" spans="2:18" x14ac:dyDescent="0.45">
      <c r="B359" s="530"/>
      <c r="C359" s="734" t="s">
        <v>20</v>
      </c>
      <c r="D359" s="369">
        <f>$C$338</f>
        <v>3.2561389622021188E-2</v>
      </c>
      <c r="E359" s="369">
        <f t="shared" si="78"/>
        <v>3.2561389622021188E-2</v>
      </c>
      <c r="F359" s="369">
        <f>D359</f>
        <v>3.2561389622021188E-2</v>
      </c>
      <c r="G359" s="369">
        <f>D359*(1+$C$200)^(7-1)</f>
        <v>3.7102938440379395E-2</v>
      </c>
      <c r="H359" s="369">
        <f t="shared" si="79"/>
        <v>3.7102938440379395E-2</v>
      </c>
      <c r="I359" s="525">
        <f>G359</f>
        <v>3.7102938440379395E-2</v>
      </c>
      <c r="J359" s="631"/>
      <c r="K359" s="631"/>
      <c r="L359" s="631"/>
      <c r="M359" s="631"/>
      <c r="N359" s="631"/>
      <c r="O359" s="631"/>
      <c r="P359" s="631"/>
      <c r="Q359" s="631"/>
      <c r="R359" s="631"/>
    </row>
    <row r="360" spans="2:18" x14ac:dyDescent="0.45">
      <c r="B360" s="530"/>
      <c r="C360" s="734" t="s">
        <v>61</v>
      </c>
      <c r="D360" s="369">
        <f>$C$336</f>
        <v>2.2356112708798014E-2</v>
      </c>
      <c r="E360" s="369">
        <f t="shared" si="78"/>
        <v>2.2356112708798014E-2</v>
      </c>
      <c r="F360" s="369">
        <f>D360</f>
        <v>2.2356112708798014E-2</v>
      </c>
      <c r="G360" s="369">
        <f>D360*(1+$C$200)^(7-1)</f>
        <v>2.5474265172016571E-2</v>
      </c>
      <c r="H360" s="369">
        <f t="shared" si="79"/>
        <v>2.5474265172016571E-2</v>
      </c>
      <c r="I360" s="525">
        <f>G360</f>
        <v>2.5474265172016571E-2</v>
      </c>
      <c r="J360" s="631"/>
      <c r="K360" s="631"/>
      <c r="L360" s="631"/>
      <c r="M360" s="631"/>
      <c r="N360" s="631"/>
      <c r="O360" s="631"/>
      <c r="P360" s="631"/>
      <c r="Q360" s="631"/>
      <c r="R360" s="631"/>
    </row>
    <row r="361" spans="2:18" x14ac:dyDescent="0.45">
      <c r="B361" s="530"/>
      <c r="C361" s="734" t="s">
        <v>246</v>
      </c>
      <c r="D361" s="369">
        <f>-1*SUM(H218,J218,H247,J247,H276,J276,H305,J305)/(C198*1000000)</f>
        <v>5.7333708938961857E-2</v>
      </c>
      <c r="E361" s="369">
        <f t="shared" si="78"/>
        <v>5.7333708938961857E-2</v>
      </c>
      <c r="F361" s="369"/>
      <c r="G361" s="369">
        <f>-1*SUM(H253,J253,H282,J282,H311,J311,H225,J225)/(C198*1000000)</f>
        <v>3.3293097272604003E-2</v>
      </c>
      <c r="H361" s="369">
        <f t="shared" si="79"/>
        <v>3.3293097272604003E-2</v>
      </c>
      <c r="I361" s="595"/>
      <c r="J361" s="631"/>
      <c r="K361" s="631"/>
      <c r="L361" s="631"/>
      <c r="M361" s="631"/>
      <c r="N361" s="631"/>
      <c r="O361" s="631"/>
      <c r="P361" s="631"/>
      <c r="Q361" s="631"/>
      <c r="R361" s="631"/>
    </row>
    <row r="362" spans="2:18" x14ac:dyDescent="0.45">
      <c r="B362" s="580"/>
      <c r="C362" s="734" t="s">
        <v>244</v>
      </c>
      <c r="D362" s="369">
        <f>($C$203+$C$204)*D356</f>
        <v>6.3814883774277797E-2</v>
      </c>
      <c r="E362" s="369"/>
      <c r="F362" s="369"/>
      <c r="G362" s="369">
        <f>($C$203+$C$204)*G356</f>
        <v>7.2715560722129383E-2</v>
      </c>
      <c r="H362" s="734"/>
      <c r="I362" s="595"/>
      <c r="J362" s="631"/>
      <c r="K362" s="631"/>
      <c r="L362" s="631"/>
      <c r="M362" s="631"/>
      <c r="N362" s="631"/>
      <c r="O362" s="631"/>
      <c r="P362" s="631"/>
      <c r="Q362" s="631"/>
      <c r="R362" s="631"/>
    </row>
    <row r="363" spans="2:18" x14ac:dyDescent="0.45">
      <c r="B363" s="580"/>
      <c r="C363" s="734" t="s">
        <v>241</v>
      </c>
      <c r="D363" s="369">
        <f>-1*ISPMT(C330,1,C332,C210*C331)/(C198*1000000)</f>
        <v>8.5811920578286304E-3</v>
      </c>
      <c r="E363" s="369"/>
      <c r="F363" s="369"/>
      <c r="G363" s="369">
        <f>-1*ISPMT(C330,5,C332,C210*C331)/(C198*1000000)</f>
        <v>0</v>
      </c>
      <c r="H363" s="734"/>
      <c r="I363" s="595"/>
      <c r="J363" s="631"/>
      <c r="K363" s="631"/>
      <c r="L363" s="631"/>
      <c r="M363" s="631"/>
      <c r="N363" s="631"/>
      <c r="O363" s="631"/>
      <c r="P363" s="631"/>
      <c r="Q363" s="631"/>
      <c r="R363" s="631"/>
    </row>
    <row r="364" spans="2:18" x14ac:dyDescent="0.45">
      <c r="B364" s="580"/>
      <c r="C364" s="734" t="s">
        <v>242</v>
      </c>
      <c r="D364" s="369">
        <f>(D356-SUM(D357:D363))*$C$202</f>
        <v>8.2576917167948294E-3</v>
      </c>
      <c r="E364" s="369"/>
      <c r="F364" s="369"/>
      <c r="G364" s="369">
        <f>(G356-SUM(G357:G363))*$C$202</f>
        <v>2.107593775769093E-2</v>
      </c>
      <c r="H364" s="734"/>
      <c r="I364" s="595"/>
      <c r="J364" s="631"/>
      <c r="K364" s="631"/>
      <c r="L364" s="631"/>
      <c r="M364" s="631"/>
      <c r="N364" s="631"/>
      <c r="O364" s="631"/>
      <c r="P364" s="631"/>
      <c r="Q364" s="631"/>
      <c r="R364" s="631"/>
    </row>
    <row r="365" spans="2:18" x14ac:dyDescent="0.45">
      <c r="B365" s="580"/>
      <c r="C365" s="734" t="s">
        <v>338</v>
      </c>
      <c r="D365" s="369">
        <f>D356-SUM(D357:D364)</f>
        <v>2.1339769633724304E-2</v>
      </c>
      <c r="E365" s="734"/>
      <c r="F365" s="734"/>
      <c r="G365" s="369">
        <f>G356-SUM(G357:G364)</f>
        <v>5.4465057789588434E-2</v>
      </c>
      <c r="H365" s="734"/>
      <c r="I365" s="595"/>
      <c r="J365" s="631"/>
      <c r="K365" s="631"/>
      <c r="L365" s="631"/>
      <c r="M365" s="631"/>
      <c r="N365" s="631"/>
      <c r="O365" s="631"/>
      <c r="P365" s="631"/>
      <c r="Q365" s="631"/>
      <c r="R365" s="631"/>
    </row>
    <row r="366" spans="2:18" x14ac:dyDescent="0.45">
      <c r="B366" s="580"/>
      <c r="C366" s="734"/>
      <c r="D366" s="734"/>
      <c r="E366" s="734"/>
      <c r="F366" s="734"/>
      <c r="G366" s="734"/>
      <c r="H366" s="734"/>
      <c r="I366" s="595"/>
      <c r="J366" s="631"/>
      <c r="K366" s="631"/>
      <c r="L366" s="631"/>
      <c r="M366" s="631"/>
      <c r="N366" s="631"/>
      <c r="O366" s="631"/>
      <c r="P366" s="631"/>
      <c r="Q366" s="631"/>
      <c r="R366" s="631"/>
    </row>
    <row r="367" spans="2:18" x14ac:dyDescent="0.45">
      <c r="B367" s="580" t="s">
        <v>248</v>
      </c>
      <c r="C367" s="734" t="s">
        <v>238</v>
      </c>
      <c r="D367" s="723">
        <v>1</v>
      </c>
      <c r="E367" s="723">
        <f t="shared" ref="E367:E372" si="80">D367</f>
        <v>1</v>
      </c>
      <c r="F367" s="723">
        <f>D367</f>
        <v>1</v>
      </c>
      <c r="G367" s="723">
        <v>1</v>
      </c>
      <c r="H367" s="723">
        <f t="shared" ref="H367:H372" si="81">G367</f>
        <v>1</v>
      </c>
      <c r="I367" s="526">
        <f>G367</f>
        <v>1</v>
      </c>
      <c r="J367" s="631"/>
      <c r="K367" s="631"/>
      <c r="L367" s="631"/>
      <c r="M367" s="631"/>
      <c r="N367" s="631"/>
      <c r="O367" s="631"/>
      <c r="P367" s="631"/>
      <c r="Q367" s="631"/>
      <c r="R367" s="631"/>
    </row>
    <row r="368" spans="2:18" x14ac:dyDescent="0.45">
      <c r="B368" s="531"/>
      <c r="C368" s="734" t="s">
        <v>239</v>
      </c>
      <c r="D368" s="723">
        <f>D357/$D$356</f>
        <v>0.55204779386952929</v>
      </c>
      <c r="E368" s="723">
        <f t="shared" si="80"/>
        <v>0.55204779386952929</v>
      </c>
      <c r="F368" s="723">
        <f>D368</f>
        <v>0.55204779386952929</v>
      </c>
      <c r="G368" s="723">
        <f>G357/$G$356</f>
        <v>0.5520477938695294</v>
      </c>
      <c r="H368" s="723">
        <f t="shared" si="81"/>
        <v>0.5520477938695294</v>
      </c>
      <c r="I368" s="526">
        <f>G368</f>
        <v>0.5520477938695294</v>
      </c>
      <c r="J368" s="631"/>
      <c r="K368" s="631"/>
      <c r="L368" s="631"/>
      <c r="M368" s="631"/>
      <c r="N368" s="631"/>
      <c r="O368" s="631"/>
      <c r="P368" s="631"/>
      <c r="Q368" s="631"/>
      <c r="R368" s="631"/>
    </row>
    <row r="369" spans="2:18" x14ac:dyDescent="0.45">
      <c r="B369" s="531"/>
      <c r="C369" s="734" t="s">
        <v>240</v>
      </c>
      <c r="D369" s="723">
        <f t="shared" ref="D369:D375" si="82">D358/$D$356</f>
        <v>9.5437287086300074E-2</v>
      </c>
      <c r="E369" s="723">
        <f t="shared" si="80"/>
        <v>9.5437287086300074E-2</v>
      </c>
      <c r="F369" s="723">
        <f>D369</f>
        <v>9.5437287086300074E-2</v>
      </c>
      <c r="G369" s="723">
        <f t="shared" ref="G369:G375" si="83">G358/$G$356</f>
        <v>9.5437287086300074E-2</v>
      </c>
      <c r="H369" s="723">
        <f t="shared" si="81"/>
        <v>9.5437287086300074E-2</v>
      </c>
      <c r="I369" s="526">
        <f>G369</f>
        <v>9.5437287086300074E-2</v>
      </c>
      <c r="J369" s="631"/>
      <c r="K369" s="631"/>
      <c r="L369" s="631"/>
      <c r="M369" s="631"/>
      <c r="N369" s="631"/>
      <c r="O369" s="631"/>
      <c r="P369" s="631"/>
      <c r="Q369" s="631"/>
      <c r="R369" s="631"/>
    </row>
    <row r="370" spans="2:18" x14ac:dyDescent="0.45">
      <c r="B370" s="531"/>
      <c r="C370" s="734" t="s">
        <v>20</v>
      </c>
      <c r="D370" s="723">
        <f t="shared" si="82"/>
        <v>5.3575995255362621E-2</v>
      </c>
      <c r="E370" s="723">
        <f t="shared" si="80"/>
        <v>5.3575995255362621E-2</v>
      </c>
      <c r="F370" s="723">
        <f>D370</f>
        <v>5.3575995255362621E-2</v>
      </c>
      <c r="G370" s="723">
        <f t="shared" si="83"/>
        <v>5.3575995255362621E-2</v>
      </c>
      <c r="H370" s="723">
        <f t="shared" si="81"/>
        <v>5.3575995255362621E-2</v>
      </c>
      <c r="I370" s="526">
        <f>G370</f>
        <v>5.3575995255362621E-2</v>
      </c>
      <c r="J370" s="631"/>
      <c r="K370" s="631"/>
      <c r="L370" s="631"/>
      <c r="M370" s="631"/>
      <c r="N370" s="631"/>
      <c r="O370" s="631"/>
      <c r="P370" s="631"/>
      <c r="Q370" s="631"/>
      <c r="R370" s="631"/>
    </row>
    <row r="371" spans="2:18" x14ac:dyDescent="0.45">
      <c r="B371" s="531"/>
      <c r="C371" s="734" t="s">
        <v>61</v>
      </c>
      <c r="D371" s="723">
        <f t="shared" si="82"/>
        <v>3.6784394103526782E-2</v>
      </c>
      <c r="E371" s="723">
        <f t="shared" si="80"/>
        <v>3.6784394103526782E-2</v>
      </c>
      <c r="F371" s="723">
        <f>D371</f>
        <v>3.6784394103526782E-2</v>
      </c>
      <c r="G371" s="723">
        <f t="shared" si="83"/>
        <v>3.6784394103526782E-2</v>
      </c>
      <c r="H371" s="723">
        <f t="shared" si="81"/>
        <v>3.6784394103526782E-2</v>
      </c>
      <c r="I371" s="526">
        <f>G371</f>
        <v>3.6784394103526782E-2</v>
      </c>
      <c r="J371" s="631"/>
      <c r="K371" s="631"/>
      <c r="L371" s="631"/>
      <c r="M371" s="631"/>
      <c r="N371" s="631"/>
      <c r="O371" s="631"/>
      <c r="P371" s="631"/>
      <c r="Q371" s="631"/>
      <c r="R371" s="631"/>
    </row>
    <row r="372" spans="2:18" x14ac:dyDescent="0.45">
      <c r="B372" s="531"/>
      <c r="C372" s="734" t="s">
        <v>246</v>
      </c>
      <c r="D372" s="723">
        <f t="shared" si="82"/>
        <v>9.4335977479559768E-2</v>
      </c>
      <c r="E372" s="723">
        <f t="shared" si="80"/>
        <v>9.4335977479559768E-2</v>
      </c>
      <c r="F372" s="723"/>
      <c r="G372" s="723">
        <f t="shared" si="83"/>
        <v>4.8074651132540294E-2</v>
      </c>
      <c r="H372" s="723">
        <f t="shared" si="81"/>
        <v>4.8074651132540294E-2</v>
      </c>
      <c r="I372" s="526"/>
      <c r="J372" s="631"/>
      <c r="K372" s="631"/>
      <c r="L372" s="631"/>
      <c r="M372" s="631"/>
      <c r="N372" s="631"/>
      <c r="O372" s="631"/>
      <c r="P372" s="631"/>
      <c r="Q372" s="631"/>
      <c r="R372" s="631"/>
    </row>
    <row r="373" spans="2:18" x14ac:dyDescent="0.45">
      <c r="B373" s="580"/>
      <c r="C373" s="734" t="s">
        <v>244</v>
      </c>
      <c r="D373" s="723">
        <f t="shared" si="82"/>
        <v>0.10499999999999998</v>
      </c>
      <c r="E373" s="734"/>
      <c r="F373" s="723"/>
      <c r="G373" s="723">
        <f t="shared" si="83"/>
        <v>0.105</v>
      </c>
      <c r="H373" s="734"/>
      <c r="I373" s="526"/>
      <c r="J373" s="631"/>
      <c r="K373" s="631"/>
      <c r="L373" s="631"/>
      <c r="M373" s="631"/>
      <c r="N373" s="631"/>
      <c r="O373" s="631"/>
      <c r="P373" s="631"/>
      <c r="Q373" s="631"/>
      <c r="R373" s="631"/>
    </row>
    <row r="374" spans="2:18" x14ac:dyDescent="0.45">
      <c r="B374" s="580"/>
      <c r="C374" s="734" t="s">
        <v>241</v>
      </c>
      <c r="D374" s="723">
        <f t="shared" si="82"/>
        <v>1.411935762915527E-2</v>
      </c>
      <c r="E374" s="734"/>
      <c r="F374" s="734"/>
      <c r="G374" s="723">
        <f t="shared" si="83"/>
        <v>0</v>
      </c>
      <c r="H374" s="734"/>
      <c r="I374" s="595"/>
      <c r="J374" s="631"/>
      <c r="K374" s="631"/>
      <c r="L374" s="631"/>
      <c r="M374" s="631"/>
      <c r="N374" s="631"/>
      <c r="O374" s="631"/>
      <c r="P374" s="631"/>
      <c r="Q374" s="631"/>
      <c r="R374" s="631"/>
    </row>
    <row r="375" spans="2:18" x14ac:dyDescent="0.45">
      <c r="B375" s="580"/>
      <c r="C375" s="734" t="s">
        <v>242</v>
      </c>
      <c r="D375" s="723">
        <f t="shared" si="82"/>
        <v>1.3587075286861941E-2</v>
      </c>
      <c r="E375" s="734"/>
      <c r="F375" s="734"/>
      <c r="G375" s="723">
        <f t="shared" si="83"/>
        <v>3.0433286116214705E-2</v>
      </c>
      <c r="H375" s="734"/>
      <c r="I375" s="595"/>
      <c r="J375" s="631"/>
      <c r="K375" s="631"/>
      <c r="L375" s="631"/>
      <c r="M375" s="631"/>
      <c r="N375" s="631"/>
      <c r="O375" s="631"/>
      <c r="P375" s="631"/>
      <c r="Q375" s="631"/>
      <c r="R375" s="631"/>
    </row>
    <row r="376" spans="2:18" x14ac:dyDescent="0.45">
      <c r="B376" s="580"/>
      <c r="C376" s="734"/>
      <c r="D376" s="723"/>
      <c r="E376" s="734"/>
      <c r="F376" s="734"/>
      <c r="G376" s="734"/>
      <c r="H376" s="734"/>
      <c r="I376" s="595"/>
      <c r="J376" s="631"/>
      <c r="K376" s="631"/>
      <c r="L376" s="631"/>
      <c r="M376" s="631"/>
      <c r="N376" s="631"/>
      <c r="O376" s="631"/>
      <c r="P376" s="631"/>
      <c r="Q376" s="631"/>
      <c r="R376" s="631"/>
    </row>
    <row r="377" spans="2:18" x14ac:dyDescent="0.45">
      <c r="B377" s="580"/>
      <c r="C377" s="734"/>
      <c r="D377" s="723"/>
      <c r="E377" s="734"/>
      <c r="F377" s="734"/>
      <c r="G377" s="734"/>
      <c r="H377" s="734"/>
      <c r="I377" s="595"/>
      <c r="J377" s="631"/>
      <c r="K377" s="631"/>
      <c r="L377" s="631"/>
      <c r="M377" s="631"/>
      <c r="N377" s="631"/>
      <c r="O377" s="631"/>
      <c r="P377" s="631"/>
      <c r="Q377" s="631"/>
      <c r="R377" s="631"/>
    </row>
    <row r="378" spans="2:18" x14ac:dyDescent="0.45">
      <c r="B378" s="580"/>
      <c r="C378" s="734" t="s">
        <v>388</v>
      </c>
      <c r="D378" s="723">
        <f>(E356-SUM(E357:E364))/E356</f>
        <v>0.16781855220572128</v>
      </c>
      <c r="E378" s="734"/>
      <c r="F378" s="734"/>
      <c r="G378" s="527">
        <f>(G356-SUM(G357:G361))/G356</f>
        <v>0.21407987855274088</v>
      </c>
      <c r="H378" s="734"/>
      <c r="I378" s="595"/>
      <c r="J378" s="631"/>
      <c r="K378" s="631"/>
      <c r="L378" s="631"/>
      <c r="M378" s="631"/>
      <c r="N378" s="631"/>
      <c r="O378" s="631"/>
      <c r="P378" s="631"/>
      <c r="Q378" s="631"/>
      <c r="R378" s="631"/>
    </row>
    <row r="379" spans="2:18" x14ac:dyDescent="0.45">
      <c r="B379" s="511"/>
      <c r="C379" s="528" t="s">
        <v>251</v>
      </c>
      <c r="D379" s="1041">
        <f>(D356-SUM(D357:D364))/D356</f>
        <v>3.5112119289704209E-2</v>
      </c>
      <c r="E379" s="528"/>
      <c r="F379" s="528"/>
      <c r="G379" s="529">
        <f>(G356-SUM(G357:G364))/G356</f>
        <v>7.8646592436526233E-2</v>
      </c>
      <c r="H379" s="528"/>
      <c r="I379" s="513"/>
      <c r="J379" s="631"/>
      <c r="K379" s="631"/>
      <c r="L379" s="631"/>
      <c r="M379" s="631"/>
      <c r="N379" s="631"/>
      <c r="O379" s="631"/>
      <c r="P379" s="631"/>
      <c r="Q379" s="631"/>
      <c r="R379" s="631"/>
    </row>
    <row r="380" spans="2:18" x14ac:dyDescent="0.45">
      <c r="B380" s="631"/>
      <c r="C380" s="631"/>
      <c r="D380" s="631"/>
      <c r="E380" s="631"/>
      <c r="F380" s="631"/>
      <c r="G380" s="631"/>
      <c r="H380" s="631"/>
      <c r="I380" s="631"/>
      <c r="J380" s="631"/>
      <c r="K380" s="631"/>
      <c r="L380" s="631"/>
      <c r="M380" s="631"/>
      <c r="N380" s="631"/>
      <c r="O380" s="631"/>
      <c r="P380" s="631"/>
      <c r="Q380" s="631"/>
      <c r="R380" s="631"/>
    </row>
    <row r="383" spans="2:18" x14ac:dyDescent="0.45">
      <c r="L383" s="521"/>
    </row>
  </sheetData>
  <mergeCells count="3">
    <mergeCell ref="L28:N28"/>
    <mergeCell ref="F5:G5"/>
    <mergeCell ref="I28:K28"/>
  </mergeCells>
  <hyperlinks>
    <hyperlink ref="A4" r:id="rId1" display="dmpowell@mit.edu"/>
  </hyperlinks>
  <pageMargins left="0.7" right="0.7" top="0.75" bottom="0.75" header="0.3" footer="0.3"/>
  <pageSetup orientation="portrait"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382"/>
  <sheetViews>
    <sheetView zoomScale="50" zoomScaleNormal="50" workbookViewId="0"/>
  </sheetViews>
  <sheetFormatPr defaultColWidth="8.86328125" defaultRowHeight="14.25" x14ac:dyDescent="0.45"/>
  <cols>
    <col min="1" max="1" width="8.86328125" style="544"/>
    <col min="2" max="2" width="30.6640625" style="540" customWidth="1"/>
    <col min="3" max="6" width="19" style="540" customWidth="1"/>
    <col min="7" max="7" width="24.796875" style="540" customWidth="1"/>
    <col min="8" max="24" width="19" style="540" customWidth="1"/>
    <col min="25" max="25" width="21.19921875" style="540" customWidth="1"/>
    <col min="26" max="26" width="19.19921875" style="540" customWidth="1"/>
    <col min="27" max="27" width="17.33203125" style="540" customWidth="1"/>
    <col min="28" max="28" width="16.46484375" style="540" customWidth="1"/>
    <col min="29" max="29" width="11.1328125" style="540" customWidth="1"/>
    <col min="30" max="36" width="8.86328125" style="540"/>
    <col min="37" max="37" width="12.19921875" style="540" customWidth="1"/>
    <col min="38" max="16384" width="8.86328125" style="540"/>
  </cols>
  <sheetData>
    <row r="1" spans="1:39" ht="30.75" x14ac:dyDescent="0.9">
      <c r="A1" s="637" t="s">
        <v>358</v>
      </c>
      <c r="S1" s="553"/>
      <c r="T1" s="553"/>
      <c r="U1" s="553"/>
      <c r="V1" s="553"/>
      <c r="W1" s="553"/>
      <c r="X1" s="553"/>
      <c r="Y1" s="553"/>
      <c r="Z1" s="553"/>
      <c r="AA1" s="553"/>
      <c r="AB1" s="553"/>
      <c r="AC1" s="553"/>
      <c r="AD1" s="553"/>
      <c r="AE1" s="553"/>
      <c r="AF1" s="553"/>
      <c r="AG1" s="553"/>
      <c r="AH1" s="553"/>
      <c r="AI1" s="553"/>
    </row>
    <row r="2" spans="1:39" x14ac:dyDescent="0.45">
      <c r="A2" s="817" t="str">
        <f>Cover!A2</f>
        <v>Jan 2013</v>
      </c>
      <c r="S2" s="553"/>
      <c r="T2" s="553"/>
      <c r="U2" s="553"/>
      <c r="V2" s="553"/>
      <c r="W2" s="553"/>
      <c r="X2" s="553"/>
      <c r="Y2" s="553"/>
      <c r="Z2" s="553"/>
      <c r="AA2" s="553"/>
      <c r="AB2" s="553"/>
      <c r="AC2" s="553"/>
      <c r="AD2" s="553"/>
      <c r="AE2" s="553"/>
      <c r="AF2" s="553"/>
      <c r="AG2" s="553"/>
      <c r="AH2" s="553"/>
      <c r="AI2" s="553"/>
    </row>
    <row r="3" spans="1:39" x14ac:dyDescent="0.45">
      <c r="A3" s="550" t="s">
        <v>36</v>
      </c>
      <c r="S3" s="553"/>
      <c r="T3" s="553"/>
      <c r="U3" s="553"/>
      <c r="V3" s="553"/>
      <c r="W3" s="553"/>
      <c r="X3" s="553"/>
      <c r="Y3" s="553"/>
      <c r="Z3" s="553"/>
      <c r="AA3" s="553"/>
      <c r="AB3" s="553"/>
      <c r="AC3" s="553"/>
      <c r="AD3" s="553"/>
      <c r="AE3" s="553"/>
      <c r="AF3" s="553"/>
      <c r="AG3" s="553"/>
      <c r="AH3" s="553"/>
      <c r="AI3" s="553"/>
    </row>
    <row r="4" spans="1:39" s="811" customFormat="1" ht="13.8" customHeight="1" x14ac:dyDescent="0.45">
      <c r="A4" s="540" t="s">
        <v>137</v>
      </c>
      <c r="S4" s="536"/>
      <c r="T4" s="547"/>
      <c r="U4" s="536"/>
      <c r="V4" s="536"/>
      <c r="W4" s="536"/>
      <c r="X4" s="536"/>
      <c r="Y4" s="536"/>
      <c r="Z4" s="536"/>
      <c r="AA4" s="536"/>
      <c r="AB4" s="536"/>
      <c r="AC4" s="536"/>
      <c r="AD4" s="536"/>
      <c r="AE4" s="536"/>
      <c r="AF4" s="536"/>
      <c r="AG4" s="536"/>
      <c r="AH4" s="536"/>
      <c r="AI4" s="536"/>
    </row>
    <row r="5" spans="1:39" ht="15.4" x14ac:dyDescent="0.45">
      <c r="A5" s="540"/>
      <c r="F5" s="1071" t="s">
        <v>314</v>
      </c>
      <c r="G5" s="1071"/>
      <c r="S5" s="553"/>
      <c r="T5" s="538"/>
      <c r="U5" s="553"/>
      <c r="V5" s="553"/>
      <c r="W5" s="553"/>
      <c r="X5" s="553"/>
      <c r="Y5" s="553"/>
      <c r="Z5" s="553"/>
      <c r="AA5" s="553"/>
      <c r="AB5" s="553"/>
      <c r="AC5" s="553"/>
      <c r="AD5" s="553"/>
      <c r="AE5" s="553"/>
      <c r="AF5" s="553"/>
      <c r="AG5" s="553"/>
      <c r="AH5" s="553"/>
      <c r="AI5" s="553"/>
      <c r="AK5" s="631"/>
      <c r="AL5" s="631"/>
      <c r="AM5" s="631"/>
    </row>
    <row r="6" spans="1:39" ht="28.9" thickBot="1" x14ac:dyDescent="0.9">
      <c r="B6" s="562" t="s">
        <v>395</v>
      </c>
      <c r="F6" s="540" t="s">
        <v>254</v>
      </c>
      <c r="G6" s="540" t="s">
        <v>255</v>
      </c>
      <c r="R6" s="543"/>
      <c r="S6" s="553"/>
      <c r="T6" s="553"/>
      <c r="U6" s="553"/>
      <c r="V6" s="553"/>
      <c r="W6" s="553"/>
      <c r="X6" s="553"/>
      <c r="Y6" s="553"/>
      <c r="Z6" s="553"/>
      <c r="AA6" s="553"/>
      <c r="AB6" s="553"/>
      <c r="AC6" s="553"/>
      <c r="AD6" s="553"/>
      <c r="AE6" s="553"/>
      <c r="AF6" s="553"/>
      <c r="AG6" s="553"/>
      <c r="AH6" s="553"/>
      <c r="AI6" s="553"/>
      <c r="AK6" s="631"/>
      <c r="AL6" s="740"/>
      <c r="AM6" s="631"/>
    </row>
    <row r="7" spans="1:39" ht="14.65" thickBot="1" x14ac:dyDescent="0.5">
      <c r="A7" s="545"/>
      <c r="B7" s="560" t="s">
        <v>37</v>
      </c>
      <c r="C7" s="569" t="s">
        <v>34</v>
      </c>
      <c r="D7" s="570" t="s">
        <v>38</v>
      </c>
      <c r="F7" s="540" t="s">
        <v>256</v>
      </c>
      <c r="G7" s="540" t="s">
        <v>257</v>
      </c>
      <c r="H7" s="543"/>
      <c r="S7" s="553"/>
      <c r="T7" s="553"/>
      <c r="U7" s="553"/>
      <c r="V7" s="553"/>
      <c r="W7" s="553"/>
      <c r="X7" s="553"/>
      <c r="Y7" s="553"/>
      <c r="Z7" s="553"/>
      <c r="AA7" s="553"/>
      <c r="AB7" s="553"/>
      <c r="AC7" s="553"/>
      <c r="AD7" s="553"/>
      <c r="AE7" s="553"/>
      <c r="AF7" s="553"/>
      <c r="AG7" s="553"/>
      <c r="AH7" s="553"/>
      <c r="AI7" s="553"/>
      <c r="AK7" s="631"/>
      <c r="AL7" s="740"/>
      <c r="AM7" s="631"/>
    </row>
    <row r="8" spans="1:39" x14ac:dyDescent="0.45">
      <c r="A8" s="545"/>
      <c r="B8" s="554" t="s">
        <v>33</v>
      </c>
      <c r="C8" s="565">
        <v>20.5</v>
      </c>
      <c r="D8" s="571" t="s">
        <v>0</v>
      </c>
      <c r="F8" s="991" t="s">
        <v>381</v>
      </c>
      <c r="G8" s="995" t="s">
        <v>391</v>
      </c>
      <c r="H8" s="543"/>
      <c r="S8" s="553"/>
      <c r="T8" s="553"/>
      <c r="U8" s="553"/>
      <c r="V8" s="553"/>
      <c r="W8" s="553"/>
      <c r="X8" s="553"/>
      <c r="Y8" s="553"/>
      <c r="Z8" s="553"/>
      <c r="AA8" s="553"/>
      <c r="AB8" s="553"/>
      <c r="AC8" s="553"/>
      <c r="AD8" s="553"/>
      <c r="AE8" s="553"/>
      <c r="AF8" s="553"/>
      <c r="AG8" s="553"/>
      <c r="AH8" s="553"/>
      <c r="AI8" s="553"/>
      <c r="AK8" s="631"/>
      <c r="AL8" s="740"/>
      <c r="AM8" s="631"/>
    </row>
    <row r="9" spans="1:39" x14ac:dyDescent="0.45">
      <c r="A9" s="550"/>
      <c r="B9" s="557" t="s">
        <v>11</v>
      </c>
      <c r="C9" s="544">
        <v>50</v>
      </c>
      <c r="D9" s="572" t="s">
        <v>122</v>
      </c>
      <c r="G9" s="991" t="s">
        <v>383</v>
      </c>
      <c r="H9" s="543"/>
      <c r="S9" s="553"/>
      <c r="T9" s="553"/>
      <c r="U9" s="553"/>
      <c r="V9" s="553"/>
      <c r="W9" s="553"/>
      <c r="X9" s="553"/>
      <c r="Y9" s="553"/>
      <c r="Z9" s="553"/>
      <c r="AA9" s="553"/>
      <c r="AB9" s="553"/>
      <c r="AC9" s="553"/>
      <c r="AD9" s="553"/>
      <c r="AE9" s="553"/>
      <c r="AF9" s="553"/>
      <c r="AG9" s="553"/>
      <c r="AH9" s="553"/>
      <c r="AI9" s="553"/>
      <c r="AK9" s="631"/>
      <c r="AL9" s="740"/>
      <c r="AM9" s="631"/>
    </row>
    <row r="10" spans="1:39" x14ac:dyDescent="0.45">
      <c r="A10" s="550"/>
      <c r="B10" s="557" t="s">
        <v>183</v>
      </c>
      <c r="C10" s="998">
        <v>0.9</v>
      </c>
      <c r="D10" s="572" t="s">
        <v>22</v>
      </c>
      <c r="G10" s="991" t="s">
        <v>382</v>
      </c>
      <c r="H10" s="543"/>
      <c r="S10" s="553"/>
      <c r="T10" s="553"/>
      <c r="U10" s="553"/>
      <c r="V10" s="553"/>
      <c r="W10" s="553"/>
      <c r="X10" s="553"/>
      <c r="Y10" s="553"/>
      <c r="Z10" s="553"/>
      <c r="AA10" s="553"/>
      <c r="AB10" s="553"/>
      <c r="AC10" s="553"/>
      <c r="AD10" s="553"/>
      <c r="AE10" s="553"/>
      <c r="AF10" s="553"/>
      <c r="AG10" s="553"/>
      <c r="AH10" s="740"/>
      <c r="AI10" s="553"/>
    </row>
    <row r="11" spans="1:39" x14ac:dyDescent="0.45">
      <c r="A11" s="550"/>
      <c r="B11" s="557" t="s">
        <v>109</v>
      </c>
      <c r="C11" s="544">
        <v>30</v>
      </c>
      <c r="D11" s="572" t="s">
        <v>12</v>
      </c>
      <c r="G11" s="991" t="s">
        <v>386</v>
      </c>
      <c r="H11" s="543"/>
      <c r="S11" s="553"/>
      <c r="T11" s="533"/>
      <c r="U11" s="553"/>
      <c r="V11" s="553"/>
      <c r="W11" s="801"/>
      <c r="X11" s="553"/>
      <c r="Y11" s="553"/>
      <c r="Z11" s="553"/>
      <c r="AA11" s="553"/>
      <c r="AB11" s="801"/>
      <c r="AC11" s="553"/>
      <c r="AD11" s="801"/>
      <c r="AE11" s="801"/>
      <c r="AF11" s="553"/>
      <c r="AG11" s="553"/>
      <c r="AH11" s="740"/>
      <c r="AI11" s="553"/>
    </row>
    <row r="12" spans="1:39" x14ac:dyDescent="0.45">
      <c r="A12" s="550"/>
      <c r="B12" s="557" t="s">
        <v>196</v>
      </c>
      <c r="C12" s="519">
        <v>14.5</v>
      </c>
      <c r="D12" s="572" t="s">
        <v>17</v>
      </c>
      <c r="H12" s="543"/>
      <c r="S12" s="553"/>
      <c r="T12" s="533"/>
      <c r="U12" s="553"/>
      <c r="V12" s="553"/>
      <c r="W12" s="801"/>
      <c r="X12" s="553"/>
      <c r="Y12" s="548"/>
      <c r="Z12" s="553"/>
      <c r="AA12" s="553"/>
      <c r="AB12" s="553"/>
      <c r="AC12" s="548"/>
      <c r="AD12" s="553"/>
      <c r="AE12" s="553"/>
      <c r="AF12" s="553"/>
      <c r="AG12" s="553"/>
      <c r="AH12" s="740"/>
      <c r="AI12" s="553"/>
    </row>
    <row r="13" spans="1:39" x14ac:dyDescent="0.45">
      <c r="A13" s="545"/>
      <c r="B13" s="555" t="s">
        <v>197</v>
      </c>
      <c r="C13" s="519">
        <v>20.61</v>
      </c>
      <c r="D13" s="572" t="s">
        <v>17</v>
      </c>
      <c r="H13" s="543"/>
      <c r="S13" s="553"/>
      <c r="T13" s="553"/>
      <c r="U13" s="553"/>
      <c r="V13" s="553"/>
      <c r="W13" s="801"/>
      <c r="X13" s="553"/>
      <c r="Y13" s="548"/>
      <c r="Z13" s="553"/>
      <c r="AA13" s="553"/>
      <c r="AB13" s="553"/>
      <c r="AC13" s="548"/>
      <c r="AD13" s="553"/>
      <c r="AE13" s="553"/>
      <c r="AF13" s="553"/>
      <c r="AG13" s="553"/>
      <c r="AH13" s="740"/>
      <c r="AI13" s="553"/>
      <c r="AJ13" s="631"/>
    </row>
    <row r="14" spans="1:39" x14ac:dyDescent="0.45">
      <c r="A14" s="545"/>
      <c r="B14" s="555" t="s">
        <v>198</v>
      </c>
      <c r="C14" s="519">
        <v>27.27</v>
      </c>
      <c r="D14" s="572" t="s">
        <v>17</v>
      </c>
      <c r="E14" s="541"/>
      <c r="H14" s="543"/>
      <c r="S14" s="553"/>
      <c r="T14" s="553"/>
      <c r="U14" s="553"/>
      <c r="V14" s="553"/>
      <c r="W14" s="801"/>
      <c r="X14" s="553"/>
      <c r="Y14" s="548"/>
      <c r="Z14" s="553"/>
      <c r="AA14" s="553"/>
      <c r="AB14" s="553"/>
      <c r="AC14" s="548"/>
      <c r="AD14" s="553"/>
      <c r="AE14" s="553"/>
      <c r="AF14" s="801"/>
      <c r="AG14" s="553"/>
      <c r="AH14" s="740"/>
      <c r="AI14" s="553"/>
      <c r="AJ14" s="631"/>
    </row>
    <row r="15" spans="1:39" x14ac:dyDescent="0.45">
      <c r="A15" s="545"/>
      <c r="B15" s="555" t="s">
        <v>199</v>
      </c>
      <c r="C15" s="482">
        <v>1.325</v>
      </c>
      <c r="D15" s="480" t="s">
        <v>22</v>
      </c>
      <c r="H15" s="543"/>
      <c r="L15" s="546"/>
      <c r="N15" s="541"/>
      <c r="S15" s="553"/>
      <c r="T15" s="553"/>
      <c r="U15" s="553"/>
      <c r="V15" s="553"/>
      <c r="W15" s="801"/>
      <c r="X15" s="553"/>
      <c r="Y15" s="553"/>
      <c r="Z15" s="553"/>
      <c r="AA15" s="553"/>
      <c r="AB15" s="553"/>
      <c r="AC15" s="548"/>
      <c r="AD15" s="553"/>
      <c r="AE15" s="553"/>
      <c r="AF15" s="553"/>
      <c r="AG15" s="553"/>
      <c r="AH15" s="740"/>
      <c r="AI15" s="553"/>
      <c r="AJ15" s="631"/>
    </row>
    <row r="16" spans="1:39" x14ac:dyDescent="0.45">
      <c r="A16" s="545"/>
      <c r="B16" s="557" t="s">
        <v>19</v>
      </c>
      <c r="C16" s="483">
        <v>6.8900000000000003E-2</v>
      </c>
      <c r="D16" s="572" t="s">
        <v>139</v>
      </c>
      <c r="H16" s="543"/>
      <c r="L16" s="546"/>
      <c r="S16" s="553"/>
      <c r="T16" s="553"/>
      <c r="U16" s="553"/>
      <c r="V16" s="553"/>
      <c r="W16" s="801"/>
      <c r="X16" s="553"/>
      <c r="Y16" s="553"/>
      <c r="Z16" s="553"/>
      <c r="AA16" s="553"/>
      <c r="AB16" s="553"/>
      <c r="AC16" s="548"/>
      <c r="AD16" s="553"/>
      <c r="AE16" s="553"/>
      <c r="AF16" s="553"/>
      <c r="AG16" s="553"/>
      <c r="AH16" s="740"/>
      <c r="AI16" s="553"/>
      <c r="AJ16" s="631"/>
    </row>
    <row r="17" spans="1:36" x14ac:dyDescent="0.45">
      <c r="A17" s="545"/>
      <c r="B17" s="555" t="s">
        <v>43</v>
      </c>
      <c r="C17" s="455">
        <v>0</v>
      </c>
      <c r="D17" s="480" t="s">
        <v>44</v>
      </c>
      <c r="E17" s="541"/>
      <c r="H17" s="543"/>
      <c r="S17" s="553"/>
      <c r="T17" s="553"/>
      <c r="U17" s="553"/>
      <c r="V17" s="553"/>
      <c r="W17" s="801"/>
      <c r="X17" s="553"/>
      <c r="Y17" s="553"/>
      <c r="Z17" s="553"/>
      <c r="AA17" s="553"/>
      <c r="AB17" s="553"/>
      <c r="AC17" s="548"/>
      <c r="AD17" s="553"/>
      <c r="AE17" s="553"/>
      <c r="AF17" s="553"/>
      <c r="AG17" s="553"/>
      <c r="AH17" s="740"/>
      <c r="AI17" s="553"/>
      <c r="AJ17" s="631"/>
    </row>
    <row r="18" spans="1:36" ht="14.65" thickBot="1" x14ac:dyDescent="0.5">
      <c r="A18" s="545"/>
      <c r="B18" s="558" t="s">
        <v>185</v>
      </c>
      <c r="C18" s="484">
        <v>97</v>
      </c>
      <c r="D18" s="481" t="s">
        <v>0</v>
      </c>
      <c r="H18" s="543"/>
      <c r="R18" s="640"/>
      <c r="S18" s="553"/>
      <c r="T18" s="553"/>
      <c r="U18" s="553"/>
      <c r="V18" s="553"/>
      <c r="W18" s="801"/>
      <c r="X18" s="553"/>
      <c r="Y18" s="553"/>
      <c r="Z18" s="553"/>
      <c r="AA18" s="547"/>
      <c r="AB18" s="801"/>
      <c r="AC18" s="534"/>
      <c r="AD18" s="553"/>
      <c r="AE18" s="553"/>
      <c r="AF18" s="553"/>
      <c r="AG18" s="553"/>
      <c r="AH18" s="740"/>
      <c r="AI18" s="553"/>
      <c r="AJ18" s="631"/>
    </row>
    <row r="19" spans="1:36" s="640" customFormat="1" x14ac:dyDescent="0.45">
      <c r="A19" s="545"/>
      <c r="B19" s="540"/>
      <c r="C19" s="540"/>
      <c r="D19" s="540"/>
      <c r="E19" s="739"/>
      <c r="F19" s="540"/>
      <c r="H19" s="543"/>
      <c r="R19" s="540"/>
      <c r="S19" s="553"/>
      <c r="T19" s="553"/>
      <c r="U19" s="553"/>
      <c r="V19" s="553"/>
      <c r="W19" s="801"/>
      <c r="X19" s="553"/>
      <c r="Y19" s="553"/>
      <c r="Z19" s="553"/>
      <c r="AA19" s="553"/>
      <c r="AB19" s="553"/>
      <c r="AC19" s="548"/>
      <c r="AD19" s="553"/>
      <c r="AE19" s="553"/>
      <c r="AF19" s="553"/>
      <c r="AG19" s="553"/>
      <c r="AH19" s="741"/>
      <c r="AI19" s="801"/>
      <c r="AJ19" s="648"/>
    </row>
    <row r="20" spans="1:36" ht="28.9" thickBot="1" x14ac:dyDescent="0.9">
      <c r="A20" s="545"/>
      <c r="B20" s="562" t="s">
        <v>165</v>
      </c>
      <c r="E20" s="541"/>
      <c r="H20" s="543"/>
      <c r="S20" s="553"/>
      <c r="T20" s="553"/>
      <c r="U20" s="553"/>
      <c r="V20" s="553"/>
      <c r="W20" s="801"/>
      <c r="X20" s="553"/>
      <c r="Y20" s="553"/>
      <c r="Z20" s="553"/>
      <c r="AA20" s="553"/>
      <c r="AB20" s="553"/>
      <c r="AC20" s="548"/>
      <c r="AD20" s="553"/>
      <c r="AE20" s="553"/>
      <c r="AF20" s="553"/>
      <c r="AG20" s="553"/>
      <c r="AH20" s="740"/>
      <c r="AI20" s="553"/>
      <c r="AJ20" s="631"/>
    </row>
    <row r="21" spans="1:36" x14ac:dyDescent="0.45">
      <c r="A21" s="545"/>
      <c r="B21" s="743" t="s">
        <v>237</v>
      </c>
      <c r="C21" s="897">
        <f>G49</f>
        <v>0.43324075379436983</v>
      </c>
      <c r="D21" s="571" t="s">
        <v>138</v>
      </c>
      <c r="E21" s="541"/>
      <c r="S21" s="553"/>
      <c r="T21" s="553"/>
      <c r="U21" s="553"/>
      <c r="V21" s="553"/>
      <c r="W21" s="801"/>
      <c r="X21" s="553"/>
      <c r="Y21" s="553"/>
      <c r="Z21" s="553"/>
      <c r="AA21" s="553"/>
      <c r="AB21" s="553"/>
      <c r="AC21" s="548"/>
      <c r="AD21" s="553"/>
      <c r="AE21" s="553"/>
      <c r="AF21" s="553"/>
      <c r="AG21" s="553"/>
      <c r="AH21" s="740"/>
      <c r="AI21" s="553"/>
      <c r="AJ21" s="631"/>
    </row>
    <row r="22" spans="1:36" x14ac:dyDescent="0.45">
      <c r="A22" s="545"/>
      <c r="B22" s="555" t="s">
        <v>237</v>
      </c>
      <c r="C22" s="898">
        <f>F49</f>
        <v>88.814354527845836</v>
      </c>
      <c r="D22" s="480" t="s">
        <v>333</v>
      </c>
      <c r="F22" s="640"/>
      <c r="H22" s="543"/>
      <c r="N22" s="543"/>
      <c r="S22" s="547"/>
      <c r="T22" s="801"/>
      <c r="U22" s="553"/>
      <c r="V22" s="553"/>
      <c r="W22" s="801"/>
      <c r="X22" s="553"/>
      <c r="Y22" s="553"/>
      <c r="Z22" s="553"/>
      <c r="AA22" s="553"/>
      <c r="AB22" s="553"/>
      <c r="AC22" s="548"/>
      <c r="AD22" s="553"/>
      <c r="AE22" s="553"/>
      <c r="AF22" s="553"/>
      <c r="AG22" s="553"/>
      <c r="AH22" s="740"/>
      <c r="AI22" s="553"/>
      <c r="AJ22" s="631"/>
    </row>
    <row r="23" spans="1:36" x14ac:dyDescent="0.45">
      <c r="A23" s="545"/>
      <c r="B23" s="555" t="s">
        <v>127</v>
      </c>
      <c r="C23" s="899">
        <f>IF(AND(X325&lt;0.1,X325&gt;-0.1),C206,0)</f>
        <v>0.52636966721335543</v>
      </c>
      <c r="D23" s="572" t="s">
        <v>138</v>
      </c>
      <c r="H23" s="543"/>
      <c r="N23" s="543"/>
      <c r="S23" s="547"/>
      <c r="T23" s="801"/>
      <c r="U23" s="553"/>
      <c r="V23" s="553"/>
      <c r="W23" s="801"/>
      <c r="X23" s="553"/>
      <c r="Y23" s="553"/>
      <c r="Z23" s="553"/>
      <c r="AA23" s="553"/>
      <c r="AB23" s="553"/>
      <c r="AC23" s="548"/>
      <c r="AD23" s="553"/>
      <c r="AE23" s="553"/>
      <c r="AF23" s="553"/>
      <c r="AG23" s="553"/>
      <c r="AH23" s="740"/>
      <c r="AI23" s="553"/>
      <c r="AJ23" s="631"/>
    </row>
    <row r="24" spans="1:36" x14ac:dyDescent="0.45">
      <c r="A24" s="442"/>
      <c r="B24" s="555" t="s">
        <v>127</v>
      </c>
      <c r="C24" s="898">
        <f>C23*$C$58/$C$57</f>
        <v>107.90578177873785</v>
      </c>
      <c r="D24" s="572" t="s">
        <v>333</v>
      </c>
      <c r="F24" s="640"/>
      <c r="N24" s="543"/>
      <c r="S24" s="553"/>
      <c r="T24" s="553"/>
      <c r="U24" s="553"/>
      <c r="V24" s="553"/>
      <c r="W24" s="801"/>
      <c r="X24" s="553"/>
      <c r="Y24" s="553"/>
      <c r="Z24" s="553"/>
      <c r="AA24" s="547"/>
      <c r="AB24" s="553"/>
      <c r="AC24" s="548"/>
      <c r="AD24" s="553"/>
      <c r="AE24" s="553"/>
      <c r="AF24" s="553"/>
      <c r="AG24" s="553"/>
      <c r="AH24" s="553"/>
      <c r="AI24" s="553"/>
      <c r="AJ24" s="631"/>
    </row>
    <row r="25" spans="1:36" ht="14.65" thickBot="1" x14ac:dyDescent="0.5">
      <c r="A25" s="545"/>
      <c r="B25" s="558" t="s">
        <v>50</v>
      </c>
      <c r="C25" s="900">
        <f>C62*1000*C55/C58*(1/(C151))</f>
        <v>0.5848846692632016</v>
      </c>
      <c r="D25" s="638" t="s">
        <v>49</v>
      </c>
      <c r="S25" s="553"/>
      <c r="T25" s="553"/>
      <c r="U25" s="553"/>
      <c r="V25" s="553"/>
      <c r="W25" s="801"/>
      <c r="X25" s="553"/>
      <c r="Y25" s="553"/>
      <c r="Z25" s="553"/>
      <c r="AA25" s="553"/>
      <c r="AB25" s="553"/>
      <c r="AC25" s="548"/>
      <c r="AD25" s="553"/>
      <c r="AE25" s="553"/>
      <c r="AF25" s="553"/>
      <c r="AG25" s="553"/>
      <c r="AH25" s="553"/>
      <c r="AI25" s="553"/>
      <c r="AJ25" s="631"/>
    </row>
    <row r="26" spans="1:36" x14ac:dyDescent="0.45">
      <c r="A26" s="545"/>
      <c r="S26" s="553"/>
      <c r="T26" s="553"/>
      <c r="U26" s="553"/>
      <c r="V26" s="553"/>
      <c r="W26" s="801"/>
      <c r="X26" s="553"/>
      <c r="Y26" s="553"/>
      <c r="Z26" s="553"/>
      <c r="AA26" s="553"/>
      <c r="AB26" s="553"/>
      <c r="AC26" s="548"/>
      <c r="AD26" s="553"/>
      <c r="AE26" s="553"/>
      <c r="AF26" s="553"/>
      <c r="AG26" s="553"/>
      <c r="AH26" s="553"/>
      <c r="AI26" s="553"/>
      <c r="AJ26" s="631"/>
    </row>
    <row r="27" spans="1:36" ht="14.65" thickBot="1" x14ac:dyDescent="0.5">
      <c r="A27" s="545"/>
      <c r="S27" s="548"/>
      <c r="T27" s="548"/>
      <c r="U27" s="553"/>
      <c r="V27" s="553"/>
      <c r="W27" s="801"/>
      <c r="X27" s="553"/>
      <c r="Y27" s="553"/>
      <c r="Z27" s="553"/>
      <c r="AA27" s="553"/>
      <c r="AB27" s="553"/>
      <c r="AC27" s="548"/>
      <c r="AD27" s="553"/>
      <c r="AE27" s="553"/>
      <c r="AF27" s="553"/>
      <c r="AG27" s="553"/>
      <c r="AH27" s="553"/>
      <c r="AI27" s="553"/>
      <c r="AJ27" s="631"/>
    </row>
    <row r="28" spans="1:36" ht="28.9" thickBot="1" x14ac:dyDescent="0.9">
      <c r="A28" s="545"/>
      <c r="B28" s="562" t="s">
        <v>149</v>
      </c>
      <c r="I28" s="1068" t="s">
        <v>173</v>
      </c>
      <c r="J28" s="1069"/>
      <c r="K28" s="1070"/>
      <c r="L28" s="1068" t="s">
        <v>282</v>
      </c>
      <c r="M28" s="1069"/>
      <c r="N28" s="1070"/>
      <c r="O28" s="553"/>
      <c r="P28" s="553"/>
      <c r="Q28" s="553"/>
      <c r="R28" s="553"/>
      <c r="S28" s="801"/>
      <c r="T28" s="553"/>
      <c r="U28" s="553"/>
      <c r="V28" s="553"/>
      <c r="W28" s="553"/>
      <c r="X28" s="553"/>
      <c r="Y28" s="548"/>
      <c r="Z28" s="553"/>
      <c r="AA28" s="553"/>
      <c r="AB28" s="553"/>
      <c r="AC28" s="553"/>
      <c r="AD28" s="553"/>
      <c r="AE28" s="553"/>
      <c r="AF28" s="631"/>
    </row>
    <row r="29" spans="1:36" ht="16.149999999999999" thickBot="1" x14ac:dyDescent="0.5">
      <c r="A29" s="545"/>
      <c r="B29" s="567" t="s">
        <v>37</v>
      </c>
      <c r="C29" s="563" t="s">
        <v>5</v>
      </c>
      <c r="D29" s="566" t="s">
        <v>172</v>
      </c>
      <c r="E29" s="564" t="s">
        <v>278</v>
      </c>
      <c r="F29" s="881" t="s">
        <v>329</v>
      </c>
      <c r="G29" s="643" t="s">
        <v>171</v>
      </c>
      <c r="H29" s="563" t="s">
        <v>42</v>
      </c>
      <c r="I29" s="691" t="s">
        <v>30</v>
      </c>
      <c r="J29" s="692" t="s">
        <v>52</v>
      </c>
      <c r="K29" s="692" t="s">
        <v>32</v>
      </c>
      <c r="L29" s="691" t="s">
        <v>30</v>
      </c>
      <c r="M29" s="692" t="s">
        <v>52</v>
      </c>
      <c r="N29" s="693" t="s">
        <v>32</v>
      </c>
      <c r="O29" s="548"/>
      <c r="P29" s="548"/>
      <c r="Q29" s="553"/>
      <c r="R29" s="553"/>
      <c r="S29" s="801"/>
      <c r="T29" s="553"/>
      <c r="U29" s="553"/>
      <c r="V29" s="553"/>
      <c r="W29" s="553"/>
      <c r="X29" s="553"/>
      <c r="Y29" s="548"/>
      <c r="Z29" s="553"/>
      <c r="AA29" s="553"/>
      <c r="AB29" s="553"/>
      <c r="AC29" s="553"/>
      <c r="AD29" s="553"/>
      <c r="AE29" s="553"/>
      <c r="AF29" s="631"/>
    </row>
    <row r="30" spans="1:36" x14ac:dyDescent="0.45">
      <c r="A30" s="545"/>
      <c r="B30" s="781" t="s">
        <v>24</v>
      </c>
      <c r="C30" s="768">
        <f>C65</f>
        <v>9.8356834678442737E-2</v>
      </c>
      <c r="D30" s="574"/>
      <c r="E30" s="625">
        <v>1</v>
      </c>
      <c r="F30" s="883">
        <f t="shared" ref="F30:F48" si="0">G30*$C$58/$C$57</f>
        <v>3.5970407159686899</v>
      </c>
      <c r="G30" s="724">
        <f>(C30*$C$55/$C$58+D30)*E30</f>
        <v>1.754654007789605E-2</v>
      </c>
      <c r="H30" s="721">
        <f t="shared" ref="H30:H48" si="1">G30/$G$49</f>
        <v>4.0500668333303215E-2</v>
      </c>
      <c r="I30" s="840">
        <f>G30</f>
        <v>1.754654007789605E-2</v>
      </c>
      <c r="J30" s="575"/>
      <c r="K30" s="575"/>
      <c r="L30" s="854"/>
      <c r="M30" s="698"/>
      <c r="N30" s="699"/>
      <c r="O30" s="548"/>
      <c r="P30" s="548"/>
      <c r="Q30" s="553"/>
      <c r="R30" s="553"/>
      <c r="S30" s="553"/>
      <c r="T30" s="553"/>
      <c r="U30" s="553"/>
      <c r="V30" s="553"/>
      <c r="W30" s="553"/>
      <c r="X30" s="553"/>
      <c r="Y30" s="548"/>
      <c r="Z30" s="553"/>
      <c r="AA30" s="553"/>
      <c r="AB30" s="553"/>
      <c r="AC30" s="553"/>
      <c r="AD30" s="553"/>
      <c r="AE30" s="553"/>
      <c r="AF30" s="631"/>
    </row>
    <row r="31" spans="1:36" x14ac:dyDescent="0.45">
      <c r="A31" s="545"/>
      <c r="B31" s="786" t="s">
        <v>89</v>
      </c>
      <c r="C31" s="589"/>
      <c r="D31" s="705" t="s">
        <v>57</v>
      </c>
      <c r="E31" s="705" t="s">
        <v>57</v>
      </c>
      <c r="F31" s="884">
        <f t="shared" si="0"/>
        <v>11.397226099279045</v>
      </c>
      <c r="G31" s="725">
        <f>SUM(I31:K31)</f>
        <v>5.559622487453194E-2</v>
      </c>
      <c r="H31" s="664">
        <f t="shared" si="1"/>
        <v>0.12832639678426863</v>
      </c>
      <c r="I31" s="841">
        <f>(F82+F83)</f>
        <v>2.4510435053712171E-2</v>
      </c>
      <c r="J31" s="590">
        <f>(F84)</f>
        <v>2.1980153711995729E-2</v>
      </c>
      <c r="K31" s="590">
        <f>(F85)</f>
        <v>9.1056361088240403E-3</v>
      </c>
      <c r="L31" s="855"/>
      <c r="M31" s="706"/>
      <c r="N31" s="707"/>
      <c r="O31" s="553"/>
      <c r="P31" s="1002"/>
      <c r="Q31" s="553"/>
      <c r="R31" s="553"/>
      <c r="S31" s="553"/>
      <c r="T31" s="553"/>
      <c r="U31" s="553"/>
      <c r="V31" s="553"/>
      <c r="W31" s="553"/>
      <c r="X31" s="553"/>
      <c r="Y31" s="553"/>
      <c r="Z31" s="553"/>
      <c r="AA31" s="553"/>
      <c r="AB31" s="553"/>
      <c r="AC31" s="553"/>
      <c r="AD31" s="553"/>
      <c r="AE31" s="553"/>
      <c r="AF31" s="631"/>
    </row>
    <row r="32" spans="1:36" x14ac:dyDescent="0.45">
      <c r="A32" s="545"/>
      <c r="B32" s="798" t="s">
        <v>61</v>
      </c>
      <c r="C32" s="708"/>
      <c r="D32" s="705" t="s">
        <v>57</v>
      </c>
      <c r="E32" s="711">
        <v>1</v>
      </c>
      <c r="F32" s="885">
        <f t="shared" si="0"/>
        <v>4.4843474611581131</v>
      </c>
      <c r="G32" s="726">
        <f>SUM(I32:K32)</f>
        <v>2.1874865664185922E-2</v>
      </c>
      <c r="H32" s="722">
        <f t="shared" si="1"/>
        <v>5.0491246431928344E-2</v>
      </c>
      <c r="I32" s="842">
        <f>(D92+D93+L32)*E32</f>
        <v>1.0386722408303791E-2</v>
      </c>
      <c r="J32" s="709">
        <f>(D94+M32)*E32</f>
        <v>8.043311896127902E-3</v>
      </c>
      <c r="K32" s="709">
        <f>(D95+N32)*E32</f>
        <v>3.4448313597542279E-3</v>
      </c>
      <c r="L32" s="856"/>
      <c r="M32" s="710"/>
      <c r="N32" s="712"/>
      <c r="O32" s="553"/>
      <c r="P32" s="1002"/>
      <c r="Q32" s="553"/>
      <c r="R32" s="553"/>
      <c r="S32" s="553"/>
      <c r="T32" s="553"/>
      <c r="U32" s="553"/>
      <c r="V32" s="553"/>
      <c r="W32" s="553"/>
      <c r="X32" s="553"/>
      <c r="Y32" s="553"/>
      <c r="Z32" s="553"/>
      <c r="AA32" s="553"/>
      <c r="AB32" s="553"/>
      <c r="AC32" s="553"/>
      <c r="AD32" s="553"/>
      <c r="AE32" s="553"/>
      <c r="AF32" s="631"/>
      <c r="AG32" s="631"/>
    </row>
    <row r="33" spans="1:36" x14ac:dyDescent="0.45">
      <c r="A33" s="545"/>
      <c r="B33" s="785" t="s">
        <v>25</v>
      </c>
      <c r="C33" s="586"/>
      <c r="D33" s="705" t="s">
        <v>57</v>
      </c>
      <c r="E33" s="626">
        <v>1</v>
      </c>
      <c r="F33" s="886">
        <f t="shared" si="0"/>
        <v>11.634661015232949</v>
      </c>
      <c r="G33" s="727">
        <f>(SUM(I33:K33))</f>
        <v>5.6754443976746095E-2</v>
      </c>
      <c r="H33" s="668">
        <f t="shared" si="1"/>
        <v>0.13099978125253564</v>
      </c>
      <c r="I33" s="843">
        <f>(G100+G101+L33)*E33</f>
        <v>3.4815329831396298E-2</v>
      </c>
      <c r="J33" s="587">
        <f>(G102+M33)*E33</f>
        <v>1.1774804812343527E-2</v>
      </c>
      <c r="K33" s="587">
        <f>(G103+N33)*E33</f>
        <v>1.0164309333006272E-2</v>
      </c>
      <c r="L33" s="647"/>
      <c r="M33" s="587"/>
      <c r="N33" s="690"/>
      <c r="P33" s="1002"/>
      <c r="W33" s="631"/>
      <c r="X33" s="631"/>
      <c r="Y33" s="631"/>
      <c r="Z33" s="631"/>
      <c r="AA33" s="631"/>
      <c r="AB33" s="631"/>
      <c r="AC33" s="631"/>
      <c r="AD33" s="631"/>
      <c r="AE33" s="631"/>
      <c r="AF33" s="631"/>
      <c r="AG33" s="631"/>
    </row>
    <row r="34" spans="1:36" x14ac:dyDescent="0.45">
      <c r="A34" s="545"/>
      <c r="B34" s="782" t="s">
        <v>20</v>
      </c>
      <c r="C34" s="585"/>
      <c r="D34" s="705" t="s">
        <v>57</v>
      </c>
      <c r="E34" s="627">
        <v>1</v>
      </c>
      <c r="F34" s="887">
        <f t="shared" si="0"/>
        <v>5.879250383942618</v>
      </c>
      <c r="G34" s="728">
        <f>(SUM(I34:K34))</f>
        <v>2.8679270165573752E-2</v>
      </c>
      <c r="H34" s="667">
        <f t="shared" si="1"/>
        <v>6.6197073831114853E-2</v>
      </c>
      <c r="I34" s="844">
        <f>(E141+E142+L34)*E34</f>
        <v>1.0605304377035099E-2</v>
      </c>
      <c r="J34" s="577">
        <f>(E143+M34)*E34</f>
        <v>1.5777017633127454E-2</v>
      </c>
      <c r="K34" s="577">
        <f>(E144+N34)*E34</f>
        <v>2.2969481554112026E-3</v>
      </c>
      <c r="L34" s="684"/>
      <c r="M34" s="577"/>
      <c r="N34" s="685"/>
      <c r="P34" s="1002"/>
      <c r="W34" s="631"/>
      <c r="X34" s="631"/>
      <c r="Y34" s="631"/>
      <c r="Z34" s="631"/>
      <c r="AA34" s="631"/>
      <c r="AB34" s="631"/>
      <c r="AC34" s="631"/>
      <c r="AD34" s="631"/>
      <c r="AE34" s="631"/>
      <c r="AF34" s="631"/>
      <c r="AG34" s="631"/>
      <c r="AH34" s="631"/>
      <c r="AI34" s="631"/>
      <c r="AJ34" s="631"/>
    </row>
    <row r="35" spans="1:36" x14ac:dyDescent="0.45">
      <c r="A35" s="545"/>
      <c r="B35" s="800" t="s">
        <v>29</v>
      </c>
      <c r="C35" s="749">
        <f>C169</f>
        <v>0.13387645297193038</v>
      </c>
      <c r="D35" s="750"/>
      <c r="E35" s="752">
        <v>1</v>
      </c>
      <c r="F35" s="888">
        <f t="shared" si="0"/>
        <v>4.8960405631582029</v>
      </c>
      <c r="G35" s="753">
        <f>(C35*$C$55/$C$58+D35)*E35</f>
        <v>2.3883124698332699E-2</v>
      </c>
      <c r="H35" s="754">
        <f t="shared" si="1"/>
        <v>5.5126680694652305E-2</v>
      </c>
      <c r="I35" s="845"/>
      <c r="J35" s="755">
        <f>G35</f>
        <v>2.3883124698332699E-2</v>
      </c>
      <c r="K35" s="755"/>
      <c r="L35" s="857"/>
      <c r="M35" s="694"/>
      <c r="N35" s="696"/>
      <c r="P35" s="1002"/>
      <c r="W35" s="631"/>
      <c r="X35" s="631"/>
      <c r="Y35" s="631"/>
      <c r="Z35" s="631"/>
      <c r="AA35" s="631"/>
      <c r="AB35" s="631"/>
      <c r="AC35" s="631"/>
      <c r="AD35" s="631"/>
      <c r="AE35" s="631"/>
      <c r="AF35" s="631"/>
      <c r="AG35" s="631"/>
      <c r="AH35" s="631"/>
      <c r="AI35" s="631"/>
      <c r="AJ35" s="631"/>
    </row>
    <row r="36" spans="1:36" x14ac:dyDescent="0.45">
      <c r="A36" s="545"/>
      <c r="B36" s="797" t="s">
        <v>207</v>
      </c>
      <c r="C36" s="669"/>
      <c r="D36" s="700"/>
      <c r="E36" s="701">
        <v>1</v>
      </c>
      <c r="F36" s="889">
        <f t="shared" si="0"/>
        <v>0.20822046167790345</v>
      </c>
      <c r="G36" s="730">
        <f>(C111+D36)*E36</f>
        <v>1.0157095691605048E-3</v>
      </c>
      <c r="H36" s="671">
        <f t="shared" si="1"/>
        <v>2.3444460389859668E-3</v>
      </c>
      <c r="I36" s="846">
        <f>G36</f>
        <v>1.0157095691605048E-3</v>
      </c>
      <c r="J36" s="702"/>
      <c r="K36" s="702"/>
      <c r="L36" s="857"/>
      <c r="M36" s="695"/>
      <c r="N36" s="696"/>
      <c r="P36" s="1002"/>
      <c r="W36" s="631"/>
      <c r="X36" s="631"/>
      <c r="Y36" s="631"/>
      <c r="Z36" s="631"/>
      <c r="AA36" s="631"/>
      <c r="AB36" s="631"/>
      <c r="AC36" s="631"/>
      <c r="AD36" s="631"/>
      <c r="AE36" s="631"/>
      <c r="AF36" s="631"/>
      <c r="AG36" s="631"/>
      <c r="AH36" s="631"/>
      <c r="AI36" s="631"/>
      <c r="AJ36" s="631"/>
    </row>
    <row r="37" spans="1:36" x14ac:dyDescent="0.45">
      <c r="A37" s="545"/>
      <c r="B37" s="783" t="s">
        <v>208</v>
      </c>
      <c r="C37" s="578">
        <f>C124</f>
        <v>5.2148740097152702E-2</v>
      </c>
      <c r="D37" s="579"/>
      <c r="E37" s="629">
        <v>1</v>
      </c>
      <c r="F37" s="890">
        <f t="shared" si="0"/>
        <v>1.9071490255779875</v>
      </c>
      <c r="G37" s="731">
        <f>(C37*$C$55/$C$58+D37)*E37</f>
        <v>9.3031659784292078E-3</v>
      </c>
      <c r="H37" s="723">
        <f t="shared" si="1"/>
        <v>2.1473432258971633E-2</v>
      </c>
      <c r="I37" s="847">
        <f>G37</f>
        <v>9.3031659784292078E-3</v>
      </c>
      <c r="J37" s="581"/>
      <c r="K37" s="581"/>
      <c r="L37" s="858"/>
      <c r="M37" s="695"/>
      <c r="N37" s="696"/>
      <c r="P37" s="1002"/>
      <c r="W37" s="631"/>
      <c r="X37" s="631"/>
      <c r="Y37" s="631"/>
      <c r="Z37" s="631"/>
      <c r="AA37" s="631"/>
      <c r="AB37" s="631"/>
      <c r="AC37" s="631"/>
      <c r="AD37" s="631"/>
      <c r="AE37" s="631"/>
      <c r="AF37" s="631"/>
      <c r="AG37" s="631"/>
      <c r="AH37" s="631"/>
      <c r="AI37" s="631"/>
      <c r="AJ37" s="631"/>
    </row>
    <row r="38" spans="1:36" x14ac:dyDescent="0.45">
      <c r="A38" s="545"/>
      <c r="B38" s="675" t="s">
        <v>209</v>
      </c>
      <c r="C38" s="662">
        <f>C132</f>
        <v>8.5274859144205892E-2</v>
      </c>
      <c r="D38" s="514"/>
      <c r="E38" s="515">
        <v>1</v>
      </c>
      <c r="F38" s="891">
        <f t="shared" si="0"/>
        <v>3.118615410845794</v>
      </c>
      <c r="G38" s="516">
        <f>(C38*$C$55/$C$58+D38)*E38</f>
        <v>1.5212758101686801E-2</v>
      </c>
      <c r="H38" s="762">
        <f t="shared" si="1"/>
        <v>3.5113866755266683E-2</v>
      </c>
      <c r="I38" s="848">
        <f>G38</f>
        <v>1.5212758101686801E-2</v>
      </c>
      <c r="J38" s="517"/>
      <c r="K38" s="517"/>
      <c r="L38" s="858"/>
      <c r="M38" s="695"/>
      <c r="N38" s="696"/>
      <c r="P38" s="1002"/>
      <c r="W38" s="631"/>
      <c r="X38" s="631"/>
      <c r="Y38" s="631"/>
      <c r="Z38" s="631"/>
      <c r="AA38" s="631"/>
      <c r="AB38" s="631"/>
      <c r="AC38" s="631"/>
      <c r="AD38" s="631"/>
      <c r="AE38" s="631"/>
      <c r="AF38" s="631"/>
      <c r="AG38" s="631"/>
      <c r="AH38" s="631"/>
      <c r="AI38" s="631"/>
      <c r="AJ38" s="631"/>
    </row>
    <row r="39" spans="1:36" x14ac:dyDescent="0.45">
      <c r="A39" s="545"/>
      <c r="B39" s="615" t="s">
        <v>10</v>
      </c>
      <c r="C39" s="616"/>
      <c r="D39" s="617"/>
      <c r="E39" s="628">
        <v>1</v>
      </c>
      <c r="F39" s="892">
        <f t="shared" si="0"/>
        <v>7.3366834170854283</v>
      </c>
      <c r="G39" s="729">
        <f>(F185+D39)*E39</f>
        <v>3.5788699595538674E-2</v>
      </c>
      <c r="H39" s="652">
        <f t="shared" si="1"/>
        <v>8.2606955329334403E-2</v>
      </c>
      <c r="I39" s="849"/>
      <c r="J39" s="619"/>
      <c r="K39" s="619">
        <f>G39</f>
        <v>3.5788699595538674E-2</v>
      </c>
      <c r="L39" s="857"/>
      <c r="M39" s="695"/>
      <c r="N39" s="697"/>
      <c r="P39" s="1002"/>
      <c r="W39" s="631"/>
      <c r="X39" s="631"/>
      <c r="Y39" s="631"/>
      <c r="Z39" s="631"/>
      <c r="AA39" s="631"/>
      <c r="AB39" s="631"/>
      <c r="AC39" s="631"/>
      <c r="AD39" s="631"/>
      <c r="AE39" s="631"/>
      <c r="AF39" s="631"/>
      <c r="AG39" s="631"/>
      <c r="AH39" s="631"/>
      <c r="AI39" s="631"/>
      <c r="AJ39" s="631"/>
    </row>
    <row r="40" spans="1:36" x14ac:dyDescent="0.45">
      <c r="A40" s="545"/>
      <c r="B40" s="615" t="s">
        <v>7</v>
      </c>
      <c r="C40" s="616"/>
      <c r="D40" s="617"/>
      <c r="E40" s="628">
        <v>1</v>
      </c>
      <c r="F40" s="892">
        <f t="shared" si="0"/>
        <v>8.4868714967928991</v>
      </c>
      <c r="G40" s="729">
        <f>(F181+D40)*E40</f>
        <v>4.1399373155087314E-2</v>
      </c>
      <c r="H40" s="652">
        <f t="shared" si="1"/>
        <v>9.5557430349077474E-2</v>
      </c>
      <c r="I40" s="849"/>
      <c r="J40" s="619"/>
      <c r="K40" s="619">
        <f>G40</f>
        <v>4.1399373155087314E-2</v>
      </c>
      <c r="L40" s="857"/>
      <c r="M40" s="695"/>
      <c r="N40" s="697"/>
      <c r="P40" s="1002"/>
      <c r="W40" s="631"/>
      <c r="X40" s="631"/>
      <c r="Y40" s="631"/>
      <c r="Z40" s="631"/>
      <c r="AA40" s="631"/>
      <c r="AB40" s="631"/>
      <c r="AC40" s="631"/>
      <c r="AD40" s="631"/>
      <c r="AE40" s="631"/>
      <c r="AF40" s="631"/>
      <c r="AG40" s="631"/>
      <c r="AH40" s="631"/>
      <c r="AI40" s="631"/>
      <c r="AJ40" s="631"/>
    </row>
    <row r="41" spans="1:36" x14ac:dyDescent="0.45">
      <c r="A41" s="545"/>
      <c r="B41" s="615" t="s">
        <v>6</v>
      </c>
      <c r="C41" s="616"/>
      <c r="D41" s="617"/>
      <c r="E41" s="628">
        <v>1</v>
      </c>
      <c r="F41" s="892">
        <f t="shared" si="0"/>
        <v>5.025125628140704</v>
      </c>
      <c r="G41" s="729">
        <f>(F184+D41)*E41</f>
        <v>2.4512807942149776E-2</v>
      </c>
      <c r="H41" s="652">
        <f t="shared" si="1"/>
        <v>5.6580106389955073E-2</v>
      </c>
      <c r="I41" s="849"/>
      <c r="J41" s="619"/>
      <c r="K41" s="619">
        <f>G41</f>
        <v>2.4512807942149776E-2</v>
      </c>
      <c r="L41" s="857"/>
      <c r="M41" s="695"/>
      <c r="N41" s="697"/>
      <c r="P41" s="1002"/>
      <c r="W41" s="631"/>
      <c r="X41" s="631"/>
      <c r="Y41" s="631"/>
      <c r="Z41" s="631"/>
      <c r="AA41" s="631"/>
      <c r="AB41" s="631"/>
      <c r="AC41" s="631"/>
      <c r="AD41" s="631"/>
      <c r="AE41" s="631"/>
      <c r="AF41" s="631"/>
      <c r="AG41" s="631"/>
      <c r="AH41" s="631"/>
      <c r="AI41" s="631"/>
      <c r="AJ41" s="631"/>
    </row>
    <row r="42" spans="1:36" x14ac:dyDescent="0.45">
      <c r="A42" s="545"/>
      <c r="B42" s="615" t="s">
        <v>8</v>
      </c>
      <c r="C42" s="616"/>
      <c r="D42" s="617"/>
      <c r="E42" s="628">
        <v>1</v>
      </c>
      <c r="F42" s="892">
        <f t="shared" si="0"/>
        <v>3.6755110199253997</v>
      </c>
      <c r="G42" s="729">
        <f>(F188+D42)*E42</f>
        <v>1.7929322048416584E-2</v>
      </c>
      <c r="H42" s="652">
        <f t="shared" si="1"/>
        <v>4.138420010442144E-2</v>
      </c>
      <c r="I42" s="849"/>
      <c r="J42" s="619"/>
      <c r="K42" s="619">
        <f>G42</f>
        <v>1.7929322048416584E-2</v>
      </c>
      <c r="L42" s="857"/>
      <c r="M42" s="695"/>
      <c r="N42" s="697"/>
      <c r="P42" s="1002"/>
      <c r="Q42" s="631"/>
      <c r="W42" s="631"/>
      <c r="X42" s="631"/>
      <c r="Y42" s="631"/>
      <c r="Z42" s="631"/>
      <c r="AA42" s="631"/>
      <c r="AB42" s="631"/>
      <c r="AC42" s="631"/>
      <c r="AD42" s="631"/>
      <c r="AE42" s="631"/>
      <c r="AF42" s="631"/>
      <c r="AG42" s="631"/>
      <c r="AH42" s="631"/>
      <c r="AI42" s="631"/>
      <c r="AJ42" s="631"/>
    </row>
    <row r="43" spans="1:36" x14ac:dyDescent="0.45">
      <c r="A43" s="545"/>
      <c r="B43" s="615" t="s">
        <v>80</v>
      </c>
      <c r="C43" s="616">
        <v>0.1</v>
      </c>
      <c r="D43" s="617"/>
      <c r="E43" s="628">
        <v>1</v>
      </c>
      <c r="F43" s="892">
        <f t="shared" si="0"/>
        <v>3.6571334648257725</v>
      </c>
      <c r="G43" s="729">
        <f>(C43*$C$55/$C$58+D43)*E43</f>
        <v>1.7839675438174503E-2</v>
      </c>
      <c r="H43" s="652">
        <f t="shared" si="1"/>
        <v>4.1177279103899338E-2</v>
      </c>
      <c r="I43" s="849"/>
      <c r="J43" s="619">
        <f>G43</f>
        <v>1.7839675438174503E-2</v>
      </c>
      <c r="K43" s="619"/>
      <c r="L43" s="857"/>
      <c r="M43" s="694"/>
      <c r="N43" s="696"/>
      <c r="P43" s="1002"/>
      <c r="Q43" s="631"/>
      <c r="W43" s="631"/>
      <c r="X43" s="631"/>
      <c r="Y43" s="631"/>
      <c r="Z43" s="631"/>
      <c r="AA43" s="631"/>
      <c r="AB43" s="631"/>
      <c r="AC43" s="631"/>
      <c r="AD43" s="631"/>
      <c r="AE43" s="631"/>
      <c r="AF43" s="631"/>
      <c r="AG43" s="631"/>
      <c r="AH43" s="631"/>
      <c r="AI43" s="631"/>
      <c r="AJ43" s="631"/>
    </row>
    <row r="44" spans="1:36" x14ac:dyDescent="0.45">
      <c r="A44" s="545"/>
      <c r="B44" s="615" t="s">
        <v>87</v>
      </c>
      <c r="C44" s="616"/>
      <c r="D44" s="617"/>
      <c r="E44" s="628">
        <v>1</v>
      </c>
      <c r="F44" s="892">
        <f t="shared" si="0"/>
        <v>7.0351758793969852</v>
      </c>
      <c r="G44" s="729">
        <f>(F183+D44)*E44</f>
        <v>3.4317931119009687E-2</v>
      </c>
      <c r="H44" s="652">
        <f t="shared" si="1"/>
        <v>7.9212148945937103E-2</v>
      </c>
      <c r="I44" s="849"/>
      <c r="J44" s="619"/>
      <c r="K44" s="619">
        <f>G44</f>
        <v>3.4317931119009687E-2</v>
      </c>
      <c r="L44" s="857"/>
      <c r="M44" s="695"/>
      <c r="N44" s="697"/>
      <c r="P44" s="1002"/>
      <c r="W44" s="631"/>
      <c r="X44" s="631"/>
      <c r="Y44" s="631"/>
      <c r="Z44" s="631"/>
      <c r="AA44" s="631"/>
      <c r="AB44" s="631"/>
      <c r="AC44" s="631"/>
      <c r="AD44" s="631"/>
      <c r="AE44" s="631"/>
      <c r="AF44" s="631"/>
      <c r="AG44" s="631"/>
      <c r="AH44" s="631"/>
      <c r="AI44" s="631"/>
      <c r="AJ44" s="631"/>
    </row>
    <row r="45" spans="1:36" x14ac:dyDescent="0.45">
      <c r="A45" s="545"/>
      <c r="B45" s="615" t="s">
        <v>9</v>
      </c>
      <c r="C45" s="616"/>
      <c r="D45" s="618"/>
      <c r="E45" s="628">
        <v>1</v>
      </c>
      <c r="F45" s="892">
        <f t="shared" si="0"/>
        <v>4.7236180904522609</v>
      </c>
      <c r="G45" s="729">
        <f>(F186+D45)*E45</f>
        <v>2.3042039465620789E-2</v>
      </c>
      <c r="H45" s="652">
        <f t="shared" si="1"/>
        <v>5.3185300006557766E-2</v>
      </c>
      <c r="I45" s="849"/>
      <c r="J45" s="619"/>
      <c r="K45" s="619">
        <f>G45</f>
        <v>2.3042039465620789E-2</v>
      </c>
      <c r="L45" s="857"/>
      <c r="M45" s="695"/>
      <c r="N45" s="697"/>
      <c r="P45" s="1002"/>
      <c r="V45" s="631"/>
      <c r="W45" s="631"/>
      <c r="X45" s="631"/>
      <c r="Y45" s="631"/>
      <c r="Z45" s="631"/>
      <c r="AA45" s="631"/>
      <c r="AB45" s="631"/>
      <c r="AC45" s="631"/>
      <c r="AD45" s="631"/>
      <c r="AE45" s="631"/>
      <c r="AF45" s="631"/>
      <c r="AG45" s="631"/>
      <c r="AH45" s="631"/>
      <c r="AI45" s="631"/>
      <c r="AJ45" s="631"/>
    </row>
    <row r="46" spans="1:36" x14ac:dyDescent="0.45">
      <c r="A46" s="545"/>
      <c r="B46" s="784" t="s">
        <v>21</v>
      </c>
      <c r="C46" s="582"/>
      <c r="D46" s="584"/>
      <c r="E46" s="630">
        <v>1</v>
      </c>
      <c r="F46" s="893">
        <f t="shared" si="0"/>
        <v>0.45226130653266333</v>
      </c>
      <c r="G46" s="732">
        <f>($C$158+D46)*E46</f>
        <v>2.2061527147934799E-3</v>
      </c>
      <c r="H46" s="665">
        <f t="shared" si="1"/>
        <v>5.0922095750959564E-3</v>
      </c>
      <c r="I46" s="850"/>
      <c r="J46" s="583"/>
      <c r="K46" s="583">
        <f>G46</f>
        <v>2.2061527147934799E-3</v>
      </c>
      <c r="L46" s="857"/>
      <c r="M46" s="695"/>
      <c r="N46" s="697"/>
      <c r="P46" s="1002"/>
      <c r="V46" s="631"/>
      <c r="W46" s="631"/>
      <c r="X46" s="631"/>
      <c r="Y46" s="631"/>
      <c r="Z46" s="631"/>
      <c r="AA46" s="631"/>
      <c r="AB46" s="631"/>
      <c r="AC46" s="631"/>
      <c r="AD46" s="631"/>
      <c r="AE46" s="631"/>
      <c r="AF46" s="631"/>
      <c r="AG46" s="631"/>
      <c r="AH46" s="631"/>
      <c r="AI46" s="631"/>
      <c r="AJ46" s="631"/>
    </row>
    <row r="47" spans="1:36" x14ac:dyDescent="0.45">
      <c r="A47" s="545"/>
      <c r="B47" s="380" t="s">
        <v>47</v>
      </c>
      <c r="C47" s="381">
        <f>C177</f>
        <v>3.5531191310085787E-2</v>
      </c>
      <c r="D47" s="382"/>
      <c r="E47" s="405">
        <v>1</v>
      </c>
      <c r="F47" s="894">
        <f t="shared" si="0"/>
        <v>1.2994230878524142</v>
      </c>
      <c r="G47" s="383">
        <f>(C47*$C$55/$C$58+D47)*E47</f>
        <v>6.3386492090361677E-3</v>
      </c>
      <c r="H47" s="384">
        <f t="shared" si="1"/>
        <v>1.4630777814694454E-2</v>
      </c>
      <c r="I47" s="851"/>
      <c r="J47" s="385">
        <f>G47</f>
        <v>6.3386492090361677E-3</v>
      </c>
      <c r="K47" s="385"/>
      <c r="L47" s="857"/>
      <c r="M47" s="694"/>
      <c r="N47" s="696"/>
      <c r="P47" s="1002"/>
      <c r="V47" s="631"/>
      <c r="W47" s="631"/>
      <c r="X47" s="631"/>
      <c r="Y47" s="631"/>
      <c r="Z47" s="631"/>
      <c r="AA47" s="631"/>
      <c r="AB47" s="631"/>
      <c r="AC47" s="631"/>
      <c r="AD47" s="631"/>
      <c r="AE47" s="631"/>
      <c r="AF47" s="631"/>
      <c r="AG47" s="631"/>
      <c r="AH47" s="631"/>
      <c r="AI47" s="631"/>
      <c r="AJ47" s="631"/>
    </row>
    <row r="48" spans="1:36" ht="14.65" thickBot="1" x14ac:dyDescent="0.5">
      <c r="A48" s="545"/>
      <c r="B48" s="674" t="s">
        <v>45</v>
      </c>
      <c r="C48" s="653"/>
      <c r="D48" s="649"/>
      <c r="E48" s="720">
        <v>1</v>
      </c>
      <c r="F48" s="895">
        <f t="shared" si="0"/>
        <v>0</v>
      </c>
      <c r="G48" s="733">
        <f>(C193+D48)*E48</f>
        <v>0</v>
      </c>
      <c r="H48" s="763">
        <f t="shared" si="1"/>
        <v>0</v>
      </c>
      <c r="I48" s="852"/>
      <c r="J48" s="719"/>
      <c r="K48" s="719">
        <f>G48</f>
        <v>0</v>
      </c>
      <c r="L48" s="857"/>
      <c r="M48" s="695"/>
      <c r="N48" s="696"/>
      <c r="P48" s="1002"/>
      <c r="V48" s="631"/>
      <c r="W48" s="631"/>
      <c r="X48" s="631"/>
      <c r="Y48" s="631"/>
      <c r="Z48" s="631"/>
      <c r="AA48" s="631"/>
      <c r="AB48" s="631"/>
      <c r="AC48" s="631"/>
      <c r="AD48" s="631"/>
      <c r="AE48" s="631"/>
      <c r="AF48" s="631"/>
      <c r="AG48" s="631"/>
      <c r="AH48" s="631"/>
      <c r="AI48" s="631"/>
      <c r="AJ48" s="631"/>
    </row>
    <row r="49" spans="1:40" ht="14.65" thickBot="1" x14ac:dyDescent="0.5">
      <c r="A49" s="545"/>
      <c r="B49" s="568" t="s">
        <v>3</v>
      </c>
      <c r="C49" s="673"/>
      <c r="D49" s="542"/>
      <c r="E49" s="542"/>
      <c r="F49" s="882">
        <f t="shared" ref="F49:K49" si="2">SUM(F30:F48)</f>
        <v>88.814354527845836</v>
      </c>
      <c r="G49" s="573">
        <f t="shared" si="2"/>
        <v>0.43324075379436983</v>
      </c>
      <c r="H49" s="650">
        <f t="shared" si="2"/>
        <v>1.0000000000000002</v>
      </c>
      <c r="I49" s="853">
        <f t="shared" si="2"/>
        <v>0.12339596539761992</v>
      </c>
      <c r="J49" s="431">
        <f t="shared" si="2"/>
        <v>0.10563673739913799</v>
      </c>
      <c r="K49" s="431">
        <f t="shared" si="2"/>
        <v>0.20420805099761202</v>
      </c>
      <c r="L49" s="29"/>
      <c r="M49" s="431"/>
      <c r="N49" s="432"/>
      <c r="V49" s="631"/>
      <c r="W49" s="631"/>
      <c r="X49" s="631"/>
      <c r="Y49" s="631"/>
      <c r="Z49" s="631"/>
      <c r="AA49" s="631"/>
      <c r="AB49" s="631"/>
      <c r="AC49" s="631"/>
      <c r="AD49" s="631"/>
      <c r="AE49" s="631"/>
      <c r="AF49" s="631"/>
      <c r="AG49" s="631"/>
      <c r="AH49" s="631"/>
      <c r="AI49" s="631"/>
      <c r="AJ49" s="631"/>
    </row>
    <row r="50" spans="1:40" x14ac:dyDescent="0.45">
      <c r="A50" s="545"/>
      <c r="H50" s="543"/>
      <c r="J50" s="546"/>
      <c r="K50" s="546"/>
      <c r="Q50" s="548"/>
      <c r="R50" s="548"/>
      <c r="Z50" s="631"/>
      <c r="AA50" s="631"/>
      <c r="AB50" s="631"/>
      <c r="AC50" s="631"/>
      <c r="AD50" s="631"/>
      <c r="AE50" s="631"/>
      <c r="AF50" s="631"/>
      <c r="AG50" s="631"/>
      <c r="AH50" s="631"/>
      <c r="AI50" s="631"/>
      <c r="AJ50" s="631"/>
      <c r="AK50" s="631"/>
      <c r="AL50" s="631"/>
      <c r="AM50" s="631"/>
      <c r="AN50" s="631"/>
    </row>
    <row r="51" spans="1:40" x14ac:dyDescent="0.45">
      <c r="A51" s="545"/>
      <c r="J51" s="546"/>
      <c r="K51" s="546"/>
      <c r="Q51" s="548"/>
      <c r="R51" s="548"/>
      <c r="Z51" s="631"/>
      <c r="AA51" s="631"/>
      <c r="AB51" s="631"/>
      <c r="AC51" s="631"/>
      <c r="AD51" s="631"/>
      <c r="AE51" s="631"/>
      <c r="AF51" s="631"/>
      <c r="AG51" s="631"/>
      <c r="AH51" s="631"/>
      <c r="AI51" s="631"/>
      <c r="AJ51" s="631"/>
      <c r="AK51" s="631"/>
      <c r="AL51" s="631"/>
      <c r="AM51" s="631"/>
      <c r="AN51" s="631"/>
    </row>
    <row r="52" spans="1:40" s="559" customFormat="1" ht="28.5" x14ac:dyDescent="0.85">
      <c r="A52" s="759"/>
      <c r="B52" s="641" t="s">
        <v>150</v>
      </c>
      <c r="G52" s="642"/>
      <c r="Q52" s="361"/>
      <c r="R52" s="361"/>
      <c r="AB52" s="780"/>
    </row>
    <row r="53" spans="1:40" x14ac:dyDescent="0.45">
      <c r="A53" s="545"/>
      <c r="E53" s="631"/>
      <c r="Q53" s="548"/>
      <c r="R53" s="548"/>
      <c r="Z53" s="631"/>
      <c r="AA53" s="631"/>
      <c r="AB53" s="631"/>
      <c r="AC53" s="631"/>
      <c r="AD53" s="631"/>
      <c r="AE53" s="631"/>
      <c r="AF53" s="631"/>
      <c r="AG53" s="631"/>
      <c r="AH53" s="631"/>
      <c r="AI53" s="631"/>
      <c r="AJ53" s="631"/>
      <c r="AK53" s="631"/>
      <c r="AL53" s="631"/>
      <c r="AM53" s="631"/>
      <c r="AN53" s="631"/>
    </row>
    <row r="54" spans="1:40" x14ac:dyDescent="0.45">
      <c r="A54" s="545"/>
      <c r="B54" s="1055" t="s">
        <v>166</v>
      </c>
      <c r="C54" s="1056"/>
      <c r="D54" s="1057"/>
      <c r="H54" s="543"/>
      <c r="Q54" s="548"/>
      <c r="R54" s="548"/>
      <c r="Z54" s="631"/>
      <c r="AA54" s="631"/>
      <c r="AB54" s="631"/>
      <c r="AC54" s="631"/>
      <c r="AD54" s="631"/>
      <c r="AE54" s="631"/>
      <c r="AF54" s="631"/>
      <c r="AG54" s="631"/>
      <c r="AH54" s="631"/>
      <c r="AI54" s="631"/>
      <c r="AJ54" s="631"/>
      <c r="AK54" s="631"/>
      <c r="AL54" s="631"/>
      <c r="AM54" s="631"/>
      <c r="AN54" s="631"/>
    </row>
    <row r="55" spans="1:40" x14ac:dyDescent="0.45">
      <c r="A55" s="545"/>
      <c r="B55" s="1058" t="s">
        <v>94</v>
      </c>
      <c r="C55" s="1059">
        <v>72</v>
      </c>
      <c r="D55" s="1060" t="s">
        <v>96</v>
      </c>
      <c r="H55" s="760"/>
      <c r="Q55" s="548"/>
      <c r="R55" s="548"/>
      <c r="Z55" s="631"/>
      <c r="AA55" s="631"/>
      <c r="AB55" s="631"/>
      <c r="AC55" s="631"/>
      <c r="AD55" s="631"/>
      <c r="AE55" s="631"/>
      <c r="AF55" s="631"/>
      <c r="AG55" s="631"/>
      <c r="AH55" s="631"/>
      <c r="AI55" s="631"/>
      <c r="AJ55" s="631"/>
      <c r="AK55" s="631"/>
      <c r="AL55" s="631"/>
      <c r="AM55" s="631"/>
      <c r="AN55" s="631"/>
    </row>
    <row r="56" spans="1:40" x14ac:dyDescent="0.45">
      <c r="A56" s="545"/>
      <c r="B56" s="1061" t="s">
        <v>93</v>
      </c>
      <c r="C56" s="1062">
        <v>89</v>
      </c>
      <c r="D56" s="1063" t="s">
        <v>0</v>
      </c>
      <c r="M56" s="543"/>
      <c r="Q56" s="548"/>
      <c r="R56" s="548"/>
      <c r="Z56" s="631"/>
      <c r="AA56" s="631"/>
      <c r="AB56" s="631"/>
      <c r="AC56" s="631"/>
      <c r="AD56" s="631"/>
      <c r="AE56" s="631"/>
      <c r="AF56" s="631"/>
      <c r="AG56" s="631"/>
      <c r="AH56" s="631"/>
      <c r="AI56" s="631"/>
      <c r="AJ56" s="631"/>
      <c r="AK56" s="631"/>
      <c r="AL56" s="631"/>
      <c r="AM56" s="631"/>
      <c r="AN56" s="631"/>
    </row>
    <row r="57" spans="1:40" x14ac:dyDescent="0.45">
      <c r="A57" s="545"/>
      <c r="B57" s="1061" t="s">
        <v>396</v>
      </c>
      <c r="C57" s="1064">
        <f>C55*0.156^2/(C56/100)</f>
        <v>1.9687550561797753</v>
      </c>
      <c r="D57" s="1063" t="s">
        <v>95</v>
      </c>
      <c r="H57" s="742"/>
      <c r="M57" s="543"/>
      <c r="Q57" s="549"/>
      <c r="R57" s="549"/>
      <c r="Z57" s="631"/>
      <c r="AA57" s="631"/>
      <c r="AB57" s="631"/>
      <c r="AC57" s="631"/>
      <c r="AD57" s="631"/>
      <c r="AE57" s="631"/>
      <c r="AF57" s="631"/>
      <c r="AG57" s="631"/>
      <c r="AH57" s="631"/>
      <c r="AI57" s="631"/>
      <c r="AJ57" s="631"/>
      <c r="AK57" s="631"/>
      <c r="AL57" s="631"/>
      <c r="AM57" s="631"/>
      <c r="AN57" s="631"/>
    </row>
    <row r="58" spans="1:40" x14ac:dyDescent="0.45">
      <c r="A58" s="545"/>
      <c r="B58" s="1065" t="s">
        <v>97</v>
      </c>
      <c r="C58" s="1066">
        <f>C57*1000*$C$8/100</f>
        <v>403.5947865168539</v>
      </c>
      <c r="D58" s="1067" t="s">
        <v>174</v>
      </c>
      <c r="M58" s="543"/>
      <c r="Q58" s="553"/>
      <c r="R58" s="553"/>
      <c r="Z58" s="631"/>
      <c r="AA58" s="631"/>
      <c r="AB58" s="631"/>
      <c r="AC58" s="631"/>
      <c r="AD58" s="631"/>
      <c r="AE58" s="631"/>
      <c r="AF58" s="631"/>
      <c r="AG58" s="631"/>
      <c r="AH58" s="631"/>
      <c r="AI58" s="631"/>
      <c r="AJ58" s="631"/>
      <c r="AK58" s="631"/>
      <c r="AL58" s="631"/>
      <c r="AM58" s="631"/>
      <c r="AN58" s="631"/>
    </row>
    <row r="59" spans="1:40" x14ac:dyDescent="0.45">
      <c r="A59" s="545"/>
      <c r="M59" s="543"/>
      <c r="N59" s="553"/>
      <c r="O59" s="553"/>
      <c r="P59" s="553"/>
      <c r="Q59" s="553"/>
      <c r="R59" s="553"/>
      <c r="Z59" s="631"/>
      <c r="AA59" s="631"/>
      <c r="AB59" s="648"/>
      <c r="AC59" s="631"/>
      <c r="AD59" s="631"/>
      <c r="AE59" s="631"/>
      <c r="AF59" s="631"/>
      <c r="AG59" s="631"/>
      <c r="AH59" s="631"/>
      <c r="AI59" s="631"/>
      <c r="AJ59" s="631"/>
      <c r="AK59" s="631"/>
      <c r="AL59" s="631"/>
      <c r="AM59" s="631"/>
      <c r="AN59" s="631"/>
    </row>
    <row r="60" spans="1:40" x14ac:dyDescent="0.45">
      <c r="A60" s="545"/>
      <c r="B60" s="607" t="s">
        <v>24</v>
      </c>
      <c r="C60" s="608"/>
      <c r="D60" s="609"/>
      <c r="I60" s="553"/>
      <c r="N60" s="553"/>
      <c r="O60" s="553"/>
      <c r="P60" s="553"/>
      <c r="Q60" s="553"/>
      <c r="R60" s="553"/>
      <c r="Z60" s="631"/>
      <c r="AA60" s="631"/>
      <c r="AB60" s="648"/>
      <c r="AC60" s="631"/>
      <c r="AD60" s="631"/>
      <c r="AE60" s="631"/>
      <c r="AF60" s="631"/>
      <c r="AG60" s="631"/>
      <c r="AH60" s="631"/>
      <c r="AI60" s="631"/>
      <c r="AJ60" s="631"/>
      <c r="AK60" s="631"/>
      <c r="AL60" s="631"/>
      <c r="AM60" s="631"/>
      <c r="AN60" s="631"/>
    </row>
    <row r="61" spans="1:40" x14ac:dyDescent="0.45">
      <c r="A61" s="545"/>
      <c r="B61" s="592" t="s">
        <v>13</v>
      </c>
      <c r="C61" s="636">
        <v>2329</v>
      </c>
      <c r="D61" s="594" t="s">
        <v>15</v>
      </c>
      <c r="I61" s="553"/>
      <c r="K61" s="543"/>
      <c r="M61" s="546"/>
      <c r="N61" s="639"/>
      <c r="O61" s="553"/>
      <c r="P61" s="553"/>
      <c r="Q61" s="553"/>
      <c r="R61" s="553"/>
      <c r="Z61" s="631"/>
      <c r="AA61" s="631"/>
      <c r="AB61" s="648"/>
      <c r="AC61" s="631"/>
      <c r="AD61" s="631"/>
      <c r="AE61" s="631"/>
      <c r="AF61" s="631"/>
      <c r="AG61" s="631"/>
      <c r="AH61" s="631"/>
      <c r="AI61" s="631"/>
      <c r="AJ61" s="631"/>
      <c r="AK61" s="631"/>
      <c r="AL61" s="631"/>
      <c r="AM61" s="631"/>
      <c r="AN61" s="631"/>
    </row>
    <row r="62" spans="1:40" ht="15" customHeight="1" x14ac:dyDescent="0.45">
      <c r="A62" s="545"/>
      <c r="B62" s="592" t="s">
        <v>349</v>
      </c>
      <c r="C62" s="593">
        <f>0.156*0.156*(C9/10^6/C10)*C61</f>
        <v>3.1488080000000003E-3</v>
      </c>
      <c r="D62" s="594" t="s">
        <v>14</v>
      </c>
      <c r="I62" s="553"/>
      <c r="N62" s="639"/>
      <c r="O62" s="553"/>
      <c r="P62" s="553"/>
      <c r="Q62" s="553"/>
      <c r="R62" s="553"/>
      <c r="Z62" s="631"/>
      <c r="AA62" s="631"/>
      <c r="AB62" s="631"/>
      <c r="AC62" s="631"/>
      <c r="AD62" s="631"/>
      <c r="AE62" s="631"/>
      <c r="AF62" s="631"/>
      <c r="AG62" s="631"/>
      <c r="AH62" s="631"/>
      <c r="AI62" s="631"/>
      <c r="AJ62" s="631"/>
      <c r="AK62" s="631"/>
      <c r="AL62" s="631"/>
      <c r="AM62" s="631"/>
      <c r="AN62" s="631"/>
    </row>
    <row r="63" spans="1:40" x14ac:dyDescent="0.45">
      <c r="A63" s="545"/>
      <c r="B63" s="592" t="s">
        <v>348</v>
      </c>
      <c r="C63" s="593">
        <f>C62*C11</f>
        <v>9.4464240000000005E-2</v>
      </c>
      <c r="D63" s="594" t="s">
        <v>16</v>
      </c>
      <c r="I63" s="553"/>
      <c r="M63" s="553"/>
      <c r="N63" s="639"/>
      <c r="O63" s="548"/>
      <c r="P63" s="553"/>
      <c r="Q63" s="553"/>
      <c r="R63" s="553"/>
      <c r="Z63" s="631"/>
      <c r="AA63" s="631"/>
      <c r="AB63" s="631"/>
      <c r="AC63" s="631"/>
      <c r="AD63" s="631"/>
      <c r="AE63" s="631"/>
      <c r="AF63" s="631"/>
      <c r="AG63" s="631"/>
      <c r="AH63" s="631"/>
      <c r="AI63" s="631"/>
      <c r="AJ63" s="631"/>
      <c r="AK63" s="631"/>
      <c r="AL63" s="631"/>
      <c r="AM63" s="631"/>
      <c r="AN63" s="631"/>
    </row>
    <row r="64" spans="1:40" x14ac:dyDescent="0.45">
      <c r="A64" s="545"/>
      <c r="B64" s="592" t="s">
        <v>339</v>
      </c>
      <c r="C64" s="957">
        <f>$C$148*$C$149*$C$150</f>
        <v>0.96042374999999991</v>
      </c>
      <c r="D64" s="594" t="s">
        <v>22</v>
      </c>
      <c r="I64" s="553"/>
      <c r="M64" s="553"/>
      <c r="N64" s="639"/>
      <c r="O64" s="548"/>
      <c r="P64" s="553"/>
      <c r="Q64" s="553"/>
      <c r="R64" s="553"/>
      <c r="Z64" s="631"/>
      <c r="AA64" s="631"/>
      <c r="AB64" s="631"/>
      <c r="AC64" s="631"/>
      <c r="AD64" s="631"/>
      <c r="AE64" s="631"/>
      <c r="AF64" s="631"/>
      <c r="AG64" s="631"/>
      <c r="AH64" s="631"/>
      <c r="AI64" s="631"/>
      <c r="AJ64" s="631"/>
      <c r="AK64" s="631"/>
      <c r="AL64" s="631"/>
      <c r="AM64" s="631"/>
      <c r="AN64" s="631"/>
    </row>
    <row r="65" spans="1:51" x14ac:dyDescent="0.45">
      <c r="A65" s="545"/>
      <c r="B65" s="922" t="s">
        <v>35</v>
      </c>
      <c r="C65" s="923">
        <f>C63/C64</f>
        <v>9.8356834678442737E-2</v>
      </c>
      <c r="D65" s="924" t="s">
        <v>16</v>
      </c>
      <c r="I65" s="553"/>
      <c r="M65" s="553"/>
      <c r="N65" s="639"/>
      <c r="O65" s="548"/>
      <c r="P65" s="553"/>
      <c r="Q65" s="553"/>
      <c r="R65" s="553"/>
      <c r="Z65" s="631"/>
      <c r="AA65" s="631"/>
      <c r="AB65" s="631"/>
      <c r="AC65" s="631"/>
      <c r="AD65" s="631"/>
      <c r="AE65" s="631"/>
      <c r="AF65" s="631"/>
      <c r="AG65" s="631"/>
      <c r="AH65" s="631"/>
      <c r="AI65" s="631"/>
      <c r="AJ65" s="631"/>
      <c r="AK65" s="631"/>
      <c r="AL65" s="631"/>
      <c r="AM65" s="631"/>
      <c r="AN65" s="631"/>
    </row>
    <row r="66" spans="1:51" x14ac:dyDescent="0.45">
      <c r="A66" s="545"/>
      <c r="I66" s="553"/>
      <c r="J66" s="631"/>
      <c r="K66" s="553"/>
      <c r="L66" s="553"/>
      <c r="M66" s="553"/>
      <c r="N66" s="639"/>
      <c r="O66" s="639"/>
      <c r="P66" s="553"/>
      <c r="Q66" s="553"/>
      <c r="R66" s="553"/>
      <c r="Z66" s="631"/>
      <c r="AA66" s="631"/>
      <c r="AB66" s="631"/>
      <c r="AC66" s="631"/>
      <c r="AD66" s="631"/>
      <c r="AE66" s="631"/>
      <c r="AF66" s="631"/>
      <c r="AG66" s="631"/>
      <c r="AH66" s="631"/>
      <c r="AI66" s="631"/>
      <c r="AJ66" s="631"/>
      <c r="AK66" s="631"/>
      <c r="AL66" s="631"/>
      <c r="AM66" s="631"/>
      <c r="AN66" s="631"/>
    </row>
    <row r="67" spans="1:51" x14ac:dyDescent="0.45">
      <c r="A67" s="545"/>
      <c r="B67" s="792" t="s">
        <v>89</v>
      </c>
      <c r="C67" s="793"/>
      <c r="D67" s="794"/>
      <c r="E67" s="794"/>
      <c r="F67" s="794"/>
      <c r="G67" s="794"/>
      <c r="H67" s="795"/>
      <c r="I67" s="553"/>
      <c r="J67" s="553"/>
      <c r="K67" s="553"/>
      <c r="L67" s="553"/>
      <c r="M67" s="553"/>
      <c r="N67" s="553"/>
      <c r="O67" s="639"/>
      <c r="P67" s="553"/>
      <c r="Q67" s="553"/>
      <c r="R67" s="553"/>
      <c r="Z67" s="631"/>
      <c r="AA67" s="631"/>
      <c r="AB67" s="631"/>
      <c r="AC67" s="631"/>
      <c r="AD67" s="631"/>
      <c r="AE67" s="631"/>
      <c r="AF67" s="631"/>
      <c r="AG67" s="631"/>
      <c r="AH67" s="631"/>
      <c r="AI67" s="631"/>
      <c r="AJ67" s="631"/>
      <c r="AK67" s="631"/>
      <c r="AL67" s="631"/>
      <c r="AM67" s="631"/>
      <c r="AN67" s="631"/>
    </row>
    <row r="68" spans="1:51" x14ac:dyDescent="0.45">
      <c r="A68" s="545"/>
      <c r="B68" s="787" t="s">
        <v>186</v>
      </c>
      <c r="C68" s="788">
        <v>400</v>
      </c>
      <c r="D68" s="589" t="s">
        <v>18</v>
      </c>
      <c r="E68" s="589"/>
      <c r="F68" s="589"/>
      <c r="G68" s="589"/>
      <c r="H68" s="789"/>
      <c r="I68" s="553"/>
      <c r="J68" s="553"/>
      <c r="K68" s="553"/>
      <c r="L68" s="553"/>
      <c r="M68" s="553"/>
      <c r="N68" s="553"/>
      <c r="O68" s="639"/>
      <c r="P68" s="553"/>
      <c r="Q68" s="631"/>
      <c r="Z68" s="631"/>
      <c r="AA68" s="631"/>
      <c r="AB68" s="631"/>
      <c r="AC68" s="631"/>
      <c r="AD68" s="631"/>
      <c r="AE68" s="631"/>
      <c r="AF68" s="631"/>
      <c r="AG68" s="631"/>
      <c r="AH68" s="631"/>
      <c r="AI68" s="631"/>
      <c r="AJ68" s="631"/>
      <c r="AK68" s="631"/>
      <c r="AL68" s="631"/>
      <c r="AM68" s="631"/>
      <c r="AN68" s="631"/>
    </row>
    <row r="69" spans="1:51" x14ac:dyDescent="0.45">
      <c r="A69" s="545"/>
      <c r="B69" s="787" t="s">
        <v>62</v>
      </c>
      <c r="C69" s="788">
        <v>13.6</v>
      </c>
      <c r="D69" s="589" t="s">
        <v>22</v>
      </c>
      <c r="E69" s="589"/>
      <c r="F69" s="589"/>
      <c r="G69" s="589"/>
      <c r="H69" s="789"/>
      <c r="I69" s="553"/>
      <c r="J69" s="553"/>
      <c r="K69" s="553"/>
      <c r="L69" s="553"/>
      <c r="M69" s="553"/>
      <c r="N69" s="553"/>
      <c r="O69" s="639"/>
      <c r="P69" s="553"/>
      <c r="Q69" s="631"/>
      <c r="Z69" s="631"/>
      <c r="AA69" s="631"/>
      <c r="AB69" s="631"/>
      <c r="AC69" s="631"/>
      <c r="AD69" s="631"/>
      <c r="AE69" s="631"/>
      <c r="AF69" s="631"/>
      <c r="AG69" s="631"/>
      <c r="AH69" s="631"/>
      <c r="AI69" s="631"/>
      <c r="AJ69" s="631"/>
      <c r="AK69" s="631"/>
      <c r="AL69" s="631"/>
      <c r="AM69" s="631"/>
      <c r="AN69" s="631"/>
    </row>
    <row r="70" spans="1:51" x14ac:dyDescent="0.45">
      <c r="A70" s="545"/>
      <c r="B70" s="787" t="s">
        <v>188</v>
      </c>
      <c r="C70" s="796">
        <f>C68*10^6/(C69/100*1000)/(365*24)</f>
        <v>335.750738651625</v>
      </c>
      <c r="D70" s="589" t="s">
        <v>184</v>
      </c>
      <c r="E70" s="589"/>
      <c r="F70" s="589"/>
      <c r="G70" s="589"/>
      <c r="H70" s="789"/>
      <c r="I70" s="553"/>
      <c r="J70" s="553"/>
      <c r="K70" s="553"/>
      <c r="L70" s="553"/>
      <c r="M70" s="553"/>
      <c r="N70" s="553"/>
      <c r="O70" s="639"/>
      <c r="P70" s="553"/>
      <c r="Q70" s="631"/>
      <c r="Z70" s="631"/>
      <c r="AA70" s="631"/>
      <c r="AB70" s="631"/>
      <c r="AC70" s="631"/>
      <c r="AD70" s="631"/>
      <c r="AE70" s="631"/>
      <c r="AF70" s="631"/>
      <c r="AG70" s="631"/>
      <c r="AH70" s="631"/>
      <c r="AI70" s="631"/>
      <c r="AJ70" s="631"/>
      <c r="AK70" s="631"/>
      <c r="AL70" s="631"/>
      <c r="AM70" s="631"/>
      <c r="AN70" s="631"/>
    </row>
    <row r="71" spans="1:51" x14ac:dyDescent="0.45">
      <c r="A71" s="545"/>
      <c r="B71" s="787" t="s">
        <v>187</v>
      </c>
      <c r="C71" s="788">
        <f>1000*$C$8/100</f>
        <v>205</v>
      </c>
      <c r="D71" s="589" t="s">
        <v>189</v>
      </c>
      <c r="E71" s="589"/>
      <c r="F71" s="589"/>
      <c r="G71" s="589"/>
      <c r="H71" s="789"/>
      <c r="I71" s="553"/>
      <c r="J71" s="553"/>
      <c r="K71" s="553"/>
      <c r="L71" s="553"/>
      <c r="M71" s="553"/>
      <c r="N71" s="553"/>
      <c r="O71" s="639"/>
      <c r="P71" s="553"/>
      <c r="Q71" s="631"/>
      <c r="Z71" s="631"/>
      <c r="AA71" s="631"/>
      <c r="AB71" s="631"/>
      <c r="AC71" s="631"/>
      <c r="AD71" s="631"/>
      <c r="AE71" s="631"/>
      <c r="AF71" s="631"/>
      <c r="AG71" s="631"/>
      <c r="AH71" s="631"/>
      <c r="AI71" s="631"/>
      <c r="AJ71" s="631"/>
      <c r="AK71" s="631"/>
      <c r="AL71" s="631"/>
      <c r="AM71" s="631"/>
      <c r="AN71" s="631"/>
    </row>
    <row r="72" spans="1:51" x14ac:dyDescent="0.45">
      <c r="A72" s="545"/>
      <c r="B72" s="787" t="s">
        <v>188</v>
      </c>
      <c r="C72" s="796">
        <f>C70*C71</f>
        <v>68828.901423583127</v>
      </c>
      <c r="D72" s="589" t="s">
        <v>190</v>
      </c>
      <c r="E72" s="589"/>
      <c r="F72" s="589"/>
      <c r="G72" s="589"/>
      <c r="H72" s="789"/>
      <c r="I72" s="553"/>
      <c r="J72" s="553"/>
      <c r="K72" s="553"/>
      <c r="L72" s="553"/>
      <c r="M72" s="553"/>
      <c r="N72" s="553"/>
      <c r="O72" s="639"/>
      <c r="P72" s="553"/>
      <c r="Q72" s="553"/>
      <c r="R72" s="553"/>
      <c r="S72" s="553"/>
      <c r="T72" s="553"/>
      <c r="U72" s="553"/>
      <c r="V72" s="553"/>
      <c r="W72" s="553"/>
      <c r="X72" s="553"/>
      <c r="Y72" s="553"/>
      <c r="Z72" s="553"/>
      <c r="AA72" s="553"/>
      <c r="AB72" s="553"/>
      <c r="AC72" s="553"/>
      <c r="AD72" s="553"/>
      <c r="AE72" s="553"/>
      <c r="AF72" s="553"/>
      <c r="AG72" s="553"/>
      <c r="AH72" s="553"/>
      <c r="AI72" s="553"/>
      <c r="AJ72" s="553"/>
      <c r="AK72" s="553"/>
      <c r="AL72" s="553"/>
      <c r="AM72" s="553"/>
      <c r="AN72" s="553"/>
      <c r="AO72" s="553"/>
      <c r="AP72" s="553"/>
      <c r="AQ72" s="553"/>
      <c r="AR72" s="553"/>
      <c r="AS72" s="553"/>
      <c r="AT72" s="553"/>
      <c r="AU72" s="553"/>
      <c r="AV72" s="553"/>
      <c r="AW72" s="553"/>
      <c r="AX72" s="553"/>
      <c r="AY72" s="553"/>
    </row>
    <row r="73" spans="1:51" x14ac:dyDescent="0.45">
      <c r="A73" s="545"/>
      <c r="B73" s="787" t="s">
        <v>191</v>
      </c>
      <c r="C73" s="796">
        <f>C72*$C$18/100*C151</f>
        <v>64121.764265209495</v>
      </c>
      <c r="D73" s="589" t="s">
        <v>190</v>
      </c>
      <c r="E73" s="589"/>
      <c r="F73" s="589"/>
      <c r="G73" s="589"/>
      <c r="H73" s="789"/>
      <c r="I73" s="553"/>
      <c r="J73" s="553"/>
      <c r="K73" s="553"/>
      <c r="L73" s="553"/>
      <c r="M73" s="553"/>
      <c r="N73" s="553"/>
      <c r="O73" s="639"/>
      <c r="P73" s="553"/>
      <c r="Q73" s="553"/>
      <c r="R73" s="553"/>
      <c r="S73" s="553"/>
      <c r="T73" s="553"/>
      <c r="U73" s="553"/>
      <c r="V73" s="553"/>
      <c r="W73" s="553"/>
      <c r="X73" s="553"/>
      <c r="Y73" s="553"/>
      <c r="Z73" s="553"/>
      <c r="AA73" s="553"/>
      <c r="AB73" s="553"/>
      <c r="AC73" s="553"/>
      <c r="AD73" s="553"/>
      <c r="AE73" s="553"/>
      <c r="AF73" s="553"/>
      <c r="AG73" s="553"/>
      <c r="AH73" s="553"/>
      <c r="AI73" s="553"/>
      <c r="AJ73" s="553"/>
      <c r="AK73" s="553"/>
      <c r="AL73" s="553"/>
      <c r="AM73" s="553"/>
      <c r="AN73" s="553"/>
      <c r="AO73" s="553"/>
      <c r="AP73" s="553"/>
      <c r="AQ73" s="553"/>
      <c r="AR73" s="553"/>
      <c r="AS73" s="553"/>
      <c r="AT73" s="553"/>
      <c r="AU73" s="553"/>
      <c r="AV73" s="553"/>
      <c r="AW73" s="553"/>
      <c r="AX73" s="553"/>
      <c r="AY73" s="553"/>
    </row>
    <row r="74" spans="1:51" x14ac:dyDescent="0.45">
      <c r="A74" s="545"/>
      <c r="B74" s="787" t="s">
        <v>193</v>
      </c>
      <c r="C74" s="796">
        <f>C73*24*365/1000000</f>
        <v>561.70665496323511</v>
      </c>
      <c r="D74" s="589" t="s">
        <v>18</v>
      </c>
      <c r="E74" s="589"/>
      <c r="F74" s="589"/>
      <c r="G74" s="589"/>
      <c r="H74" s="789"/>
      <c r="I74" s="553"/>
      <c r="J74" s="553"/>
      <c r="K74" s="553"/>
      <c r="L74" s="553"/>
      <c r="M74" s="553"/>
      <c r="N74" s="553"/>
      <c r="O74" s="639"/>
      <c r="P74" s="553"/>
      <c r="Q74" s="553"/>
      <c r="R74" s="553"/>
      <c r="S74" s="553"/>
      <c r="T74" s="553"/>
      <c r="U74" s="553"/>
      <c r="V74" s="553"/>
      <c r="W74" s="553"/>
      <c r="X74" s="553"/>
      <c r="Y74" s="553"/>
      <c r="Z74" s="553"/>
      <c r="AA74" s="553"/>
      <c r="AB74" s="553"/>
      <c r="AC74" s="553"/>
      <c r="AD74" s="553"/>
      <c r="AE74" s="553"/>
      <c r="AF74" s="553"/>
      <c r="AG74" s="553"/>
      <c r="AH74" s="553"/>
      <c r="AI74" s="553"/>
      <c r="AJ74" s="553"/>
      <c r="AK74" s="553"/>
      <c r="AL74" s="553"/>
      <c r="AM74" s="553"/>
      <c r="AN74" s="553"/>
      <c r="AO74" s="553"/>
      <c r="AP74" s="553"/>
      <c r="AQ74" s="553"/>
      <c r="AR74" s="553"/>
      <c r="AS74" s="553"/>
      <c r="AT74" s="553"/>
      <c r="AU74" s="553"/>
      <c r="AV74" s="553"/>
      <c r="AW74" s="553"/>
      <c r="AX74" s="553"/>
      <c r="AY74" s="553"/>
    </row>
    <row r="75" spans="1:51" x14ac:dyDescent="0.45">
      <c r="A75" s="545"/>
      <c r="B75" s="787" t="s">
        <v>142</v>
      </c>
      <c r="C75" s="589">
        <v>10</v>
      </c>
      <c r="D75" s="589" t="s">
        <v>111</v>
      </c>
      <c r="E75" s="589"/>
      <c r="F75" s="589"/>
      <c r="G75" s="589"/>
      <c r="H75" s="789"/>
      <c r="I75" s="553"/>
      <c r="J75" s="553"/>
      <c r="K75" s="553"/>
      <c r="L75" s="553"/>
      <c r="M75" s="553"/>
      <c r="N75" s="553"/>
      <c r="O75" s="639"/>
      <c r="P75" s="553"/>
      <c r="Q75" s="553"/>
      <c r="R75" s="553"/>
      <c r="S75" s="553"/>
      <c r="T75" s="553"/>
      <c r="U75" s="553"/>
      <c r="V75" s="553"/>
      <c r="W75" s="553"/>
      <c r="X75" s="553"/>
      <c r="Y75" s="553"/>
      <c r="Z75" s="553"/>
      <c r="AA75" s="553"/>
      <c r="AB75" s="553"/>
      <c r="AC75" s="553"/>
      <c r="AD75" s="553"/>
      <c r="AE75" s="553"/>
      <c r="AF75" s="553"/>
      <c r="AG75" s="553"/>
      <c r="AH75" s="553"/>
      <c r="AI75" s="553"/>
      <c r="AJ75" s="553"/>
      <c r="AK75" s="553"/>
      <c r="AL75" s="553"/>
      <c r="AM75" s="553"/>
      <c r="AN75" s="553"/>
      <c r="AO75" s="553"/>
      <c r="AP75" s="553"/>
      <c r="AQ75" s="553"/>
      <c r="AR75" s="553"/>
      <c r="AS75" s="553"/>
      <c r="AT75" s="553"/>
      <c r="AU75" s="553"/>
      <c r="AV75" s="553"/>
      <c r="AW75" s="553"/>
      <c r="AX75" s="553"/>
      <c r="AY75" s="553"/>
    </row>
    <row r="76" spans="1:51" x14ac:dyDescent="0.45">
      <c r="A76" s="545"/>
      <c r="B76" s="787" t="s">
        <v>143</v>
      </c>
      <c r="C76" s="589">
        <v>7</v>
      </c>
      <c r="D76" s="589" t="s">
        <v>111</v>
      </c>
      <c r="E76" s="589"/>
      <c r="F76" s="589"/>
      <c r="G76" s="589"/>
      <c r="H76" s="789"/>
      <c r="I76" s="553"/>
      <c r="J76" s="553"/>
      <c r="K76" s="553"/>
      <c r="L76" s="553"/>
      <c r="M76" s="553"/>
      <c r="N76" s="553"/>
      <c r="O76" s="639"/>
      <c r="P76" s="553"/>
      <c r="Q76" s="553"/>
      <c r="R76" s="553"/>
      <c r="S76" s="553"/>
      <c r="T76" s="553"/>
      <c r="U76" s="553"/>
      <c r="V76" s="553"/>
      <c r="W76" s="553"/>
      <c r="X76" s="553"/>
      <c r="Y76" s="553"/>
      <c r="Z76" s="553"/>
      <c r="AA76" s="553"/>
      <c r="AB76" s="553"/>
      <c r="AC76" s="553"/>
      <c r="AD76" s="553"/>
      <c r="AE76" s="553"/>
      <c r="AF76" s="553"/>
      <c r="AG76" s="553"/>
      <c r="AH76" s="553"/>
      <c r="AI76" s="553"/>
      <c r="AJ76" s="553"/>
      <c r="AK76" s="553"/>
      <c r="AL76" s="553"/>
      <c r="AM76" s="553"/>
      <c r="AN76" s="553"/>
      <c r="AO76" s="553"/>
      <c r="AP76" s="553"/>
      <c r="AQ76" s="553"/>
      <c r="AR76" s="553"/>
      <c r="AS76" s="553"/>
      <c r="AT76" s="553"/>
      <c r="AU76" s="553"/>
      <c r="AV76" s="553"/>
      <c r="AW76" s="553"/>
      <c r="AX76" s="553"/>
      <c r="AY76" s="553"/>
    </row>
    <row r="77" spans="1:51" x14ac:dyDescent="0.45">
      <c r="A77" s="545"/>
      <c r="B77" s="787" t="s">
        <v>140</v>
      </c>
      <c r="C77" s="589">
        <v>7</v>
      </c>
      <c r="D77" s="589" t="s">
        <v>111</v>
      </c>
      <c r="E77" s="589"/>
      <c r="F77" s="589"/>
      <c r="G77" s="589"/>
      <c r="H77" s="789"/>
      <c r="I77" s="553"/>
      <c r="J77" s="553"/>
      <c r="K77" s="553"/>
      <c r="L77" s="553"/>
      <c r="M77" s="553"/>
      <c r="N77" s="553"/>
      <c r="O77" s="639"/>
      <c r="P77" s="553"/>
      <c r="Q77" s="553"/>
      <c r="R77" s="553"/>
      <c r="S77" s="553"/>
      <c r="T77" s="553"/>
      <c r="U77" s="553"/>
      <c r="V77" s="553"/>
      <c r="W77" s="553"/>
      <c r="X77" s="553"/>
      <c r="Y77" s="553"/>
      <c r="Z77" s="553"/>
      <c r="AA77" s="553"/>
      <c r="AB77" s="553"/>
      <c r="AC77" s="553"/>
      <c r="AD77" s="553"/>
      <c r="AE77" s="553"/>
      <c r="AF77" s="553"/>
      <c r="AG77" s="553"/>
      <c r="AH77" s="553"/>
      <c r="AI77" s="553"/>
      <c r="AJ77" s="553"/>
      <c r="AK77" s="553"/>
      <c r="AL77" s="553"/>
      <c r="AM77" s="553"/>
      <c r="AN77" s="553"/>
      <c r="AO77" s="553"/>
      <c r="AP77" s="553"/>
      <c r="AQ77" s="553"/>
      <c r="AR77" s="553"/>
      <c r="AS77" s="553"/>
      <c r="AT77" s="553"/>
      <c r="AU77" s="553"/>
      <c r="AV77" s="553"/>
      <c r="AW77" s="553"/>
      <c r="AX77" s="553"/>
      <c r="AY77" s="553"/>
    </row>
    <row r="78" spans="1:51" x14ac:dyDescent="0.45">
      <c r="A78" s="545"/>
      <c r="B78" s="787" t="s">
        <v>141</v>
      </c>
      <c r="C78" s="589">
        <v>7</v>
      </c>
      <c r="D78" s="589" t="s">
        <v>111</v>
      </c>
      <c r="E78" s="589"/>
      <c r="F78" s="589"/>
      <c r="G78" s="589"/>
      <c r="H78" s="789"/>
      <c r="I78" s="553"/>
      <c r="J78" s="553"/>
      <c r="K78" s="553"/>
      <c r="L78" s="553"/>
      <c r="M78" s="553"/>
      <c r="N78" s="553"/>
      <c r="O78" s="639"/>
      <c r="P78" s="553"/>
      <c r="Q78" s="553"/>
      <c r="R78" s="553"/>
      <c r="S78" s="553"/>
      <c r="T78" s="553"/>
      <c r="U78" s="553"/>
      <c r="V78" s="553"/>
      <c r="W78" s="553"/>
      <c r="X78" s="553"/>
      <c r="Y78" s="553"/>
      <c r="Z78" s="553"/>
      <c r="AA78" s="553"/>
      <c r="AB78" s="553"/>
      <c r="AC78" s="553"/>
      <c r="AD78" s="553"/>
      <c r="AE78" s="553"/>
      <c r="AF78" s="553"/>
      <c r="AG78" s="553"/>
      <c r="AH78" s="553"/>
      <c r="AI78" s="553"/>
      <c r="AJ78" s="553"/>
      <c r="AK78" s="553"/>
      <c r="AL78" s="553"/>
      <c r="AM78" s="553"/>
      <c r="AN78" s="553"/>
      <c r="AO78" s="553"/>
      <c r="AP78" s="553"/>
      <c r="AQ78" s="553"/>
      <c r="AR78" s="553"/>
      <c r="AS78" s="553"/>
      <c r="AT78" s="553"/>
      <c r="AU78" s="553"/>
      <c r="AV78" s="553"/>
      <c r="AW78" s="553"/>
      <c r="AX78" s="553"/>
      <c r="AY78" s="553"/>
    </row>
    <row r="79" spans="1:51" x14ac:dyDescent="0.45">
      <c r="A79" s="545"/>
      <c r="B79" s="787" t="s">
        <v>132</v>
      </c>
      <c r="C79" s="589">
        <v>25</v>
      </c>
      <c r="D79" s="589" t="s">
        <v>63</v>
      </c>
      <c r="E79" s="589"/>
      <c r="F79" s="589"/>
      <c r="G79" s="589"/>
      <c r="H79" s="789"/>
      <c r="I79" s="553"/>
      <c r="J79" s="553"/>
      <c r="K79" s="553"/>
      <c r="L79" s="553"/>
      <c r="M79" s="553"/>
      <c r="N79" s="553"/>
      <c r="O79" s="639"/>
      <c r="P79" s="553"/>
      <c r="Q79" s="553"/>
      <c r="R79" s="553"/>
      <c r="S79" s="553"/>
      <c r="T79" s="553"/>
      <c r="U79" s="553"/>
      <c r="V79" s="553"/>
      <c r="W79" s="553"/>
      <c r="X79" s="553"/>
      <c r="Y79" s="553"/>
      <c r="Z79" s="553"/>
      <c r="AA79" s="553"/>
      <c r="AB79" s="553"/>
      <c r="AC79" s="553"/>
      <c r="AD79" s="553"/>
      <c r="AE79" s="553"/>
      <c r="AF79" s="553"/>
      <c r="AG79" s="553"/>
      <c r="AH79" s="553"/>
      <c r="AI79" s="553"/>
      <c r="AJ79" s="553"/>
      <c r="AK79" s="553"/>
      <c r="AL79" s="553"/>
      <c r="AM79" s="553"/>
      <c r="AN79" s="553"/>
      <c r="AO79" s="553"/>
      <c r="AP79" s="553"/>
      <c r="AQ79" s="553"/>
      <c r="AR79" s="553"/>
      <c r="AS79" s="553"/>
      <c r="AT79" s="553"/>
      <c r="AU79" s="553"/>
      <c r="AV79" s="553"/>
      <c r="AW79" s="553"/>
      <c r="AX79" s="553"/>
      <c r="AY79" s="553"/>
    </row>
    <row r="80" spans="1:51" x14ac:dyDescent="0.45">
      <c r="A80" s="545"/>
      <c r="B80" s="787" t="s">
        <v>151</v>
      </c>
      <c r="C80" s="589">
        <v>1</v>
      </c>
      <c r="D80" s="589" t="s">
        <v>22</v>
      </c>
      <c r="E80" s="589"/>
      <c r="F80" s="589"/>
      <c r="G80" s="589"/>
      <c r="H80" s="789"/>
      <c r="I80" s="553"/>
      <c r="J80" s="553"/>
      <c r="K80" s="553"/>
      <c r="L80" s="553"/>
      <c r="M80" s="553"/>
      <c r="N80" s="553"/>
      <c r="O80" s="639"/>
      <c r="P80" s="553"/>
      <c r="Q80" s="553"/>
      <c r="R80" s="553"/>
      <c r="S80" s="553"/>
      <c r="T80" s="553"/>
      <c r="U80" s="553"/>
      <c r="V80" s="553"/>
      <c r="W80" s="553"/>
      <c r="X80" s="553"/>
      <c r="Y80" s="553"/>
      <c r="Z80" s="553"/>
      <c r="AA80" s="553"/>
      <c r="AB80" s="553"/>
      <c r="AC80" s="553"/>
      <c r="AD80" s="553"/>
      <c r="AE80" s="553"/>
      <c r="AF80" s="553"/>
      <c r="AG80" s="553"/>
      <c r="AH80" s="553"/>
      <c r="AI80" s="553"/>
      <c r="AJ80" s="553"/>
      <c r="AK80" s="553"/>
      <c r="AL80" s="553"/>
      <c r="AM80" s="553"/>
      <c r="AN80" s="553"/>
      <c r="AO80" s="553"/>
      <c r="AP80" s="553"/>
      <c r="AQ80" s="553"/>
      <c r="AR80" s="553"/>
      <c r="AS80" s="553"/>
      <c r="AT80" s="553"/>
      <c r="AU80" s="553"/>
      <c r="AV80" s="553"/>
      <c r="AW80" s="553"/>
      <c r="AX80" s="553"/>
      <c r="AY80" s="553"/>
    </row>
    <row r="81" spans="1:51" x14ac:dyDescent="0.45">
      <c r="A81" s="545"/>
      <c r="B81" s="802"/>
      <c r="C81" s="589" t="s">
        <v>117</v>
      </c>
      <c r="D81" s="589" t="s">
        <v>118</v>
      </c>
      <c r="E81" s="589" t="s">
        <v>119</v>
      </c>
      <c r="F81" s="790" t="s">
        <v>175</v>
      </c>
      <c r="G81" s="589" t="s">
        <v>233</v>
      </c>
      <c r="H81" s="789" t="s">
        <v>232</v>
      </c>
      <c r="I81" s="553"/>
      <c r="J81" s="553"/>
      <c r="K81" s="553"/>
      <c r="L81" s="553"/>
      <c r="M81" s="553"/>
      <c r="N81" s="801"/>
      <c r="O81" s="553"/>
      <c r="P81" s="553"/>
      <c r="Q81" s="553"/>
      <c r="R81" s="553"/>
      <c r="S81" s="553"/>
      <c r="T81" s="553"/>
      <c r="U81" s="553"/>
      <c r="V81" s="553"/>
      <c r="W81" s="553"/>
      <c r="X81" s="553"/>
      <c r="Y81" s="553"/>
      <c r="Z81" s="553"/>
      <c r="AA81" s="553"/>
      <c r="AB81" s="553"/>
      <c r="AC81" s="553"/>
      <c r="AD81" s="553"/>
      <c r="AE81" s="553"/>
      <c r="AF81" s="553"/>
      <c r="AG81" s="553"/>
      <c r="AH81" s="553"/>
      <c r="AI81" s="553"/>
      <c r="AJ81" s="553"/>
      <c r="AK81" s="553"/>
      <c r="AL81" s="553"/>
      <c r="AM81" s="553"/>
      <c r="AN81" s="553"/>
      <c r="AO81" s="553"/>
      <c r="AP81" s="553"/>
      <c r="AQ81" s="553"/>
      <c r="AR81" s="553"/>
      <c r="AS81" s="553"/>
      <c r="AT81" s="553"/>
      <c r="AU81" s="553"/>
      <c r="AV81" s="553"/>
      <c r="AW81" s="553"/>
      <c r="AX81" s="553"/>
      <c r="AY81" s="553"/>
    </row>
    <row r="82" spans="1:51" x14ac:dyDescent="0.45">
      <c r="A82" s="545"/>
      <c r="B82" s="787" t="s">
        <v>90</v>
      </c>
      <c r="C82" s="796">
        <f>(80.5*1+16)*1.27*1000000*0.66*0.7*C80</f>
        <v>56620410</v>
      </c>
      <c r="D82" s="796">
        <f>(80.5*1+16*0)*1.27*1000000*0.66*0.7/C75*C80</f>
        <v>4723257</v>
      </c>
      <c r="E82" s="796">
        <f>((80.5*0+16*1)*1.27*1000000*0.66*0.7)/C79*C80</f>
        <v>375513.59999999998</v>
      </c>
      <c r="F82" s="518">
        <f>(D82+E82)/($C$74*1000000)</f>
        <v>9.0772835873445812E-3</v>
      </c>
      <c r="G82" s="788">
        <f>D82*C75/($C$74*1000000)</f>
        <v>8.4087609756183984E-2</v>
      </c>
      <c r="H82" s="372">
        <f>E82*$C$79/($C$74*1000000)</f>
        <v>1.671306529315458E-2</v>
      </c>
      <c r="I82" s="639"/>
      <c r="J82" s="553"/>
      <c r="K82" s="553"/>
      <c r="L82" s="553"/>
      <c r="M82" s="553"/>
      <c r="N82" s="553"/>
      <c r="O82" s="761"/>
      <c r="P82" s="553"/>
      <c r="Q82" s="553"/>
      <c r="R82" s="553"/>
      <c r="S82" s="553"/>
      <c r="T82" s="553"/>
      <c r="U82" s="553"/>
      <c r="V82" s="553"/>
      <c r="W82" s="553"/>
      <c r="X82" s="553"/>
      <c r="Y82" s="553"/>
      <c r="Z82" s="553"/>
      <c r="AA82" s="553"/>
      <c r="AB82" s="553"/>
      <c r="AC82" s="553"/>
      <c r="AD82" s="553"/>
      <c r="AE82" s="553"/>
      <c r="AF82" s="553"/>
      <c r="AG82" s="553"/>
      <c r="AH82" s="553"/>
      <c r="AI82" s="553"/>
      <c r="AJ82" s="553"/>
      <c r="AK82" s="553"/>
      <c r="AL82" s="553"/>
      <c r="AM82" s="553"/>
      <c r="AN82" s="553"/>
      <c r="AO82" s="553"/>
      <c r="AP82" s="553"/>
      <c r="AQ82" s="553"/>
      <c r="AR82" s="553"/>
      <c r="AS82" s="553"/>
      <c r="AT82" s="553"/>
      <c r="AU82" s="553"/>
      <c r="AV82" s="553"/>
      <c r="AW82" s="553"/>
      <c r="AX82" s="553"/>
      <c r="AY82" s="553"/>
    </row>
    <row r="83" spans="1:51" x14ac:dyDescent="0.45">
      <c r="A83" s="545"/>
      <c r="B83" s="787" t="s">
        <v>30</v>
      </c>
      <c r="C83" s="796">
        <f>(76.8*1+13)*1.27*1000000*0.66*0.9*C80</f>
        <v>67743324</v>
      </c>
      <c r="D83" s="796">
        <f>(76.8*1+13*0)*1.27*1000000*0.66*0.9/C76*C80</f>
        <v>8276626.2857142854</v>
      </c>
      <c r="E83" s="796">
        <f>((76.8*0+13*1)*1.27*1000000*0.66*0.9)/C79*C80</f>
        <v>392277.60000000009</v>
      </c>
      <c r="F83" s="518">
        <f>(D83+E83)/($C$74*1000000)</f>
        <v>1.5433151466367588E-2</v>
      </c>
      <c r="G83" s="788">
        <f>D83*C76/($C$74*1000000)</f>
        <v>0.1031434886663254</v>
      </c>
      <c r="H83" s="372">
        <f>E83*$C$79/($C$74*1000000)</f>
        <v>1.7459184279456127E-2</v>
      </c>
      <c r="I83" s="639"/>
      <c r="J83" s="553"/>
      <c r="K83" s="553"/>
      <c r="L83" s="703"/>
      <c r="M83" s="553"/>
      <c r="N83" s="553"/>
      <c r="O83" s="761"/>
      <c r="P83" s="553"/>
      <c r="Q83" s="553"/>
      <c r="R83" s="553"/>
      <c r="S83" s="553"/>
      <c r="T83" s="553"/>
      <c r="U83" s="553"/>
      <c r="V83" s="553"/>
      <c r="W83" s="553"/>
      <c r="X83" s="553"/>
      <c r="Y83" s="553"/>
      <c r="Z83" s="553"/>
      <c r="AA83" s="553"/>
      <c r="AB83" s="553"/>
      <c r="AC83" s="553"/>
      <c r="AD83" s="553"/>
      <c r="AE83" s="553"/>
      <c r="AF83" s="553"/>
      <c r="AG83" s="553"/>
      <c r="AH83" s="553"/>
      <c r="AI83" s="553"/>
      <c r="AJ83" s="553"/>
      <c r="AK83" s="553"/>
      <c r="AL83" s="553"/>
      <c r="AM83" s="553"/>
      <c r="AN83" s="553"/>
      <c r="AO83" s="553"/>
      <c r="AP83" s="553"/>
      <c r="AQ83" s="553"/>
      <c r="AR83" s="553"/>
      <c r="AS83" s="553"/>
      <c r="AT83" s="553"/>
      <c r="AU83" s="553"/>
      <c r="AV83" s="553"/>
      <c r="AW83" s="553"/>
      <c r="AX83" s="553"/>
      <c r="AY83" s="553"/>
    </row>
    <row r="84" spans="1:51" x14ac:dyDescent="0.45">
      <c r="A84" s="545"/>
      <c r="B84" s="787" t="s">
        <v>31</v>
      </c>
      <c r="C84" s="796">
        <f>(110*1+16.3)*1.27*1000000*0.66*0.9*C80</f>
        <v>95278194</v>
      </c>
      <c r="D84" s="796">
        <f>(110*1+16.3*0.85*0)*1.27*1000000*0.66*0.9/C77*C80</f>
        <v>11854542.857142856</v>
      </c>
      <c r="E84" s="796">
        <f>(110*0+16.3*1)*1.27*1000000*0.66*0.9/C79*C80</f>
        <v>491855.76</v>
      </c>
      <c r="F84" s="518">
        <f>(D84+E84)/($C$74*1000000)</f>
        <v>2.1980153711995729E-2</v>
      </c>
      <c r="G84" s="788">
        <f>D84*C77/($C$74*1000000)</f>
        <v>0.14773155928770565</v>
      </c>
      <c r="H84" s="372">
        <f>E84*$C$79/($C$74*1000000)</f>
        <v>2.1891131058087293E-2</v>
      </c>
      <c r="I84" s="639"/>
      <c r="J84" s="553"/>
      <c r="K84" s="553"/>
      <c r="L84" s="703"/>
      <c r="M84" s="553"/>
      <c r="N84" s="553"/>
      <c r="O84" s="761"/>
      <c r="P84" s="553"/>
      <c r="Q84" s="553"/>
      <c r="R84" s="553"/>
      <c r="S84" s="553"/>
      <c r="T84" s="547"/>
      <c r="U84" s="536"/>
      <c r="V84" s="536"/>
      <c r="W84" s="536"/>
      <c r="X84" s="536"/>
      <c r="Y84" s="536"/>
      <c r="Z84" s="536"/>
      <c r="AA84" s="536"/>
      <c r="AB84" s="536"/>
      <c r="AC84" s="536"/>
      <c r="AD84" s="536"/>
      <c r="AE84" s="553"/>
      <c r="AF84" s="553"/>
      <c r="AG84" s="553"/>
      <c r="AH84" s="553"/>
      <c r="AI84" s="553"/>
      <c r="AJ84" s="553"/>
      <c r="AK84" s="553"/>
      <c r="AL84" s="553"/>
      <c r="AM84" s="553"/>
      <c r="AN84" s="553"/>
      <c r="AO84" s="553"/>
      <c r="AP84" s="553"/>
      <c r="AQ84" s="553"/>
      <c r="AR84" s="553"/>
      <c r="AS84" s="553"/>
      <c r="AT84" s="553"/>
      <c r="AU84" s="553"/>
      <c r="AV84" s="553"/>
      <c r="AW84" s="553"/>
      <c r="AX84" s="553"/>
      <c r="AY84" s="553"/>
    </row>
    <row r="85" spans="1:51" ht="15.4" x14ac:dyDescent="0.45">
      <c r="A85" s="545"/>
      <c r="B85" s="787" t="s">
        <v>32</v>
      </c>
      <c r="C85" s="796">
        <f>(73.5*1+20)*1.27*1000000*0.66*0.9*0.6*C80</f>
        <v>42320718</v>
      </c>
      <c r="D85" s="796">
        <f>(73.5*1+20*0)*1.27*1000000*0.66*0.9*0.6/C78*C80</f>
        <v>4752594</v>
      </c>
      <c r="E85" s="796">
        <f>(73.5*0+20*1)*1.27*1000000*0.66*0.9*0.6/C79*C80</f>
        <v>362102.4</v>
      </c>
      <c r="F85" s="518">
        <f>(D85+E85)/($C$74*1000000)</f>
        <v>9.1056361088240403E-3</v>
      </c>
      <c r="G85" s="788">
        <f>D85*C78/($C$74*1000000)</f>
        <v>5.9226925132616542E-2</v>
      </c>
      <c r="H85" s="372">
        <f>E85*$C$79/($C$74*1000000)</f>
        <v>1.6116170104113346E-2</v>
      </c>
      <c r="I85" s="639"/>
      <c r="J85" s="553"/>
      <c r="K85" s="553"/>
      <c r="L85" s="703"/>
      <c r="M85" s="553"/>
      <c r="N85" s="553"/>
      <c r="O85" s="761"/>
      <c r="P85" s="553"/>
      <c r="Q85" s="553"/>
      <c r="R85" s="537"/>
      <c r="S85" s="553"/>
      <c r="T85" s="538"/>
      <c r="U85" s="553"/>
      <c r="V85" s="553"/>
      <c r="W85" s="553"/>
      <c r="X85" s="553"/>
      <c r="Y85" s="553"/>
      <c r="Z85" s="553"/>
      <c r="AA85" s="553"/>
      <c r="AB85" s="553"/>
      <c r="AC85" s="553"/>
      <c r="AD85" s="553"/>
      <c r="AE85" s="553"/>
      <c r="AF85" s="553"/>
      <c r="AG85" s="553"/>
      <c r="AH85" s="553"/>
      <c r="AI85" s="553"/>
      <c r="AJ85" s="553"/>
      <c r="AK85" s="553"/>
      <c r="AL85" s="553"/>
      <c r="AM85" s="553"/>
      <c r="AN85" s="553"/>
      <c r="AO85" s="553"/>
      <c r="AP85" s="553"/>
      <c r="AQ85" s="553"/>
      <c r="AR85" s="553"/>
      <c r="AS85" s="553"/>
      <c r="AT85" s="553"/>
      <c r="AU85" s="553"/>
      <c r="AV85" s="553"/>
      <c r="AW85" s="553"/>
      <c r="AX85" s="553"/>
      <c r="AY85" s="553"/>
    </row>
    <row r="86" spans="1:51" x14ac:dyDescent="0.45">
      <c r="A86" s="545"/>
      <c r="B86" s="373" t="s">
        <v>234</v>
      </c>
      <c r="C86" s="807">
        <f>SUM(C82:C85)/1000000/C74</f>
        <v>0.46636913357764298</v>
      </c>
      <c r="D86" s="791"/>
      <c r="E86" s="808" t="s">
        <v>176</v>
      </c>
      <c r="F86" s="809">
        <f>SUM(F82:F85)</f>
        <v>5.559622487453194E-2</v>
      </c>
      <c r="G86" s="807">
        <f>SUM(G82:G85)</f>
        <v>0.39418958284283157</v>
      </c>
      <c r="H86" s="821">
        <f>SUM(H82:H85)</f>
        <v>7.2179550734811346E-2</v>
      </c>
      <c r="I86" s="553"/>
      <c r="J86" s="553"/>
      <c r="K86" s="553"/>
      <c r="L86" s="553"/>
      <c r="M86" s="553"/>
      <c r="N86" s="553"/>
      <c r="O86" s="639"/>
      <c r="P86" s="553"/>
      <c r="Q86" s="553"/>
      <c r="R86" s="537"/>
      <c r="S86" s="553"/>
      <c r="T86" s="553"/>
      <c r="U86" s="553"/>
      <c r="V86" s="553"/>
      <c r="W86" s="553"/>
      <c r="X86" s="553"/>
      <c r="Y86" s="553"/>
      <c r="Z86" s="553"/>
      <c r="AA86" s="553"/>
      <c r="AB86" s="553"/>
      <c r="AC86" s="553"/>
      <c r="AD86" s="553"/>
      <c r="AE86" s="553"/>
      <c r="AF86" s="553"/>
      <c r="AG86" s="553"/>
      <c r="AH86" s="553"/>
      <c r="AI86" s="553"/>
      <c r="AJ86" s="553"/>
      <c r="AK86" s="553"/>
      <c r="AL86" s="553"/>
      <c r="AM86" s="553"/>
      <c r="AN86" s="553"/>
      <c r="AO86" s="553"/>
      <c r="AP86" s="553"/>
      <c r="AQ86" s="553"/>
      <c r="AR86" s="553"/>
      <c r="AS86" s="553"/>
      <c r="AT86" s="553"/>
      <c r="AU86" s="553"/>
      <c r="AV86" s="553"/>
      <c r="AW86" s="553"/>
      <c r="AX86" s="553"/>
      <c r="AY86" s="553"/>
    </row>
    <row r="87" spans="1:51" x14ac:dyDescent="0.45">
      <c r="A87" s="545"/>
      <c r="B87" s="553"/>
      <c r="C87" s="553"/>
      <c r="D87" s="553"/>
      <c r="E87" s="547"/>
      <c r="F87" s="547"/>
      <c r="G87" s="553"/>
      <c r="H87" s="553"/>
      <c r="I87" s="553"/>
      <c r="J87" s="553"/>
      <c r="K87" s="553"/>
      <c r="L87" s="553"/>
      <c r="M87" s="548"/>
      <c r="N87" s="703"/>
      <c r="O87" s="703"/>
      <c r="P87" s="703"/>
      <c r="Q87" s="553"/>
      <c r="R87" s="553"/>
      <c r="S87" s="553"/>
      <c r="T87" s="553"/>
      <c r="U87" s="553"/>
      <c r="V87" s="553"/>
      <c r="W87" s="553"/>
      <c r="X87" s="553"/>
      <c r="Y87" s="553"/>
      <c r="Z87" s="553"/>
      <c r="AA87" s="553"/>
      <c r="AB87" s="553"/>
      <c r="AC87" s="553"/>
      <c r="AD87" s="553"/>
      <c r="AE87" s="553"/>
      <c r="AF87" s="553"/>
      <c r="AG87" s="553"/>
      <c r="AH87" s="553"/>
      <c r="AI87" s="553"/>
      <c r="AJ87" s="553"/>
      <c r="AK87" s="553"/>
      <c r="AL87" s="553"/>
      <c r="AM87" s="553"/>
      <c r="AN87" s="553"/>
      <c r="AO87" s="553"/>
      <c r="AP87" s="553"/>
      <c r="AQ87" s="553"/>
      <c r="AR87" s="553"/>
      <c r="AS87" s="553"/>
      <c r="AT87" s="553"/>
      <c r="AU87" s="553"/>
      <c r="AV87" s="553"/>
      <c r="AW87" s="553"/>
      <c r="AX87" s="553"/>
      <c r="AY87" s="553"/>
    </row>
    <row r="88" spans="1:51" x14ac:dyDescent="0.45">
      <c r="A88" s="545"/>
      <c r="B88" s="713" t="s">
        <v>61</v>
      </c>
      <c r="C88" s="714"/>
      <c r="D88" s="714"/>
      <c r="E88" s="714"/>
      <c r="F88" s="715"/>
      <c r="G88" s="550"/>
      <c r="H88" s="550"/>
      <c r="I88" s="550"/>
      <c r="J88" s="553"/>
      <c r="K88" s="553"/>
      <c r="L88" s="553"/>
      <c r="M88" s="548"/>
      <c r="N88" s="703"/>
      <c r="O88" s="703"/>
      <c r="P88" s="703"/>
      <c r="Q88" s="553"/>
      <c r="R88" s="553"/>
      <c r="S88" s="553"/>
      <c r="T88" s="553"/>
      <c r="U88" s="553"/>
      <c r="V88" s="553"/>
      <c r="W88" s="553"/>
      <c r="X88" s="553"/>
      <c r="Y88" s="553"/>
      <c r="Z88" s="553"/>
      <c r="AA88" s="553"/>
      <c r="AB88" s="553"/>
      <c r="AC88" s="553"/>
      <c r="AD88" s="553"/>
      <c r="AE88" s="553"/>
      <c r="AF88" s="553"/>
      <c r="AG88" s="553"/>
      <c r="AH88" s="553"/>
      <c r="AI88" s="553"/>
      <c r="AJ88" s="553"/>
      <c r="AK88" s="553"/>
      <c r="AL88" s="553"/>
      <c r="AM88" s="553"/>
      <c r="AN88" s="553"/>
      <c r="AO88" s="553"/>
      <c r="AP88" s="553"/>
      <c r="AQ88" s="553"/>
      <c r="AR88" s="553"/>
      <c r="AS88" s="553"/>
      <c r="AT88" s="553"/>
      <c r="AU88" s="553"/>
      <c r="AV88" s="553"/>
      <c r="AW88" s="553"/>
      <c r="AX88" s="553"/>
      <c r="AY88" s="553"/>
    </row>
    <row r="89" spans="1:51" x14ac:dyDescent="0.45">
      <c r="A89" s="545"/>
      <c r="B89" s="651" t="s">
        <v>229</v>
      </c>
      <c r="C89" s="663">
        <v>0.05</v>
      </c>
      <c r="D89" s="1026" t="s">
        <v>22</v>
      </c>
      <c r="E89" s="1026"/>
      <c r="F89" s="1030" t="s">
        <v>366</v>
      </c>
      <c r="G89" s="550"/>
      <c r="H89" s="550"/>
      <c r="I89" s="550"/>
      <c r="J89" s="553"/>
      <c r="K89" s="553"/>
      <c r="L89" s="553"/>
      <c r="M89" s="548"/>
      <c r="N89" s="703"/>
      <c r="O89" s="703"/>
      <c r="P89" s="703"/>
      <c r="Q89" s="553"/>
      <c r="R89" s="553"/>
      <c r="S89" s="553"/>
      <c r="T89" s="553"/>
      <c r="U89" s="553"/>
      <c r="V89" s="553"/>
      <c r="W89" s="553"/>
      <c r="X89" s="553"/>
      <c r="Y89" s="553"/>
      <c r="Z89" s="553"/>
      <c r="AA89" s="553"/>
      <c r="AB89" s="553"/>
      <c r="AC89" s="553"/>
      <c r="AD89" s="553"/>
      <c r="AE89" s="553"/>
      <c r="AF89" s="553"/>
      <c r="AG89" s="553"/>
      <c r="AH89" s="553"/>
      <c r="AI89" s="553"/>
      <c r="AJ89" s="553"/>
      <c r="AK89" s="553"/>
      <c r="AL89" s="553"/>
      <c r="AM89" s="553"/>
      <c r="AN89" s="553"/>
      <c r="AO89" s="553"/>
      <c r="AP89" s="553"/>
      <c r="AQ89" s="553"/>
      <c r="AR89" s="553"/>
      <c r="AS89" s="553"/>
      <c r="AT89" s="553"/>
      <c r="AU89" s="553"/>
      <c r="AV89" s="553"/>
      <c r="AW89" s="553"/>
      <c r="AX89" s="553"/>
      <c r="AY89" s="553"/>
    </row>
    <row r="90" spans="1:51" x14ac:dyDescent="0.45">
      <c r="A90" s="545"/>
      <c r="B90" s="651" t="s">
        <v>230</v>
      </c>
      <c r="C90" s="663">
        <v>0.03</v>
      </c>
      <c r="D90" s="1026" t="s">
        <v>22</v>
      </c>
      <c r="E90" s="1026"/>
      <c r="F90" s="1030">
        <v>0</v>
      </c>
      <c r="G90" s="550"/>
      <c r="H90" s="550"/>
      <c r="I90" s="550"/>
      <c r="J90" s="553"/>
      <c r="K90" s="553"/>
      <c r="L90" s="553"/>
      <c r="M90" s="548"/>
      <c r="N90" s="703"/>
      <c r="O90" s="703"/>
      <c r="P90" s="703"/>
      <c r="Q90" s="553"/>
      <c r="R90" s="553"/>
      <c r="S90" s="553"/>
      <c r="T90" s="553"/>
      <c r="U90" s="553"/>
      <c r="V90" s="553"/>
      <c r="W90" s="553"/>
      <c r="X90" s="553"/>
      <c r="Y90" s="553"/>
      <c r="Z90" s="553"/>
      <c r="AA90" s="553"/>
      <c r="AB90" s="553"/>
      <c r="AC90" s="553"/>
      <c r="AD90" s="553"/>
      <c r="AE90" s="553"/>
      <c r="AF90" s="553"/>
      <c r="AG90" s="553"/>
      <c r="AH90" s="553"/>
      <c r="AI90" s="553"/>
      <c r="AJ90" s="553"/>
      <c r="AK90" s="553"/>
      <c r="AL90" s="553"/>
      <c r="AM90" s="553"/>
      <c r="AN90" s="553"/>
      <c r="AO90" s="553"/>
      <c r="AP90" s="553"/>
      <c r="AQ90" s="553"/>
      <c r="AR90" s="553"/>
      <c r="AS90" s="553"/>
      <c r="AT90" s="553"/>
      <c r="AU90" s="553"/>
      <c r="AV90" s="553"/>
      <c r="AW90" s="553"/>
      <c r="AX90" s="553"/>
      <c r="AY90" s="553"/>
    </row>
    <row r="91" spans="1:51" x14ac:dyDescent="0.45">
      <c r="A91" s="545"/>
      <c r="B91" s="651"/>
      <c r="C91" s="663" t="s">
        <v>64</v>
      </c>
      <c r="D91" s="1027" t="s">
        <v>175</v>
      </c>
      <c r="E91" s="663"/>
      <c r="F91" s="663" t="s">
        <v>387</v>
      </c>
      <c r="G91" s="365"/>
      <c r="H91" s="365"/>
      <c r="I91" s="550"/>
      <c r="J91" s="553"/>
      <c r="K91" s="553"/>
      <c r="L91" s="553"/>
      <c r="M91" s="548"/>
      <c r="N91" s="703"/>
      <c r="O91" s="703"/>
      <c r="P91" s="703"/>
      <c r="Q91" s="553"/>
      <c r="R91" s="553"/>
      <c r="S91" s="553"/>
      <c r="T91" s="533"/>
      <c r="U91" s="553"/>
      <c r="V91" s="553"/>
      <c r="W91" s="801"/>
      <c r="X91" s="553"/>
      <c r="Y91" s="553"/>
      <c r="Z91" s="553"/>
      <c r="AA91" s="553"/>
      <c r="AB91" s="801"/>
      <c r="AC91" s="553"/>
      <c r="AD91" s="553"/>
      <c r="AE91" s="801"/>
      <c r="AF91" s="553"/>
      <c r="AG91" s="553"/>
      <c r="AH91" s="553"/>
      <c r="AI91" s="553"/>
      <c r="AJ91" s="553"/>
      <c r="AK91" s="553"/>
      <c r="AL91" s="553"/>
      <c r="AM91" s="553"/>
      <c r="AN91" s="553"/>
      <c r="AO91" s="553"/>
      <c r="AP91" s="553"/>
      <c r="AQ91" s="553"/>
      <c r="AR91" s="553"/>
      <c r="AS91" s="553"/>
      <c r="AT91" s="553"/>
      <c r="AU91" s="553"/>
      <c r="AV91" s="553"/>
      <c r="AW91" s="553"/>
      <c r="AX91" s="553"/>
      <c r="AY91" s="553"/>
    </row>
    <row r="92" spans="1:51" x14ac:dyDescent="0.45">
      <c r="A92" s="545"/>
      <c r="B92" s="651" t="s">
        <v>90</v>
      </c>
      <c r="C92" s="716">
        <f>IF(F90=1,F92,D82*C75*C89+E82*C79*C90)</f>
        <v>2643263.7000000002</v>
      </c>
      <c r="D92" s="1028">
        <f>C92/($C$74*1000000)</f>
        <v>4.7057724466038368E-3</v>
      </c>
      <c r="E92" s="663"/>
      <c r="F92" s="1031">
        <v>2643263.7000000002</v>
      </c>
      <c r="G92" s="550"/>
      <c r="H92" s="550"/>
      <c r="I92" s="550"/>
      <c r="J92" s="553"/>
      <c r="K92" s="553"/>
      <c r="L92" s="553"/>
      <c r="M92" s="548"/>
      <c r="N92" s="703"/>
      <c r="O92" s="703"/>
      <c r="P92" s="703"/>
      <c r="Q92" s="553"/>
      <c r="R92" s="553"/>
      <c r="S92" s="553"/>
      <c r="T92" s="533"/>
      <c r="U92" s="553"/>
      <c r="V92" s="553"/>
      <c r="W92" s="801"/>
      <c r="X92" s="553"/>
      <c r="Y92" s="553"/>
      <c r="Z92" s="553"/>
      <c r="AA92" s="548"/>
      <c r="AB92" s="553"/>
      <c r="AC92" s="553"/>
      <c r="AD92" s="553"/>
      <c r="AE92" s="801"/>
      <c r="AF92" s="553"/>
      <c r="AG92" s="553"/>
      <c r="AH92" s="553"/>
      <c r="AI92" s="553"/>
      <c r="AJ92" s="553"/>
      <c r="AK92" s="553"/>
      <c r="AL92" s="553"/>
      <c r="AM92" s="553"/>
      <c r="AN92" s="553"/>
      <c r="AO92" s="553"/>
      <c r="AP92" s="553"/>
      <c r="AQ92" s="553"/>
      <c r="AR92" s="548"/>
      <c r="AS92" s="553"/>
      <c r="AT92" s="553"/>
      <c r="AU92" s="553"/>
      <c r="AV92" s="553"/>
      <c r="AW92" s="553"/>
      <c r="AX92" s="553"/>
      <c r="AY92" s="553"/>
    </row>
    <row r="93" spans="1:51" x14ac:dyDescent="0.45">
      <c r="A93" s="545"/>
      <c r="B93" s="651" t="s">
        <v>30</v>
      </c>
      <c r="C93" s="716">
        <f>IF(F90=1,F93,D83*C76*C89+E83*C79*C90)</f>
        <v>3191027.4000000004</v>
      </c>
      <c r="D93" s="1028">
        <f>C93/($C$74*1000000)</f>
        <v>5.6809499616999552E-3</v>
      </c>
      <c r="E93" s="663"/>
      <c r="F93" s="1031">
        <v>3191027.4000000004</v>
      </c>
      <c r="G93" s="550"/>
      <c r="H93" s="550"/>
      <c r="I93" s="550"/>
      <c r="J93" s="553"/>
      <c r="K93" s="553"/>
      <c r="L93" s="553"/>
      <c r="M93" s="548"/>
      <c r="N93" s="703"/>
      <c r="O93" s="703"/>
      <c r="P93" s="703"/>
      <c r="Q93" s="553"/>
      <c r="R93" s="553"/>
      <c r="S93" s="553"/>
      <c r="T93" s="553"/>
      <c r="U93" s="553"/>
      <c r="V93" s="553"/>
      <c r="W93" s="801"/>
      <c r="X93" s="553"/>
      <c r="Y93" s="553"/>
      <c r="Z93" s="553"/>
      <c r="AA93" s="548"/>
      <c r="AB93" s="553"/>
      <c r="AC93" s="553"/>
      <c r="AD93" s="553"/>
      <c r="AE93" s="801"/>
      <c r="AF93" s="553"/>
      <c r="AG93" s="553"/>
      <c r="AH93" s="553"/>
      <c r="AI93" s="553"/>
      <c r="AJ93" s="553"/>
      <c r="AK93" s="553"/>
      <c r="AL93" s="553"/>
      <c r="AM93" s="553"/>
      <c r="AN93" s="553"/>
      <c r="AO93" s="553"/>
      <c r="AP93" s="553"/>
      <c r="AQ93" s="553"/>
      <c r="AR93" s="548"/>
      <c r="AS93" s="553"/>
      <c r="AT93" s="553"/>
      <c r="AU93" s="553"/>
      <c r="AV93" s="553"/>
      <c r="AW93" s="553"/>
      <c r="AX93" s="553"/>
      <c r="AY93" s="553"/>
    </row>
    <row r="94" spans="1:51" x14ac:dyDescent="0.45">
      <c r="A94" s="545"/>
      <c r="B94" s="651" t="s">
        <v>31</v>
      </c>
      <c r="C94" s="716">
        <f>IF(F90=1,F94,D84*C77*C89+E84*C79*C90)</f>
        <v>4517981.82</v>
      </c>
      <c r="D94" s="1028">
        <f>C94/($C$74*1000000)</f>
        <v>8.043311896127902E-3</v>
      </c>
      <c r="E94" s="663"/>
      <c r="F94" s="1031">
        <v>4517981.82</v>
      </c>
      <c r="G94" s="550"/>
      <c r="H94" s="550"/>
      <c r="I94" s="550"/>
      <c r="J94" s="553"/>
      <c r="K94" s="553"/>
      <c r="L94" s="553"/>
      <c r="M94" s="548"/>
      <c r="N94" s="703"/>
      <c r="O94" s="703"/>
      <c r="P94" s="703"/>
      <c r="Q94" s="553"/>
      <c r="R94" s="553"/>
      <c r="S94" s="553"/>
      <c r="T94" s="553"/>
      <c r="U94" s="553"/>
      <c r="V94" s="553"/>
      <c r="W94" s="801"/>
      <c r="X94" s="553"/>
      <c r="Y94" s="553"/>
      <c r="Z94" s="553"/>
      <c r="AA94" s="548"/>
      <c r="AB94" s="553"/>
      <c r="AC94" s="553"/>
      <c r="AD94" s="553"/>
      <c r="AE94" s="801"/>
      <c r="AF94" s="553"/>
      <c r="AG94" s="553"/>
      <c r="AH94" s="553"/>
      <c r="AI94" s="553"/>
      <c r="AJ94" s="553"/>
      <c r="AK94" s="553"/>
      <c r="AL94" s="553"/>
      <c r="AM94" s="553"/>
      <c r="AN94" s="553"/>
      <c r="AO94" s="553"/>
      <c r="AP94" s="553"/>
      <c r="AQ94" s="553"/>
      <c r="AR94" s="553"/>
      <c r="AS94" s="553"/>
      <c r="AT94" s="553"/>
      <c r="AU94" s="553"/>
      <c r="AV94" s="553"/>
      <c r="AW94" s="553"/>
      <c r="AX94" s="553"/>
      <c r="AY94" s="553"/>
    </row>
    <row r="95" spans="1:51" x14ac:dyDescent="0.45">
      <c r="A95" s="545"/>
      <c r="B95" s="651" t="s">
        <v>32</v>
      </c>
      <c r="C95" s="716">
        <f>IF(F90=1,F95,D85*C78*C89+E85*C79*C90)</f>
        <v>1934984.7000000002</v>
      </c>
      <c r="D95" s="1028">
        <f>C95/($C$74*1000000)</f>
        <v>3.4448313597542279E-3</v>
      </c>
      <c r="E95" s="663"/>
      <c r="F95" s="1031">
        <v>1934984.7000000002</v>
      </c>
      <c r="G95" s="550"/>
      <c r="H95" s="550"/>
      <c r="I95" s="756"/>
      <c r="J95" s="553"/>
      <c r="K95" s="553"/>
      <c r="L95" s="553"/>
      <c r="M95" s="548"/>
      <c r="N95" s="703"/>
      <c r="O95" s="703"/>
      <c r="P95" s="703"/>
      <c r="Q95" s="553"/>
      <c r="R95" s="553"/>
      <c r="S95" s="553"/>
      <c r="T95" s="553"/>
      <c r="U95" s="553"/>
      <c r="V95" s="553"/>
      <c r="W95" s="801"/>
      <c r="X95" s="553"/>
      <c r="Y95" s="553"/>
      <c r="Z95" s="553"/>
      <c r="AA95" s="548"/>
      <c r="AB95" s="553"/>
      <c r="AC95" s="553"/>
      <c r="AD95" s="553"/>
      <c r="AE95" s="801"/>
      <c r="AF95" s="553"/>
      <c r="AG95" s="553"/>
      <c r="AH95" s="553"/>
      <c r="AI95" s="553"/>
      <c r="AJ95" s="553"/>
      <c r="AK95" s="553"/>
      <c r="AL95" s="553"/>
      <c r="AM95" s="553"/>
      <c r="AN95" s="553"/>
      <c r="AO95" s="553"/>
      <c r="AP95" s="553"/>
      <c r="AQ95" s="553"/>
      <c r="AR95" s="553"/>
      <c r="AS95" s="553"/>
      <c r="AT95" s="553"/>
      <c r="AU95" s="553"/>
      <c r="AV95" s="553"/>
      <c r="AW95" s="553"/>
      <c r="AX95" s="553"/>
      <c r="AY95" s="553"/>
    </row>
    <row r="96" spans="1:51" x14ac:dyDescent="0.45">
      <c r="A96" s="545"/>
      <c r="B96" s="717"/>
      <c r="C96" s="718" t="s">
        <v>176</v>
      </c>
      <c r="D96" s="1029">
        <f>SUM(D92:D95)</f>
        <v>2.1874865664185922E-2</v>
      </c>
      <c r="E96" s="1032"/>
      <c r="F96" s="1033"/>
      <c r="G96" s="550"/>
      <c r="H96" s="550"/>
      <c r="I96" s="756"/>
      <c r="J96" s="553"/>
      <c r="K96" s="553"/>
      <c r="L96" s="553"/>
      <c r="M96" s="548"/>
      <c r="N96" s="703"/>
      <c r="O96" s="703"/>
      <c r="P96" s="703"/>
      <c r="Q96" s="553"/>
      <c r="R96" s="553"/>
      <c r="S96" s="553"/>
      <c r="T96" s="553"/>
      <c r="U96" s="553"/>
      <c r="V96" s="553"/>
      <c r="W96" s="801"/>
      <c r="X96" s="553"/>
      <c r="Y96" s="553"/>
      <c r="Z96" s="553"/>
      <c r="AA96" s="548"/>
      <c r="AB96" s="553"/>
      <c r="AC96" s="553"/>
      <c r="AD96" s="553"/>
      <c r="AE96" s="801"/>
      <c r="AF96" s="553"/>
      <c r="AG96" s="553"/>
      <c r="AH96" s="553"/>
      <c r="AI96" s="553"/>
      <c r="AJ96" s="553"/>
      <c r="AK96" s="553"/>
      <c r="AL96" s="553"/>
      <c r="AM96" s="553"/>
      <c r="AN96" s="553"/>
      <c r="AO96" s="553"/>
      <c r="AP96" s="553"/>
      <c r="AQ96" s="553"/>
      <c r="AR96" s="553"/>
      <c r="AS96" s="553"/>
      <c r="AT96" s="553"/>
      <c r="AU96" s="553"/>
      <c r="AV96" s="553"/>
      <c r="AW96" s="553"/>
      <c r="AX96" s="553"/>
      <c r="AY96" s="553"/>
    </row>
    <row r="97" spans="1:51" x14ac:dyDescent="0.45">
      <c r="A97" s="545"/>
      <c r="B97" s="550"/>
      <c r="C97" s="550"/>
      <c r="D97" s="550"/>
      <c r="E97" s="550"/>
      <c r="F97" s="550"/>
      <c r="G97" s="550"/>
      <c r="H97" s="550"/>
      <c r="I97" s="756"/>
      <c r="J97" s="553"/>
      <c r="K97" s="553"/>
      <c r="L97" s="553"/>
      <c r="M97" s="548"/>
      <c r="N97" s="703"/>
      <c r="O97" s="703"/>
      <c r="P97" s="703"/>
      <c r="Q97" s="553"/>
      <c r="R97" s="553"/>
      <c r="S97" s="553"/>
      <c r="T97" s="553"/>
      <c r="U97" s="553"/>
      <c r="V97" s="553"/>
      <c r="W97" s="801"/>
      <c r="X97" s="553"/>
      <c r="Y97" s="553"/>
      <c r="Z97" s="553"/>
      <c r="AA97" s="548"/>
      <c r="AB97" s="553"/>
      <c r="AC97" s="553"/>
      <c r="AD97" s="553"/>
      <c r="AE97" s="801"/>
      <c r="AF97" s="553"/>
      <c r="AG97" s="553"/>
      <c r="AH97" s="553"/>
      <c r="AI97" s="553"/>
      <c r="AJ97" s="553"/>
      <c r="AK97" s="553"/>
      <c r="AL97" s="553"/>
      <c r="AM97" s="553"/>
      <c r="AN97" s="553"/>
      <c r="AO97" s="553"/>
      <c r="AP97" s="553"/>
      <c r="AQ97" s="553"/>
      <c r="AR97" s="553"/>
      <c r="AS97" s="553"/>
      <c r="AT97" s="553"/>
      <c r="AU97" s="553"/>
      <c r="AV97" s="553"/>
      <c r="AW97" s="553"/>
      <c r="AX97" s="553"/>
      <c r="AY97" s="553"/>
    </row>
    <row r="98" spans="1:51" x14ac:dyDescent="0.45">
      <c r="A98" s="545"/>
      <c r="B98" s="602" t="s">
        <v>25</v>
      </c>
      <c r="C98" s="603"/>
      <c r="D98" s="488"/>
      <c r="E98" s="488"/>
      <c r="F98" s="488"/>
      <c r="G98" s="494"/>
      <c r="H98" s="488"/>
      <c r="I98" s="604"/>
      <c r="Q98" s="553"/>
      <c r="R98" s="553"/>
      <c r="S98" s="553"/>
      <c r="T98" s="553"/>
      <c r="U98" s="553"/>
      <c r="V98" s="553"/>
      <c r="W98" s="801"/>
      <c r="X98" s="553"/>
      <c r="Y98" s="553"/>
      <c r="Z98" s="553"/>
      <c r="AA98" s="548"/>
      <c r="AB98" s="553"/>
      <c r="AC98" s="553"/>
      <c r="AD98" s="553"/>
      <c r="AE98" s="801"/>
      <c r="AF98" s="553"/>
      <c r="AG98" s="553"/>
      <c r="AH98" s="553"/>
      <c r="AI98" s="553"/>
      <c r="AJ98" s="553"/>
      <c r="AK98" s="553"/>
      <c r="AL98" s="553"/>
      <c r="AM98" s="553"/>
      <c r="AN98" s="553"/>
      <c r="AO98" s="553"/>
      <c r="AP98" s="553"/>
      <c r="AQ98" s="553"/>
      <c r="AR98" s="553"/>
      <c r="AS98" s="553"/>
      <c r="AT98" s="553"/>
      <c r="AU98" s="553"/>
      <c r="AV98" s="553"/>
      <c r="AW98" s="553"/>
      <c r="AX98" s="553"/>
      <c r="AY98" s="553"/>
    </row>
    <row r="99" spans="1:51" x14ac:dyDescent="0.45">
      <c r="A99" s="545"/>
      <c r="B99" s="588"/>
      <c r="C99" s="704" t="s">
        <v>210</v>
      </c>
      <c r="D99" s="586" t="s">
        <v>194</v>
      </c>
      <c r="E99" s="586" t="s">
        <v>195</v>
      </c>
      <c r="F99" s="586" t="s">
        <v>327</v>
      </c>
      <c r="G99" s="495" t="s">
        <v>200</v>
      </c>
      <c r="H99" s="586" t="s">
        <v>201</v>
      </c>
      <c r="I99" s="597" t="s">
        <v>202</v>
      </c>
      <c r="Q99" s="553"/>
      <c r="R99" s="553"/>
      <c r="S99" s="553"/>
      <c r="T99" s="548"/>
      <c r="U99" s="553"/>
      <c r="V99" s="553"/>
      <c r="W99" s="801"/>
      <c r="X99" s="553"/>
      <c r="Y99" s="553"/>
      <c r="Z99" s="553"/>
      <c r="AA99" s="548"/>
      <c r="AB99" s="553"/>
      <c r="AC99" s="553"/>
      <c r="AD99" s="553"/>
      <c r="AE99" s="801"/>
      <c r="AF99" s="553"/>
      <c r="AG99" s="553"/>
      <c r="AH99" s="553"/>
      <c r="AI99" s="553"/>
      <c r="AJ99" s="553"/>
      <c r="AK99" s="553"/>
      <c r="AL99" s="553"/>
      <c r="AM99" s="553"/>
      <c r="AN99" s="553"/>
      <c r="AO99" s="553"/>
      <c r="AP99" s="553"/>
      <c r="AQ99" s="553"/>
      <c r="AR99" s="553"/>
      <c r="AS99" s="553"/>
      <c r="AT99" s="553"/>
      <c r="AU99" s="553"/>
      <c r="AV99" s="553"/>
      <c r="AW99" s="553"/>
      <c r="AX99" s="553"/>
      <c r="AY99" s="553"/>
    </row>
    <row r="100" spans="1:51" x14ac:dyDescent="0.45">
      <c r="A100" s="545"/>
      <c r="B100" s="588" t="s">
        <v>90</v>
      </c>
      <c r="C100" s="704">
        <f>70/1.35</f>
        <v>51.851851851851848</v>
      </c>
      <c r="D100" s="532">
        <f>16/1.35</f>
        <v>11.851851851851851</v>
      </c>
      <c r="E100" s="532">
        <f>0.05*(C100+D100)</f>
        <v>3.1851851851851851</v>
      </c>
      <c r="F100" s="704">
        <f>C100*$C$12*$C$15+D100*$C$13*$C$15+E100*$C$14*$C$15</f>
        <v>1434.9465370370367</v>
      </c>
      <c r="G100" s="688">
        <f>F100/$C$73</f>
        <v>2.2378463123722794E-2</v>
      </c>
      <c r="H100" s="596">
        <f>SUM(C100:E100)/$C$74</f>
        <v>0.1190815317886289</v>
      </c>
      <c r="I100" s="496">
        <f>SUM(C100:E100)*4/$C$74</f>
        <v>0.47632612715451561</v>
      </c>
      <c r="Q100" s="553"/>
      <c r="R100" s="553"/>
      <c r="S100" s="553"/>
      <c r="T100" s="553"/>
      <c r="U100" s="553"/>
      <c r="V100" s="553"/>
      <c r="W100" s="801"/>
      <c r="X100" s="553"/>
      <c r="Y100" s="553"/>
      <c r="Z100" s="553"/>
      <c r="AA100" s="548"/>
      <c r="AB100" s="553"/>
      <c r="AC100" s="553"/>
      <c r="AD100" s="553"/>
      <c r="AE100" s="801"/>
      <c r="AF100" s="553"/>
      <c r="AG100" s="553"/>
      <c r="AH100" s="553"/>
      <c r="AI100" s="553"/>
      <c r="AJ100" s="553"/>
      <c r="AK100" s="553"/>
      <c r="AL100" s="553"/>
      <c r="AM100" s="553"/>
      <c r="AN100" s="553"/>
      <c r="AO100" s="553"/>
      <c r="AP100" s="553"/>
      <c r="AQ100" s="553"/>
      <c r="AR100" s="553"/>
      <c r="AS100" s="553"/>
      <c r="AT100" s="553"/>
      <c r="AU100" s="553"/>
      <c r="AV100" s="553"/>
      <c r="AW100" s="553"/>
      <c r="AX100" s="553"/>
      <c r="AY100" s="553"/>
    </row>
    <row r="101" spans="1:51" x14ac:dyDescent="0.45">
      <c r="A101" s="545"/>
      <c r="B101" s="588" t="s">
        <v>30</v>
      </c>
      <c r="C101" s="704">
        <f>39/1.32</f>
        <v>29.545454545454543</v>
      </c>
      <c r="D101" s="532">
        <f>8/1.32</f>
        <v>6.0606060606060606</v>
      </c>
      <c r="E101" s="532">
        <f>0.05*(C101+D101)</f>
        <v>1.7803030303030303</v>
      </c>
      <c r="F101" s="704">
        <f>C101*$C$12*$C$15+D101*$C$13*$C$15+E101*$C$14*$C$15</f>
        <v>797.47383522727262</v>
      </c>
      <c r="G101" s="688">
        <f>F101/$C$73</f>
        <v>1.2436866707673504E-2</v>
      </c>
      <c r="H101" s="596">
        <f>SUM(C101:E101)/$C$74</f>
        <v>6.6558520013993164E-2</v>
      </c>
      <c r="I101" s="496">
        <f>SUM(C101:E101)*4/$C$74</f>
        <v>0.26623408005597266</v>
      </c>
      <c r="Q101" s="553"/>
      <c r="R101" s="553"/>
      <c r="S101" s="553"/>
      <c r="T101" s="548"/>
      <c r="U101" s="553"/>
      <c r="V101" s="553"/>
      <c r="W101" s="801"/>
      <c r="X101" s="553"/>
      <c r="Y101" s="553"/>
      <c r="Z101" s="553"/>
      <c r="AA101" s="548"/>
      <c r="AB101" s="553"/>
      <c r="AC101" s="553"/>
      <c r="AD101" s="553"/>
      <c r="AE101" s="801"/>
      <c r="AF101" s="553"/>
      <c r="AG101" s="553"/>
      <c r="AH101" s="553"/>
      <c r="AI101" s="553"/>
      <c r="AJ101" s="553"/>
      <c r="AK101" s="553"/>
      <c r="AL101" s="553"/>
      <c r="AM101" s="553"/>
      <c r="AN101" s="553"/>
      <c r="AO101" s="553"/>
      <c r="AP101" s="553"/>
      <c r="AQ101" s="553"/>
      <c r="AR101" s="553"/>
      <c r="AS101" s="553"/>
      <c r="AT101" s="553"/>
      <c r="AU101" s="553"/>
      <c r="AV101" s="553"/>
      <c r="AW101" s="553"/>
      <c r="AX101" s="553"/>
      <c r="AY101" s="553"/>
    </row>
    <row r="102" spans="1:51" x14ac:dyDescent="0.45">
      <c r="A102" s="545"/>
      <c r="B102" s="588" t="s">
        <v>31</v>
      </c>
      <c r="C102" s="704">
        <f>62/2/1.48</f>
        <v>20.945945945945947</v>
      </c>
      <c r="D102" s="532">
        <f>16/1.48</f>
        <v>10.810810810810811</v>
      </c>
      <c r="E102" s="532">
        <f>0.05*(C102+D102)</f>
        <v>1.5878378378378379</v>
      </c>
      <c r="F102" s="704">
        <f>C102*$C$12*$C$15+D102*$C$13*$C$15+E102*$C$14*$C$15</f>
        <v>755.02125844594593</v>
      </c>
      <c r="G102" s="688">
        <f>F102/$C$73</f>
        <v>1.1774804812343527E-2</v>
      </c>
      <c r="H102" s="596">
        <f>SUM(C102:E102)/$C$74</f>
        <v>5.936300433680472E-2</v>
      </c>
      <c r="I102" s="496">
        <f>SUM(C102:E102)*4/$C$74</f>
        <v>0.23745201734721888</v>
      </c>
      <c r="Q102" s="553"/>
      <c r="R102" s="553"/>
      <c r="S102" s="553"/>
      <c r="T102" s="548"/>
      <c r="U102" s="553"/>
      <c r="V102" s="553"/>
      <c r="W102" s="553"/>
      <c r="X102" s="553"/>
      <c r="Y102" s="553"/>
      <c r="Z102" s="553"/>
      <c r="AA102" s="548"/>
      <c r="AB102" s="553"/>
      <c r="AC102" s="553"/>
      <c r="AD102" s="553"/>
      <c r="AE102" s="801"/>
      <c r="AF102" s="553"/>
      <c r="AG102" s="553"/>
      <c r="AH102" s="553"/>
      <c r="AI102" s="553"/>
      <c r="AJ102" s="553"/>
      <c r="AK102" s="553"/>
      <c r="AL102" s="553"/>
      <c r="AM102" s="553"/>
      <c r="AN102" s="553"/>
      <c r="AO102" s="553"/>
      <c r="AP102" s="553"/>
      <c r="AQ102" s="553"/>
      <c r="AR102" s="553"/>
      <c r="AS102" s="553"/>
      <c r="AT102" s="553"/>
      <c r="AU102" s="553"/>
      <c r="AV102" s="553"/>
      <c r="AW102" s="553"/>
      <c r="AX102" s="553"/>
      <c r="AY102" s="553"/>
    </row>
    <row r="103" spans="1:51" x14ac:dyDescent="0.45">
      <c r="A103" s="545"/>
      <c r="B103" s="588" t="s">
        <v>32</v>
      </c>
      <c r="C103" s="704">
        <f>58/2/1.65</f>
        <v>17.575757575757578</v>
      </c>
      <c r="D103" s="532">
        <f>16/1.65</f>
        <v>9.6969696969696972</v>
      </c>
      <c r="E103" s="532">
        <f>0.05*(C103+D103)</f>
        <v>1.3636363636363638</v>
      </c>
      <c r="F103" s="704">
        <f>C103*$C$12*$C$15+D103*$C$13*$C$15+E103*$C$14*$C$15</f>
        <v>651.75344696969694</v>
      </c>
      <c r="G103" s="688">
        <f>F103/$C$73</f>
        <v>1.0164309333006272E-2</v>
      </c>
      <c r="H103" s="596">
        <f>SUM(C103:E103)/$C$74</f>
        <v>5.0980994053271361E-2</v>
      </c>
      <c r="I103" s="496">
        <f>SUM(C103:E103)*4/$C$74</f>
        <v>0.20392397621308544</v>
      </c>
      <c r="Q103" s="553"/>
      <c r="R103" s="553"/>
      <c r="S103" s="553"/>
      <c r="T103" s="548"/>
      <c r="U103" s="553"/>
      <c r="V103" s="553"/>
      <c r="W103" s="553"/>
      <c r="X103" s="553"/>
      <c r="Y103" s="553"/>
      <c r="Z103" s="553"/>
      <c r="AA103" s="553"/>
      <c r="AB103" s="553"/>
      <c r="AC103" s="553"/>
      <c r="AD103" s="553"/>
      <c r="AE103" s="801"/>
      <c r="AF103" s="553"/>
      <c r="AG103" s="553"/>
      <c r="AH103" s="553"/>
      <c r="AI103" s="553"/>
      <c r="AJ103" s="553"/>
      <c r="AK103" s="553"/>
      <c r="AL103" s="553"/>
      <c r="AM103" s="553"/>
      <c r="AN103" s="553"/>
      <c r="AO103" s="553"/>
      <c r="AP103" s="553"/>
      <c r="AQ103" s="553"/>
      <c r="AR103" s="553"/>
      <c r="AS103" s="553"/>
      <c r="AT103" s="553"/>
      <c r="AU103" s="553"/>
      <c r="AV103" s="553"/>
      <c r="AW103" s="553"/>
      <c r="AX103" s="553"/>
      <c r="AY103" s="553"/>
    </row>
    <row r="104" spans="1:51" x14ac:dyDescent="0.45">
      <c r="A104" s="545"/>
      <c r="B104" s="489" t="s">
        <v>3</v>
      </c>
      <c r="C104" s="490">
        <f>SUM(C100:C103)</f>
        <v>119.91900991900992</v>
      </c>
      <c r="D104" s="490">
        <f t="shared" ref="D104:I104" si="3">SUM(D100:D103)</f>
        <v>38.42023842023842</v>
      </c>
      <c r="E104" s="490">
        <f t="shared" si="3"/>
        <v>7.9169624169624164</v>
      </c>
      <c r="F104" s="491">
        <f t="shared" si="3"/>
        <v>3639.1950776799522</v>
      </c>
      <c r="G104" s="689">
        <f>SUM(G100:G103)</f>
        <v>5.6754443976746095E-2</v>
      </c>
      <c r="H104" s="492">
        <f t="shared" si="3"/>
        <v>0.29598405019269813</v>
      </c>
      <c r="I104" s="493">
        <f t="shared" si="3"/>
        <v>1.1839362007707925</v>
      </c>
      <c r="Q104" s="553"/>
      <c r="R104" s="553"/>
      <c r="S104" s="553"/>
      <c r="T104" s="548"/>
      <c r="U104" s="553"/>
      <c r="V104" s="553"/>
      <c r="W104" s="553"/>
      <c r="X104" s="553"/>
      <c r="Y104" s="553"/>
      <c r="Z104" s="553"/>
      <c r="AA104" s="553"/>
      <c r="AB104" s="553"/>
      <c r="AC104" s="553"/>
      <c r="AD104" s="553"/>
      <c r="AE104" s="801"/>
      <c r="AF104" s="553"/>
      <c r="AG104" s="553"/>
      <c r="AH104" s="553"/>
      <c r="AI104" s="553"/>
      <c r="AJ104" s="553"/>
      <c r="AK104" s="553"/>
      <c r="AL104" s="553"/>
      <c r="AM104" s="553"/>
      <c r="AN104" s="553"/>
      <c r="AO104" s="553"/>
      <c r="AP104" s="553"/>
      <c r="AQ104" s="553"/>
      <c r="AR104" s="553"/>
      <c r="AS104" s="553"/>
      <c r="AT104" s="553"/>
      <c r="AU104" s="553"/>
      <c r="AV104" s="553"/>
      <c r="AW104" s="553"/>
      <c r="AX104" s="553"/>
      <c r="AY104" s="553"/>
    </row>
    <row r="105" spans="1:51" x14ac:dyDescent="0.45">
      <c r="A105" s="545"/>
      <c r="Q105" s="553"/>
      <c r="R105" s="553"/>
      <c r="S105" s="553"/>
      <c r="T105" s="548"/>
      <c r="U105" s="553"/>
      <c r="V105" s="553"/>
      <c r="W105" s="553"/>
      <c r="X105" s="553"/>
      <c r="Y105" s="553"/>
      <c r="Z105" s="553"/>
      <c r="AA105" s="553"/>
      <c r="AB105" s="553"/>
      <c r="AC105" s="553"/>
      <c r="AD105" s="553"/>
      <c r="AE105" s="801"/>
      <c r="AF105" s="553"/>
      <c r="AG105" s="553"/>
      <c r="AH105" s="553"/>
      <c r="AI105" s="553"/>
      <c r="AJ105" s="553"/>
      <c r="AK105" s="553"/>
      <c r="AL105" s="553"/>
      <c r="AM105" s="553"/>
      <c r="AN105" s="553"/>
      <c r="AO105" s="553"/>
      <c r="AP105" s="553"/>
      <c r="AQ105" s="553"/>
      <c r="AR105" s="553"/>
      <c r="AS105" s="553"/>
      <c r="AT105" s="553"/>
      <c r="AU105" s="553"/>
      <c r="AV105" s="553"/>
      <c r="AW105" s="553"/>
      <c r="AX105" s="553"/>
      <c r="AY105" s="553"/>
    </row>
    <row r="106" spans="1:51" x14ac:dyDescent="0.45">
      <c r="A106" s="545"/>
      <c r="B106" s="735" t="s">
        <v>207</v>
      </c>
      <c r="C106" s="736"/>
      <c r="D106" s="737"/>
      <c r="Q106" s="553"/>
      <c r="R106" s="553"/>
      <c r="S106" s="394"/>
      <c r="T106" s="374"/>
      <c r="U106" s="394"/>
      <c r="V106" s="394"/>
      <c r="W106" s="394"/>
      <c r="X106" s="394"/>
      <c r="Y106" s="394"/>
      <c r="Z106" s="394"/>
      <c r="AA106" s="394"/>
      <c r="AB106" s="394"/>
      <c r="AC106" s="394"/>
      <c r="AD106" s="394"/>
      <c r="AE106" s="394"/>
      <c r="AF106" s="394"/>
      <c r="AG106" s="394"/>
      <c r="AH106" s="394"/>
      <c r="AI106" s="553"/>
      <c r="AJ106" s="553"/>
      <c r="AK106" s="553"/>
      <c r="AL106" s="553"/>
      <c r="AM106" s="553"/>
      <c r="AN106" s="553"/>
      <c r="AO106" s="553"/>
      <c r="AP106" s="553"/>
      <c r="AQ106" s="553"/>
      <c r="AR106" s="553"/>
      <c r="AS106" s="553"/>
      <c r="AT106" s="553"/>
      <c r="AU106" s="553"/>
      <c r="AV106" s="553"/>
      <c r="AW106" s="553"/>
      <c r="AX106" s="553"/>
      <c r="AY106" s="553"/>
    </row>
    <row r="107" spans="1:51" x14ac:dyDescent="0.45">
      <c r="A107" s="545"/>
      <c r="B107" s="672" t="s">
        <v>204</v>
      </c>
      <c r="C107" s="670">
        <v>1000</v>
      </c>
      <c r="D107" s="683" t="s">
        <v>205</v>
      </c>
      <c r="Q107" s="553"/>
      <c r="R107" s="553"/>
      <c r="S107" s="553"/>
      <c r="T107" s="553"/>
      <c r="U107" s="553"/>
      <c r="V107" s="553"/>
      <c r="W107" s="553"/>
      <c r="X107" s="553"/>
      <c r="Y107" s="553"/>
      <c r="Z107" s="553"/>
      <c r="AA107" s="553"/>
      <c r="AB107" s="553"/>
      <c r="AC107" s="553"/>
      <c r="AD107" s="553"/>
      <c r="AE107" s="553"/>
      <c r="AF107" s="553"/>
      <c r="AG107" s="553"/>
      <c r="AH107" s="553"/>
      <c r="AI107" s="553"/>
      <c r="AJ107" s="553"/>
      <c r="AK107" s="553"/>
      <c r="AL107" s="553"/>
      <c r="AM107" s="553"/>
      <c r="AN107" s="553"/>
      <c r="AO107" s="553"/>
      <c r="AP107" s="553"/>
      <c r="AQ107" s="553"/>
      <c r="AR107" s="553"/>
      <c r="AS107" s="553"/>
      <c r="AT107" s="553"/>
      <c r="AU107" s="553"/>
      <c r="AV107" s="553"/>
      <c r="AW107" s="553"/>
      <c r="AX107" s="553"/>
      <c r="AY107" s="553"/>
    </row>
    <row r="108" spans="1:51" x14ac:dyDescent="0.45">
      <c r="A108" s="545"/>
      <c r="B108" s="672" t="s">
        <v>206</v>
      </c>
      <c r="C108" s="370">
        <f>0.7143*C107+953.57</f>
        <v>1667.8700000000001</v>
      </c>
      <c r="D108" s="683" t="s">
        <v>259</v>
      </c>
      <c r="Q108" s="553"/>
      <c r="R108" s="553"/>
      <c r="S108" s="553"/>
      <c r="T108" s="553"/>
      <c r="U108" s="553"/>
      <c r="V108" s="553"/>
      <c r="W108" s="553"/>
      <c r="X108" s="553"/>
      <c r="Y108" s="553"/>
      <c r="Z108" s="553"/>
      <c r="AA108" s="553"/>
      <c r="AB108" s="553"/>
      <c r="AC108" s="553"/>
      <c r="AD108" s="553"/>
      <c r="AE108" s="553"/>
      <c r="AF108" s="553"/>
      <c r="AG108" s="553"/>
      <c r="AH108" s="553"/>
      <c r="AI108" s="553"/>
      <c r="AJ108" s="553"/>
      <c r="AK108" s="553"/>
      <c r="AL108" s="553"/>
      <c r="AM108" s="553"/>
      <c r="AN108" s="553"/>
      <c r="AO108" s="553"/>
      <c r="AP108" s="553"/>
      <c r="AQ108" s="553"/>
      <c r="AR108" s="553"/>
      <c r="AS108" s="553"/>
      <c r="AT108" s="553"/>
      <c r="AU108" s="553"/>
      <c r="AV108" s="553"/>
      <c r="AW108" s="553"/>
      <c r="AX108" s="553"/>
      <c r="AY108" s="553"/>
    </row>
    <row r="109" spans="1:51" x14ac:dyDescent="0.45">
      <c r="A109" s="545"/>
      <c r="B109" s="672" t="s">
        <v>347</v>
      </c>
      <c r="C109" s="929">
        <f>C108/C107*C25/1000</f>
        <v>9.755115933240162E-4</v>
      </c>
      <c r="D109" s="932" t="s">
        <v>138</v>
      </c>
      <c r="Q109" s="553"/>
      <c r="R109" s="553"/>
      <c r="S109" s="553"/>
      <c r="T109" s="553"/>
      <c r="U109" s="553"/>
      <c r="V109" s="553"/>
      <c r="W109" s="553"/>
      <c r="X109" s="553"/>
      <c r="Y109" s="553"/>
      <c r="Z109" s="553"/>
      <c r="AA109" s="553"/>
      <c r="AB109" s="553"/>
      <c r="AC109" s="553"/>
      <c r="AD109" s="553"/>
      <c r="AE109" s="553"/>
      <c r="AF109" s="553"/>
      <c r="AG109" s="553"/>
      <c r="AH109" s="553"/>
      <c r="AI109" s="553"/>
      <c r="AJ109" s="553"/>
      <c r="AK109" s="553"/>
      <c r="AL109" s="553"/>
      <c r="AM109" s="553"/>
      <c r="AN109" s="553"/>
      <c r="AO109" s="553"/>
      <c r="AP109" s="553"/>
      <c r="AQ109" s="553"/>
      <c r="AR109" s="553"/>
      <c r="AS109" s="553"/>
      <c r="AT109" s="553"/>
      <c r="AU109" s="553"/>
      <c r="AV109" s="553"/>
      <c r="AW109" s="553"/>
      <c r="AX109" s="553"/>
      <c r="AY109" s="553"/>
    </row>
    <row r="110" spans="1:51" x14ac:dyDescent="0.45">
      <c r="A110" s="545"/>
      <c r="B110" s="672" t="s">
        <v>339</v>
      </c>
      <c r="C110" s="669">
        <f>$C$148*$C$149*$C$150</f>
        <v>0.96042374999999991</v>
      </c>
      <c r="D110" s="683" t="s">
        <v>22</v>
      </c>
      <c r="Q110" s="553"/>
      <c r="R110" s="553"/>
      <c r="S110" s="553"/>
      <c r="T110" s="553"/>
      <c r="U110" s="553"/>
      <c r="V110" s="553"/>
      <c r="W110" s="553"/>
      <c r="X110" s="553"/>
      <c r="Y110" s="553"/>
      <c r="Z110" s="553"/>
      <c r="AA110" s="553"/>
      <c r="AB110" s="553"/>
      <c r="AC110" s="553"/>
      <c r="AD110" s="553"/>
      <c r="AE110" s="553"/>
      <c r="AF110" s="553"/>
      <c r="AG110" s="553"/>
      <c r="AH110" s="553"/>
      <c r="AI110" s="553"/>
      <c r="AJ110" s="553"/>
      <c r="AK110" s="553"/>
      <c r="AL110" s="553"/>
      <c r="AM110" s="553"/>
      <c r="AN110" s="553"/>
      <c r="AO110" s="553"/>
      <c r="AP110" s="553"/>
      <c r="AQ110" s="553"/>
      <c r="AR110" s="553"/>
      <c r="AS110" s="553"/>
      <c r="AT110" s="553"/>
      <c r="AU110" s="553"/>
      <c r="AV110" s="553"/>
      <c r="AW110" s="553"/>
      <c r="AX110" s="553"/>
      <c r="AY110" s="553"/>
    </row>
    <row r="111" spans="1:51" x14ac:dyDescent="0.45">
      <c r="A111" s="545"/>
      <c r="B111" s="925" t="s">
        <v>206</v>
      </c>
      <c r="C111" s="503">
        <f>C109/C110</f>
        <v>1.0157095691605048E-3</v>
      </c>
      <c r="D111" s="738" t="s">
        <v>138</v>
      </c>
      <c r="Q111" s="553"/>
      <c r="R111" s="553"/>
      <c r="S111" s="553"/>
      <c r="T111" s="553"/>
      <c r="U111" s="553"/>
      <c r="V111" s="553"/>
      <c r="W111" s="553"/>
      <c r="X111" s="553"/>
      <c r="Y111" s="553"/>
      <c r="Z111" s="553"/>
      <c r="AA111" s="553"/>
      <c r="AB111" s="553"/>
      <c r="AC111" s="553"/>
      <c r="AD111" s="553"/>
      <c r="AE111" s="553"/>
      <c r="AF111" s="553"/>
      <c r="AG111" s="553"/>
      <c r="AH111" s="553"/>
      <c r="AI111" s="553"/>
      <c r="AJ111" s="553"/>
      <c r="AK111" s="553"/>
      <c r="AL111" s="553"/>
      <c r="AM111" s="553"/>
      <c r="AN111" s="553"/>
      <c r="AO111" s="553"/>
      <c r="AP111" s="553"/>
      <c r="AQ111" s="553"/>
      <c r="AR111" s="553"/>
      <c r="AS111" s="553"/>
      <c r="AT111" s="553"/>
      <c r="AU111" s="553"/>
      <c r="AV111" s="553"/>
      <c r="AW111" s="553"/>
      <c r="AX111" s="553"/>
      <c r="AY111" s="553"/>
    </row>
    <row r="112" spans="1:51" x14ac:dyDescent="0.45">
      <c r="A112" s="545"/>
      <c r="Q112" s="553"/>
      <c r="R112" s="553"/>
      <c r="S112" s="553"/>
      <c r="T112" s="553"/>
      <c r="U112" s="553"/>
      <c r="V112" s="553"/>
      <c r="W112" s="553"/>
      <c r="X112" s="553"/>
      <c r="Y112" s="553"/>
      <c r="Z112" s="553"/>
      <c r="AA112" s="553"/>
      <c r="AB112" s="553"/>
      <c r="AC112" s="553"/>
      <c r="AD112" s="553"/>
      <c r="AE112" s="553"/>
      <c r="AF112" s="553"/>
      <c r="AG112" s="553"/>
      <c r="AH112" s="553"/>
      <c r="AI112" s="553"/>
      <c r="AJ112" s="553"/>
      <c r="AK112" s="553"/>
      <c r="AL112" s="553"/>
      <c r="AM112" s="553"/>
      <c r="AN112" s="553"/>
      <c r="AO112" s="553"/>
      <c r="AP112" s="553"/>
      <c r="AQ112" s="553"/>
      <c r="AR112" s="553"/>
      <c r="AS112" s="553"/>
      <c r="AT112" s="553"/>
      <c r="AU112" s="553"/>
      <c r="AV112" s="553"/>
      <c r="AW112" s="553"/>
      <c r="AX112" s="553"/>
      <c r="AY112" s="553"/>
    </row>
    <row r="113" spans="1:51" x14ac:dyDescent="0.45">
      <c r="A113" s="545"/>
      <c r="B113" s="366" t="s">
        <v>208</v>
      </c>
      <c r="C113" s="367"/>
      <c r="D113" s="368"/>
      <c r="Q113" s="553"/>
      <c r="R113" s="553"/>
      <c r="S113" s="553"/>
      <c r="T113" s="553"/>
      <c r="U113" s="553"/>
      <c r="V113" s="553"/>
      <c r="W113" s="553"/>
      <c r="X113" s="553"/>
      <c r="Y113" s="553"/>
      <c r="Z113" s="553"/>
      <c r="AA113" s="553"/>
      <c r="AB113" s="553"/>
      <c r="AC113" s="553"/>
      <c r="AD113" s="553"/>
      <c r="AE113" s="553"/>
      <c r="AF113" s="553"/>
      <c r="AG113" s="553"/>
      <c r="AH113" s="553"/>
      <c r="AI113" s="553"/>
      <c r="AJ113" s="553"/>
      <c r="AK113" s="553"/>
      <c r="AL113" s="553"/>
      <c r="AM113" s="553"/>
      <c r="AN113" s="553"/>
      <c r="AO113" s="553"/>
      <c r="AP113" s="553"/>
      <c r="AQ113" s="553"/>
      <c r="AR113" s="553"/>
      <c r="AS113" s="553"/>
      <c r="AT113" s="553"/>
      <c r="AU113" s="553"/>
      <c r="AV113" s="553"/>
      <c r="AW113" s="553"/>
      <c r="AX113" s="553"/>
      <c r="AY113" s="553"/>
    </row>
    <row r="114" spans="1:51" x14ac:dyDescent="0.45">
      <c r="A114" s="545"/>
      <c r="B114" s="505" t="s">
        <v>212</v>
      </c>
      <c r="C114" s="367">
        <v>0.9</v>
      </c>
      <c r="D114" s="368" t="s">
        <v>211</v>
      </c>
      <c r="Q114" s="553"/>
      <c r="R114" s="553"/>
      <c r="S114" s="553"/>
      <c r="T114" s="553"/>
      <c r="U114" s="553"/>
      <c r="V114" s="553"/>
      <c r="W114" s="553"/>
      <c r="X114" s="553"/>
      <c r="Y114" s="553"/>
      <c r="Z114" s="553"/>
      <c r="AA114" s="553"/>
      <c r="AB114" s="553"/>
      <c r="AC114" s="553"/>
      <c r="AD114" s="553"/>
      <c r="AE114" s="553"/>
      <c r="AF114" s="553"/>
      <c r="AG114" s="553"/>
      <c r="AH114" s="553"/>
      <c r="AI114" s="553"/>
      <c r="AJ114" s="553"/>
      <c r="AK114" s="553"/>
      <c r="AL114" s="553"/>
      <c r="AM114" s="553"/>
      <c r="AN114" s="553"/>
      <c r="AO114" s="553"/>
      <c r="AP114" s="553"/>
      <c r="AQ114" s="553"/>
      <c r="AR114" s="553"/>
      <c r="AS114" s="553"/>
      <c r="AT114" s="553"/>
      <c r="AU114" s="553"/>
      <c r="AV114" s="553"/>
      <c r="AW114" s="553"/>
      <c r="AX114" s="553"/>
      <c r="AY114" s="553"/>
    </row>
    <row r="115" spans="1:51" x14ac:dyDescent="0.45">
      <c r="A115" s="545"/>
      <c r="B115" s="506" t="s">
        <v>213</v>
      </c>
      <c r="C115" s="369">
        <v>12</v>
      </c>
      <c r="D115" s="595" t="s">
        <v>214</v>
      </c>
      <c r="Q115" s="553"/>
      <c r="R115" s="553"/>
      <c r="S115" s="553"/>
      <c r="T115" s="553"/>
      <c r="U115" s="553"/>
      <c r="V115" s="553"/>
      <c r="W115" s="553"/>
      <c r="X115" s="553"/>
      <c r="Y115" s="553"/>
      <c r="Z115" s="553"/>
      <c r="AA115" s="553"/>
      <c r="AB115" s="553"/>
      <c r="AC115" s="553"/>
      <c r="AD115" s="553"/>
      <c r="AE115" s="553"/>
      <c r="AF115" s="553"/>
      <c r="AG115" s="553"/>
      <c r="AH115" s="553"/>
      <c r="AI115" s="553"/>
      <c r="AJ115" s="553"/>
      <c r="AK115" s="553"/>
      <c r="AL115" s="553"/>
      <c r="AM115" s="553"/>
      <c r="AN115" s="553"/>
      <c r="AO115" s="553"/>
      <c r="AP115" s="553"/>
      <c r="AQ115" s="553"/>
      <c r="AR115" s="553"/>
      <c r="AS115" s="553"/>
      <c r="AT115" s="553"/>
      <c r="AU115" s="553"/>
      <c r="AV115" s="553"/>
      <c r="AW115" s="553"/>
      <c r="AX115" s="553"/>
      <c r="AY115" s="553"/>
    </row>
    <row r="116" spans="1:51" x14ac:dyDescent="0.45">
      <c r="A116" s="545"/>
      <c r="B116" s="580" t="s">
        <v>216</v>
      </c>
      <c r="C116" s="369">
        <v>210</v>
      </c>
      <c r="D116" s="595" t="s">
        <v>215</v>
      </c>
      <c r="Q116" s="553"/>
      <c r="R116" s="553"/>
      <c r="S116" s="553"/>
      <c r="T116" s="553"/>
      <c r="U116" s="553"/>
      <c r="V116" s="553"/>
      <c r="W116" s="553"/>
      <c r="X116" s="553"/>
      <c r="Y116" s="553"/>
      <c r="Z116" s="553"/>
      <c r="AA116" s="553"/>
      <c r="AB116" s="553"/>
      <c r="AC116" s="553"/>
      <c r="AD116" s="553"/>
      <c r="AE116" s="553"/>
      <c r="AF116" s="553"/>
      <c r="AG116" s="553"/>
      <c r="AH116" s="553"/>
      <c r="AI116" s="553"/>
      <c r="AJ116" s="553"/>
      <c r="AK116" s="553"/>
      <c r="AL116" s="553"/>
      <c r="AM116" s="553"/>
      <c r="AN116" s="553"/>
      <c r="AO116" s="553"/>
      <c r="AP116" s="553"/>
      <c r="AQ116" s="553"/>
      <c r="AR116" s="553"/>
      <c r="AS116" s="553"/>
      <c r="AT116" s="553"/>
      <c r="AU116" s="553"/>
      <c r="AV116" s="553"/>
      <c r="AW116" s="553"/>
      <c r="AX116" s="553"/>
      <c r="AY116" s="553"/>
    </row>
    <row r="117" spans="1:51" x14ac:dyDescent="0.45">
      <c r="A117" s="545"/>
      <c r="B117" s="580" t="s">
        <v>222</v>
      </c>
      <c r="C117" s="369">
        <f>156*1000/C116/60</f>
        <v>12.380952380952381</v>
      </c>
      <c r="D117" s="595" t="s">
        <v>218</v>
      </c>
      <c r="Q117" s="553"/>
      <c r="R117" s="553"/>
      <c r="S117" s="553"/>
      <c r="T117" s="553"/>
      <c r="U117" s="553"/>
      <c r="V117" s="553"/>
      <c r="W117" s="553"/>
      <c r="X117" s="553"/>
      <c r="Y117" s="553"/>
      <c r="Z117" s="553"/>
      <c r="AA117" s="553"/>
      <c r="AB117" s="553"/>
      <c r="AC117" s="553"/>
      <c r="AD117" s="553"/>
      <c r="AE117" s="553"/>
      <c r="AF117" s="553"/>
      <c r="AG117" s="553"/>
      <c r="AH117" s="553"/>
      <c r="AI117" s="553"/>
      <c r="AJ117" s="553"/>
      <c r="AK117" s="553"/>
      <c r="AL117" s="553"/>
      <c r="AM117" s="553"/>
      <c r="AN117" s="553"/>
      <c r="AO117" s="553"/>
      <c r="AP117" s="553"/>
      <c r="AQ117" s="553"/>
      <c r="AR117" s="553"/>
      <c r="AS117" s="553"/>
      <c r="AT117" s="553"/>
      <c r="AU117" s="553"/>
      <c r="AV117" s="553"/>
      <c r="AW117" s="553"/>
      <c r="AX117" s="553"/>
      <c r="AY117" s="553"/>
    </row>
    <row r="118" spans="1:51" x14ac:dyDescent="0.45">
      <c r="A118" s="545"/>
      <c r="B118" s="580" t="s">
        <v>225</v>
      </c>
      <c r="C118" s="369">
        <f>C115*C117*60*60/1000*C114</f>
        <v>481.37142857142874</v>
      </c>
      <c r="D118" s="595" t="s">
        <v>1</v>
      </c>
      <c r="Q118" s="553"/>
      <c r="R118" s="553"/>
      <c r="S118" s="553"/>
      <c r="T118" s="553"/>
      <c r="U118" s="553"/>
      <c r="V118" s="553"/>
      <c r="W118" s="553"/>
      <c r="X118" s="553"/>
      <c r="Y118" s="553"/>
      <c r="Z118" s="553"/>
      <c r="AA118" s="553"/>
      <c r="AB118" s="553"/>
      <c r="AC118" s="553"/>
      <c r="AD118" s="553"/>
      <c r="AE118" s="553"/>
      <c r="AF118" s="553"/>
      <c r="AG118" s="553"/>
      <c r="AH118" s="553"/>
      <c r="AI118" s="553"/>
      <c r="AJ118" s="553"/>
      <c r="AK118" s="553"/>
      <c r="AL118" s="553"/>
      <c r="AM118" s="553"/>
      <c r="AN118" s="553"/>
      <c r="AO118" s="553"/>
      <c r="AP118" s="553"/>
      <c r="AQ118" s="553"/>
      <c r="AR118" s="553"/>
      <c r="AS118" s="553"/>
      <c r="AT118" s="553"/>
      <c r="AU118" s="553"/>
      <c r="AV118" s="553"/>
      <c r="AW118" s="553"/>
      <c r="AX118" s="553"/>
      <c r="AY118" s="553"/>
    </row>
    <row r="119" spans="1:51" x14ac:dyDescent="0.45">
      <c r="A119" s="545"/>
      <c r="B119" s="580" t="s">
        <v>219</v>
      </c>
      <c r="C119" s="369">
        <v>1.73</v>
      </c>
      <c r="D119" s="595" t="s">
        <v>217</v>
      </c>
      <c r="Q119" s="553"/>
      <c r="R119" s="553"/>
      <c r="S119" s="553"/>
      <c r="T119" s="553"/>
      <c r="U119" s="553"/>
      <c r="V119" s="553"/>
      <c r="W119" s="553"/>
      <c r="X119" s="553"/>
      <c r="Y119" s="553"/>
      <c r="Z119" s="553"/>
      <c r="AA119" s="553"/>
      <c r="AB119" s="553"/>
      <c r="AC119" s="553"/>
      <c r="AD119" s="553"/>
      <c r="AE119" s="553"/>
      <c r="AF119" s="553"/>
      <c r="AG119" s="553"/>
      <c r="AH119" s="553"/>
      <c r="AI119" s="553"/>
      <c r="AJ119" s="553"/>
      <c r="AK119" s="553"/>
      <c r="AL119" s="553"/>
      <c r="AM119" s="553"/>
      <c r="AN119" s="553"/>
      <c r="AO119" s="553"/>
      <c r="AP119" s="553"/>
      <c r="AQ119" s="553"/>
      <c r="AR119" s="553"/>
      <c r="AS119" s="553"/>
      <c r="AT119" s="553"/>
      <c r="AU119" s="553"/>
      <c r="AV119" s="553"/>
      <c r="AW119" s="553"/>
      <c r="AX119" s="553"/>
      <c r="AY119" s="553"/>
    </row>
    <row r="120" spans="1:51" x14ac:dyDescent="0.45">
      <c r="A120" s="545"/>
      <c r="B120" s="580" t="s">
        <v>221</v>
      </c>
      <c r="C120" s="369">
        <v>130</v>
      </c>
      <c r="D120" s="595" t="s">
        <v>220</v>
      </c>
      <c r="Q120" s="553"/>
      <c r="R120" s="553"/>
      <c r="S120" s="553"/>
      <c r="T120" s="553"/>
      <c r="U120" s="553"/>
      <c r="V120" s="553"/>
      <c r="W120" s="553"/>
      <c r="X120" s="553"/>
      <c r="Y120" s="553"/>
      <c r="Z120" s="553"/>
      <c r="AA120" s="553"/>
      <c r="AB120" s="553"/>
      <c r="AC120" s="553"/>
      <c r="AD120" s="553"/>
      <c r="AE120" s="553"/>
      <c r="AF120" s="553"/>
      <c r="AG120" s="553"/>
      <c r="AH120" s="553"/>
      <c r="AI120" s="553"/>
      <c r="AJ120" s="553"/>
      <c r="AK120" s="553"/>
      <c r="AL120" s="553"/>
      <c r="AM120" s="553"/>
      <c r="AN120" s="553"/>
      <c r="AO120" s="553"/>
      <c r="AP120" s="553"/>
      <c r="AQ120" s="553"/>
      <c r="AR120" s="553"/>
      <c r="AS120" s="553"/>
      <c r="AT120" s="553"/>
      <c r="AU120" s="553"/>
      <c r="AV120" s="553"/>
      <c r="AW120" s="553"/>
      <c r="AX120" s="553"/>
      <c r="AY120" s="553"/>
    </row>
    <row r="121" spans="1:51" x14ac:dyDescent="0.45">
      <c r="A121" s="545"/>
      <c r="B121" s="580" t="s">
        <v>223</v>
      </c>
      <c r="C121" s="509">
        <f>C119*1000000/(C120+C9)</f>
        <v>9611.1111111111113</v>
      </c>
      <c r="D121" s="595" t="s">
        <v>224</v>
      </c>
      <c r="Q121" s="553"/>
      <c r="R121" s="553"/>
      <c r="S121" s="553"/>
      <c r="T121" s="553"/>
      <c r="U121" s="553"/>
      <c r="V121" s="553"/>
      <c r="W121" s="553"/>
      <c r="X121" s="553"/>
      <c r="Y121" s="553"/>
      <c r="Z121" s="553"/>
      <c r="AA121" s="553"/>
      <c r="AB121" s="553"/>
      <c r="AC121" s="553"/>
      <c r="AD121" s="553"/>
      <c r="AE121" s="553"/>
      <c r="AF121" s="553"/>
      <c r="AG121" s="553"/>
      <c r="AH121" s="553"/>
      <c r="AI121" s="553"/>
      <c r="AJ121" s="553"/>
      <c r="AK121" s="553"/>
      <c r="AL121" s="553"/>
      <c r="AM121" s="553"/>
      <c r="AN121" s="553"/>
      <c r="AO121" s="553"/>
      <c r="AP121" s="553"/>
      <c r="AQ121" s="553"/>
      <c r="AR121" s="553"/>
      <c r="AS121" s="553"/>
      <c r="AT121" s="553"/>
      <c r="AU121" s="553"/>
      <c r="AV121" s="553"/>
      <c r="AW121" s="553"/>
      <c r="AX121" s="553"/>
      <c r="AY121" s="553"/>
    </row>
    <row r="122" spans="1:51" x14ac:dyDescent="0.45">
      <c r="A122" s="545"/>
      <c r="B122" s="580" t="s">
        <v>346</v>
      </c>
      <c r="C122" s="945">
        <f>C118/C121</f>
        <v>5.008488852188276E-2</v>
      </c>
      <c r="D122" s="947" t="s">
        <v>226</v>
      </c>
      <c r="Q122" s="553"/>
      <c r="R122" s="553"/>
      <c r="S122" s="553"/>
      <c r="T122" s="553"/>
      <c r="U122" s="553"/>
      <c r="V122" s="553"/>
      <c r="W122" s="553"/>
      <c r="X122" s="553"/>
      <c r="Y122" s="553"/>
      <c r="Z122" s="553"/>
      <c r="AA122" s="553"/>
      <c r="AB122" s="553"/>
      <c r="AC122" s="553"/>
      <c r="AD122" s="553"/>
      <c r="AE122" s="553"/>
      <c r="AF122" s="553"/>
      <c r="AG122" s="553"/>
      <c r="AH122" s="553"/>
      <c r="AI122" s="553"/>
      <c r="AJ122" s="553"/>
      <c r="AK122" s="553"/>
      <c r="AL122" s="553"/>
      <c r="AM122" s="553"/>
      <c r="AN122" s="553"/>
      <c r="AO122" s="553"/>
      <c r="AP122" s="553"/>
      <c r="AQ122" s="553"/>
      <c r="AR122" s="553"/>
      <c r="AS122" s="553"/>
      <c r="AT122" s="553"/>
      <c r="AU122" s="553"/>
      <c r="AV122" s="553"/>
      <c r="AW122" s="553"/>
      <c r="AX122" s="553"/>
      <c r="AY122" s="553"/>
    </row>
    <row r="123" spans="1:51" x14ac:dyDescent="0.45">
      <c r="A123" s="545"/>
      <c r="B123" s="580" t="s">
        <v>339</v>
      </c>
      <c r="C123" s="578">
        <f>$C$148*$C$149*$C$150</f>
        <v>0.96042374999999991</v>
      </c>
      <c r="D123" s="595" t="s">
        <v>22</v>
      </c>
      <c r="Q123" s="553"/>
      <c r="R123" s="553"/>
      <c r="S123" s="553"/>
      <c r="T123" s="553"/>
      <c r="U123" s="553"/>
      <c r="V123" s="553"/>
      <c r="W123" s="553"/>
      <c r="X123" s="553"/>
      <c r="Y123" s="553"/>
      <c r="Z123" s="553"/>
      <c r="AA123" s="553"/>
      <c r="AB123" s="553"/>
      <c r="AC123" s="553"/>
      <c r="AD123" s="553"/>
      <c r="AE123" s="553"/>
      <c r="AF123" s="553"/>
      <c r="AG123" s="553"/>
      <c r="AH123" s="553"/>
      <c r="AI123" s="553"/>
      <c r="AJ123" s="553"/>
      <c r="AK123" s="553"/>
      <c r="AL123" s="553"/>
      <c r="AM123" s="553"/>
      <c r="AN123" s="553"/>
      <c r="AO123" s="553"/>
      <c r="AP123" s="553"/>
      <c r="AQ123" s="553"/>
      <c r="AR123" s="553"/>
      <c r="AS123" s="553"/>
      <c r="AT123" s="553"/>
      <c r="AU123" s="553"/>
      <c r="AV123" s="553"/>
      <c r="AW123" s="553"/>
      <c r="AX123" s="553"/>
      <c r="AY123" s="553"/>
    </row>
    <row r="124" spans="1:51" x14ac:dyDescent="0.45">
      <c r="A124" s="545"/>
      <c r="B124" s="504" t="s">
        <v>340</v>
      </c>
      <c r="C124" s="510">
        <f>C122/C123</f>
        <v>5.2148740097152702E-2</v>
      </c>
      <c r="D124" s="507" t="s">
        <v>226</v>
      </c>
      <c r="Q124" s="553"/>
      <c r="R124" s="553"/>
      <c r="S124" s="553"/>
      <c r="T124" s="553"/>
      <c r="U124" s="553"/>
      <c r="V124" s="553"/>
      <c r="W124" s="553"/>
      <c r="X124" s="553"/>
      <c r="Y124" s="553"/>
      <c r="Z124" s="553"/>
      <c r="AA124" s="553"/>
      <c r="AB124" s="553"/>
      <c r="AC124" s="553"/>
      <c r="AD124" s="553"/>
      <c r="AE124" s="553"/>
      <c r="AF124" s="553"/>
      <c r="AG124" s="553"/>
      <c r="AH124" s="553"/>
      <c r="AI124" s="553"/>
      <c r="AJ124" s="553"/>
      <c r="AK124" s="553"/>
      <c r="AL124" s="553"/>
      <c r="AM124" s="553"/>
      <c r="AN124" s="553"/>
      <c r="AO124" s="553"/>
      <c r="AP124" s="553"/>
      <c r="AQ124" s="553"/>
      <c r="AR124" s="553"/>
      <c r="AS124" s="553"/>
      <c r="AT124" s="553"/>
      <c r="AU124" s="553"/>
      <c r="AV124" s="553"/>
      <c r="AW124" s="553"/>
      <c r="AX124" s="553"/>
      <c r="AY124" s="553"/>
    </row>
    <row r="125" spans="1:51" x14ac:dyDescent="0.45">
      <c r="A125" s="545"/>
      <c r="B125" s="511" t="s">
        <v>227</v>
      </c>
      <c r="C125" s="512">
        <f>C115*C117*60*60/C121</f>
        <v>55.649876135425281</v>
      </c>
      <c r="D125" s="513" t="s">
        <v>228</v>
      </c>
      <c r="Q125" s="553"/>
      <c r="R125" s="553"/>
      <c r="S125" s="553"/>
      <c r="T125" s="553"/>
      <c r="U125" s="553"/>
      <c r="V125" s="553"/>
      <c r="W125" s="553"/>
      <c r="X125" s="553"/>
      <c r="Y125" s="553"/>
      <c r="Z125" s="553"/>
      <c r="AA125" s="553"/>
      <c r="AB125" s="553"/>
      <c r="AC125" s="553"/>
      <c r="AD125" s="553"/>
      <c r="AE125" s="553"/>
      <c r="AF125" s="553"/>
      <c r="AG125" s="553"/>
      <c r="AH125" s="553"/>
      <c r="AI125" s="553"/>
      <c r="AJ125" s="553"/>
      <c r="AK125" s="553"/>
      <c r="AL125" s="553"/>
      <c r="AM125" s="553"/>
      <c r="AN125" s="553"/>
      <c r="AO125" s="553"/>
      <c r="AP125" s="553"/>
      <c r="AQ125" s="553"/>
      <c r="AR125" s="553"/>
      <c r="AS125" s="553"/>
      <c r="AT125" s="553"/>
      <c r="AU125" s="553"/>
      <c r="AV125" s="553"/>
      <c r="AW125" s="553"/>
      <c r="AX125" s="553"/>
      <c r="AY125" s="553"/>
    </row>
    <row r="126" spans="1:51" x14ac:dyDescent="0.45">
      <c r="A126" s="545"/>
      <c r="Q126" s="553"/>
      <c r="R126" s="553"/>
      <c r="S126" s="553"/>
      <c r="T126" s="553"/>
      <c r="U126" s="553"/>
      <c r="V126" s="553"/>
      <c r="W126" s="553"/>
      <c r="X126" s="553"/>
      <c r="Y126" s="553"/>
      <c r="Z126" s="553"/>
      <c r="AA126" s="553"/>
      <c r="AB126" s="553"/>
      <c r="AC126" s="553"/>
      <c r="AD126" s="553"/>
      <c r="AE126" s="553"/>
      <c r="AF126" s="553"/>
      <c r="AG126" s="553"/>
      <c r="AH126" s="553"/>
      <c r="AI126" s="553"/>
      <c r="AJ126" s="553"/>
      <c r="AK126" s="553"/>
      <c r="AL126" s="553"/>
      <c r="AM126" s="553"/>
      <c r="AN126" s="553"/>
      <c r="AO126" s="553"/>
      <c r="AP126" s="553"/>
      <c r="AQ126" s="553"/>
      <c r="AR126" s="553"/>
      <c r="AS126" s="553"/>
      <c r="AT126" s="553"/>
      <c r="AU126" s="553"/>
      <c r="AV126" s="553"/>
      <c r="AW126" s="553"/>
      <c r="AX126" s="553"/>
      <c r="AY126" s="553"/>
    </row>
    <row r="127" spans="1:51" x14ac:dyDescent="0.45">
      <c r="A127" s="545"/>
      <c r="B127" s="677" t="s">
        <v>209</v>
      </c>
      <c r="C127" s="678"/>
      <c r="D127" s="679"/>
      <c r="Q127" s="553"/>
      <c r="R127" s="553"/>
      <c r="S127" s="553"/>
      <c r="T127" s="553"/>
      <c r="U127" s="553"/>
      <c r="V127" s="553"/>
      <c r="W127" s="553"/>
      <c r="X127" s="553"/>
      <c r="Y127" s="553"/>
      <c r="Z127" s="553"/>
      <c r="AA127" s="553"/>
      <c r="AB127" s="553"/>
      <c r="AC127" s="553"/>
      <c r="AD127" s="553"/>
      <c r="AE127" s="553"/>
      <c r="AF127" s="553"/>
      <c r="AG127" s="553"/>
      <c r="AH127" s="553"/>
      <c r="AI127" s="553"/>
      <c r="AJ127" s="553"/>
      <c r="AK127" s="553"/>
      <c r="AL127" s="553"/>
      <c r="AM127" s="553"/>
      <c r="AN127" s="553"/>
      <c r="AO127" s="553"/>
      <c r="AP127" s="553"/>
      <c r="AQ127" s="553"/>
      <c r="AR127" s="553"/>
      <c r="AS127" s="553"/>
      <c r="AT127" s="553"/>
      <c r="AU127" s="553"/>
      <c r="AV127" s="553"/>
      <c r="AW127" s="553"/>
      <c r="AX127" s="553"/>
      <c r="AY127" s="553"/>
    </row>
    <row r="128" spans="1:51" x14ac:dyDescent="0.45">
      <c r="A128" s="545"/>
      <c r="B128" s="824" t="s">
        <v>262</v>
      </c>
      <c r="C128" s="823">
        <v>9.0999999999999998E-2</v>
      </c>
      <c r="D128" s="825" t="s">
        <v>260</v>
      </c>
      <c r="Q128" s="553"/>
      <c r="R128" s="553"/>
      <c r="S128" s="553"/>
      <c r="T128" s="553"/>
      <c r="U128" s="553"/>
      <c r="V128" s="553"/>
      <c r="W128" s="553"/>
      <c r="X128" s="553"/>
      <c r="Y128" s="553"/>
      <c r="Z128" s="553"/>
      <c r="AA128" s="553"/>
      <c r="AB128" s="553"/>
      <c r="AC128" s="553"/>
      <c r="AD128" s="553"/>
      <c r="AE128" s="553"/>
      <c r="AF128" s="553"/>
      <c r="AG128" s="553"/>
      <c r="AH128" s="553"/>
      <c r="AI128" s="553"/>
      <c r="AJ128" s="553"/>
      <c r="AK128" s="553"/>
      <c r="AL128" s="553"/>
      <c r="AM128" s="553"/>
      <c r="AN128" s="553"/>
      <c r="AO128" s="553"/>
      <c r="AP128" s="553"/>
      <c r="AQ128" s="553"/>
      <c r="AR128" s="553"/>
      <c r="AS128" s="553"/>
      <c r="AT128" s="553"/>
      <c r="AU128" s="553"/>
      <c r="AV128" s="553"/>
      <c r="AW128" s="553"/>
      <c r="AX128" s="553"/>
      <c r="AY128" s="553"/>
    </row>
    <row r="129" spans="1:51" x14ac:dyDescent="0.45">
      <c r="A129" s="545"/>
      <c r="B129" s="824" t="s">
        <v>261</v>
      </c>
      <c r="C129" s="823">
        <v>0.9</v>
      </c>
      <c r="D129" s="825" t="s">
        <v>12</v>
      </c>
      <c r="Q129" s="553"/>
      <c r="R129" s="553"/>
      <c r="S129" s="553"/>
      <c r="T129" s="553"/>
      <c r="U129" s="553"/>
      <c r="V129" s="553"/>
      <c r="W129" s="553"/>
      <c r="X129" s="553"/>
      <c r="Y129" s="553"/>
      <c r="Z129" s="553"/>
      <c r="AA129" s="553"/>
      <c r="AB129" s="553"/>
      <c r="AC129" s="553"/>
      <c r="AD129" s="553"/>
      <c r="AE129" s="553"/>
      <c r="AF129" s="553"/>
      <c r="AG129" s="553"/>
      <c r="AH129" s="553"/>
      <c r="AI129" s="553"/>
      <c r="AJ129" s="553"/>
      <c r="AK129" s="553"/>
      <c r="AL129" s="553"/>
      <c r="AM129" s="553"/>
      <c r="AN129" s="553"/>
      <c r="AO129" s="553"/>
      <c r="AP129" s="553"/>
      <c r="AQ129" s="553"/>
      <c r="AR129" s="553"/>
      <c r="AS129" s="553"/>
      <c r="AT129" s="553"/>
      <c r="AU129" s="553"/>
      <c r="AV129" s="553"/>
      <c r="AW129" s="553"/>
      <c r="AX129" s="553"/>
      <c r="AY129" s="553"/>
    </row>
    <row r="130" spans="1:51" x14ac:dyDescent="0.45">
      <c r="A130" s="545"/>
      <c r="B130" s="915" t="s">
        <v>346</v>
      </c>
      <c r="C130" s="823">
        <f>C128*C129</f>
        <v>8.1900000000000001E-2</v>
      </c>
      <c r="D130" s="935" t="s">
        <v>226</v>
      </c>
      <c r="Q130" s="553"/>
      <c r="R130" s="553"/>
      <c r="S130" s="553"/>
      <c r="T130" s="553"/>
      <c r="U130" s="553"/>
      <c r="V130" s="553"/>
      <c r="W130" s="553"/>
      <c r="X130" s="553"/>
      <c r="Y130" s="553"/>
      <c r="Z130" s="553"/>
      <c r="AA130" s="553"/>
      <c r="AB130" s="553"/>
      <c r="AC130" s="553"/>
      <c r="AD130" s="553"/>
      <c r="AE130" s="553"/>
      <c r="AF130" s="553"/>
      <c r="AG130" s="553"/>
      <c r="AH130" s="553"/>
      <c r="AI130" s="553"/>
      <c r="AJ130" s="553"/>
      <c r="AK130" s="553"/>
      <c r="AL130" s="553"/>
      <c r="AM130" s="553"/>
      <c r="AN130" s="553"/>
      <c r="AO130" s="553"/>
      <c r="AP130" s="553"/>
      <c r="AQ130" s="553"/>
      <c r="AR130" s="553"/>
      <c r="AS130" s="553"/>
      <c r="AT130" s="553"/>
      <c r="AU130" s="553"/>
      <c r="AV130" s="553"/>
      <c r="AW130" s="553"/>
      <c r="AX130" s="553"/>
      <c r="AY130" s="553"/>
    </row>
    <row r="131" spans="1:51" x14ac:dyDescent="0.45">
      <c r="A131" s="545"/>
      <c r="B131" s="915" t="s">
        <v>339</v>
      </c>
      <c r="C131" s="662">
        <f>$C$148*$C$149*$C$150</f>
        <v>0.96042374999999991</v>
      </c>
      <c r="D131" s="916" t="s">
        <v>22</v>
      </c>
      <c r="Q131" s="553"/>
      <c r="R131" s="553"/>
      <c r="S131" s="553"/>
      <c r="T131" s="553"/>
      <c r="U131" s="553"/>
      <c r="V131" s="553"/>
      <c r="W131" s="553"/>
      <c r="X131" s="553"/>
      <c r="Y131" s="553"/>
      <c r="Z131" s="553"/>
      <c r="AA131" s="553"/>
      <c r="AB131" s="553"/>
      <c r="AC131" s="553"/>
      <c r="AD131" s="553"/>
      <c r="AE131" s="553"/>
      <c r="AF131" s="553"/>
      <c r="AG131" s="553"/>
      <c r="AH131" s="553"/>
      <c r="AI131" s="553"/>
      <c r="AJ131" s="553"/>
      <c r="AK131" s="553"/>
      <c r="AL131" s="553"/>
      <c r="AM131" s="553"/>
      <c r="AN131" s="553"/>
      <c r="AO131" s="553"/>
      <c r="AP131" s="553"/>
      <c r="AQ131" s="553"/>
      <c r="AR131" s="553"/>
      <c r="AS131" s="553"/>
      <c r="AT131" s="553"/>
      <c r="AU131" s="553"/>
      <c r="AV131" s="553"/>
      <c r="AW131" s="553"/>
      <c r="AX131" s="553"/>
      <c r="AY131" s="553"/>
    </row>
    <row r="132" spans="1:51" x14ac:dyDescent="0.45">
      <c r="A132" s="545"/>
      <c r="B132" s="680" t="s">
        <v>341</v>
      </c>
      <c r="C132" s="681">
        <f>C130/C131</f>
        <v>8.5274859144205892E-2</v>
      </c>
      <c r="D132" s="682" t="s">
        <v>226</v>
      </c>
      <c r="Q132" s="553"/>
      <c r="R132" s="553"/>
      <c r="S132" s="553"/>
      <c r="T132" s="553"/>
      <c r="U132" s="553"/>
      <c r="V132" s="553"/>
      <c r="W132" s="553"/>
      <c r="X132" s="553"/>
      <c r="Y132" s="553"/>
      <c r="Z132" s="553"/>
      <c r="AA132" s="553"/>
      <c r="AB132" s="553"/>
      <c r="AC132" s="553"/>
      <c r="AD132" s="553"/>
      <c r="AE132" s="553"/>
      <c r="AF132" s="553"/>
      <c r="AG132" s="553"/>
      <c r="AH132" s="553"/>
      <c r="AI132" s="553"/>
      <c r="AJ132" s="553"/>
      <c r="AK132" s="553"/>
      <c r="AL132" s="553"/>
      <c r="AM132" s="553"/>
      <c r="AN132" s="553"/>
      <c r="AO132" s="553"/>
      <c r="AP132" s="553"/>
      <c r="AQ132" s="553"/>
      <c r="AR132" s="553"/>
      <c r="AS132" s="553"/>
      <c r="AT132" s="553"/>
      <c r="AU132" s="553"/>
      <c r="AV132" s="553"/>
      <c r="AW132" s="553"/>
      <c r="AX132" s="553"/>
      <c r="AY132" s="553"/>
    </row>
    <row r="133" spans="1:51" x14ac:dyDescent="0.45">
      <c r="A133" s="545"/>
      <c r="F133" s="992"/>
      <c r="G133" s="992"/>
      <c r="Q133" s="553"/>
      <c r="R133" s="553"/>
      <c r="S133" s="553"/>
      <c r="T133" s="553"/>
      <c r="U133" s="553"/>
      <c r="V133" s="553"/>
      <c r="W133" s="553"/>
      <c r="X133" s="553"/>
      <c r="Y133" s="553"/>
      <c r="Z133" s="553"/>
      <c r="AA133" s="553"/>
      <c r="AB133" s="553"/>
      <c r="AC133" s="553"/>
      <c r="AD133" s="553"/>
      <c r="AE133" s="553"/>
      <c r="AF133" s="553"/>
      <c r="AG133" s="553"/>
      <c r="AH133" s="553"/>
      <c r="AI133" s="553"/>
      <c r="AJ133" s="553"/>
      <c r="AK133" s="553"/>
      <c r="AL133" s="553"/>
      <c r="AM133" s="553"/>
      <c r="AN133" s="553"/>
      <c r="AO133" s="553"/>
      <c r="AP133" s="553"/>
      <c r="AQ133" s="553"/>
      <c r="AR133" s="553"/>
      <c r="AS133" s="553"/>
      <c r="AT133" s="553"/>
      <c r="AU133" s="553"/>
      <c r="AV133" s="553"/>
      <c r="AW133" s="553"/>
      <c r="AX133" s="553"/>
      <c r="AY133" s="553"/>
    </row>
    <row r="134" spans="1:51" x14ac:dyDescent="0.45">
      <c r="A134" s="545"/>
      <c r="B134" s="599" t="s">
        <v>20</v>
      </c>
      <c r="C134" s="600"/>
      <c r="D134" s="978"/>
      <c r="E134" s="601"/>
      <c r="F134" s="995"/>
      <c r="G134" s="995"/>
      <c r="Q134" s="553"/>
      <c r="R134" s="553"/>
      <c r="S134" s="553"/>
      <c r="T134" s="553"/>
      <c r="U134" s="553"/>
      <c r="V134" s="553"/>
      <c r="W134" s="553"/>
      <c r="X134" s="553"/>
      <c r="Y134" s="553"/>
      <c r="Z134" s="553"/>
      <c r="AA134" s="553"/>
      <c r="AB134" s="553"/>
      <c r="AC134" s="553"/>
      <c r="AD134" s="553"/>
      <c r="AE134" s="553"/>
      <c r="AF134" s="553"/>
      <c r="AG134" s="553"/>
      <c r="AH134" s="553"/>
      <c r="AI134" s="553"/>
      <c r="AJ134" s="553"/>
      <c r="AK134" s="553"/>
      <c r="AL134" s="553"/>
      <c r="AM134" s="553"/>
      <c r="AN134" s="553"/>
      <c r="AO134" s="553"/>
      <c r="AP134" s="553"/>
      <c r="AQ134" s="553"/>
      <c r="AR134" s="553"/>
      <c r="AS134" s="553"/>
      <c r="AT134" s="553"/>
      <c r="AU134" s="553"/>
      <c r="AV134" s="553"/>
      <c r="AW134" s="553"/>
      <c r="AX134" s="553"/>
      <c r="AY134" s="553"/>
    </row>
    <row r="135" spans="1:51" x14ac:dyDescent="0.45">
      <c r="A135" s="545"/>
      <c r="B135" s="955" t="s">
        <v>62</v>
      </c>
      <c r="C135" s="937">
        <v>13.6</v>
      </c>
      <c r="D135" s="953" t="s">
        <v>0</v>
      </c>
      <c r="E135" s="598"/>
      <c r="F135" s="995"/>
      <c r="G135" s="995"/>
      <c r="Q135" s="553"/>
      <c r="R135" s="553"/>
      <c r="S135" s="553"/>
      <c r="T135" s="553"/>
      <c r="U135" s="553"/>
      <c r="V135" s="553"/>
      <c r="W135" s="553"/>
      <c r="X135" s="553"/>
      <c r="Y135" s="553"/>
      <c r="Z135" s="553"/>
      <c r="AA135" s="553"/>
      <c r="AB135" s="553"/>
      <c r="AC135" s="553"/>
      <c r="AD135" s="553"/>
      <c r="AE135" s="553"/>
      <c r="AF135" s="553"/>
      <c r="AG135" s="553"/>
      <c r="AH135" s="553"/>
      <c r="AI135" s="553"/>
      <c r="AJ135" s="553"/>
      <c r="AK135" s="553"/>
      <c r="AL135" s="553"/>
      <c r="AM135" s="553"/>
      <c r="AN135" s="553"/>
      <c r="AO135" s="553"/>
      <c r="AP135" s="553"/>
      <c r="AQ135" s="553"/>
      <c r="AR135" s="553"/>
      <c r="AS135" s="553"/>
      <c r="AT135" s="553"/>
      <c r="AU135" s="553"/>
      <c r="AV135" s="553"/>
      <c r="AW135" s="553"/>
      <c r="AX135" s="553"/>
      <c r="AY135" s="553"/>
    </row>
    <row r="136" spans="1:51" x14ac:dyDescent="0.45">
      <c r="A136" s="545"/>
      <c r="B136" s="576" t="s">
        <v>236</v>
      </c>
      <c r="C136" s="776">
        <v>25.9</v>
      </c>
      <c r="D136" s="585" t="s">
        <v>53</v>
      </c>
      <c r="E136" s="598"/>
      <c r="F136" s="995"/>
      <c r="G136" s="995"/>
      <c r="Q136" s="553"/>
      <c r="R136" s="553"/>
      <c r="S136" s="553"/>
      <c r="T136" s="553"/>
      <c r="U136" s="553"/>
      <c r="V136" s="553"/>
      <c r="W136" s="553"/>
      <c r="X136" s="553"/>
      <c r="Y136" s="553"/>
      <c r="Z136" s="553"/>
      <c r="AA136" s="553"/>
      <c r="AB136" s="553"/>
      <c r="AC136" s="553"/>
      <c r="AD136" s="553"/>
      <c r="AE136" s="553"/>
      <c r="AF136" s="553"/>
      <c r="AG136" s="553"/>
      <c r="AH136" s="553"/>
      <c r="AI136" s="553"/>
      <c r="AJ136" s="553"/>
      <c r="AK136" s="553"/>
      <c r="AL136" s="553"/>
      <c r="AM136" s="553"/>
      <c r="AN136" s="553"/>
      <c r="AO136" s="553"/>
      <c r="AP136" s="553"/>
      <c r="AQ136" s="553"/>
      <c r="AR136" s="553"/>
      <c r="AS136" s="553"/>
      <c r="AT136" s="553"/>
      <c r="AU136" s="553"/>
      <c r="AV136" s="553"/>
      <c r="AW136" s="553"/>
      <c r="AX136" s="553"/>
      <c r="AY136" s="553"/>
    </row>
    <row r="137" spans="1:51" x14ac:dyDescent="0.45">
      <c r="A137" s="545"/>
      <c r="B137" s="576" t="s">
        <v>101</v>
      </c>
      <c r="C137" s="666">
        <v>0.2</v>
      </c>
      <c r="D137" s="585" t="s">
        <v>235</v>
      </c>
      <c r="E137" s="598"/>
      <c r="F137" s="639"/>
      <c r="G137" s="995"/>
      <c r="Q137" s="553"/>
      <c r="R137" s="553"/>
      <c r="S137" s="553"/>
      <c r="T137" s="553"/>
      <c r="U137" s="553"/>
      <c r="V137" s="553"/>
      <c r="W137" s="553"/>
      <c r="X137" s="553"/>
      <c r="Y137" s="553"/>
      <c r="Z137" s="553"/>
      <c r="AA137" s="553"/>
      <c r="AB137" s="553"/>
      <c r="AC137" s="553"/>
      <c r="AD137" s="553"/>
      <c r="AE137" s="553"/>
      <c r="AF137" s="553"/>
      <c r="AG137" s="553"/>
      <c r="AH137" s="553"/>
      <c r="AI137" s="553"/>
      <c r="AJ137" s="553"/>
      <c r="AK137" s="553"/>
      <c r="AL137" s="553"/>
      <c r="AM137" s="553"/>
      <c r="AN137" s="553"/>
      <c r="AO137" s="553"/>
      <c r="AP137" s="553"/>
      <c r="AQ137" s="553"/>
      <c r="AR137" s="553"/>
      <c r="AS137" s="553"/>
      <c r="AT137" s="553"/>
      <c r="AU137" s="553"/>
      <c r="AV137" s="553"/>
      <c r="AW137" s="553"/>
      <c r="AX137" s="553"/>
      <c r="AY137" s="553"/>
    </row>
    <row r="138" spans="1:51" x14ac:dyDescent="0.45">
      <c r="A138" s="545"/>
      <c r="B138" s="576" t="s">
        <v>102</v>
      </c>
      <c r="C138" s="666">
        <v>0.34</v>
      </c>
      <c r="D138" s="585" t="s">
        <v>235</v>
      </c>
      <c r="E138" s="956"/>
      <c r="F138" s="995"/>
      <c r="G138" s="995"/>
      <c r="Q138" s="553"/>
      <c r="R138" s="553"/>
      <c r="S138" s="553"/>
      <c r="T138" s="553"/>
      <c r="U138" s="553"/>
      <c r="V138" s="553"/>
      <c r="W138" s="553"/>
      <c r="X138" s="553"/>
      <c r="Y138" s="553"/>
      <c r="Z138" s="553"/>
      <c r="AA138" s="553"/>
      <c r="AB138" s="553"/>
      <c r="AC138" s="553"/>
      <c r="AD138" s="553"/>
      <c r="AE138" s="553"/>
      <c r="AF138" s="553"/>
      <c r="AG138" s="553"/>
      <c r="AH138" s="553"/>
      <c r="AI138" s="553"/>
      <c r="AJ138" s="553"/>
      <c r="AK138" s="553"/>
      <c r="AL138" s="553"/>
      <c r="AM138" s="553"/>
      <c r="AN138" s="553"/>
      <c r="AO138" s="553"/>
      <c r="AP138" s="553"/>
      <c r="AQ138" s="553"/>
      <c r="AR138" s="553"/>
      <c r="AS138" s="553"/>
      <c r="AT138" s="553"/>
      <c r="AU138" s="553"/>
      <c r="AV138" s="553"/>
      <c r="AW138" s="553"/>
      <c r="AX138" s="553"/>
      <c r="AY138" s="553"/>
    </row>
    <row r="139" spans="1:51" x14ac:dyDescent="0.45">
      <c r="A139" s="545"/>
      <c r="B139" s="576" t="s">
        <v>103</v>
      </c>
      <c r="C139" s="666">
        <v>0.05</v>
      </c>
      <c r="D139" s="585" t="s">
        <v>235</v>
      </c>
      <c r="E139" s="956"/>
      <c r="F139" s="995"/>
      <c r="G139" s="995"/>
      <c r="Q139" s="553"/>
      <c r="R139" s="553"/>
      <c r="S139" s="553"/>
      <c r="T139" s="553"/>
      <c r="U139" s="553"/>
      <c r="V139" s="553"/>
      <c r="W139" s="553"/>
      <c r="X139" s="553"/>
      <c r="Y139" s="553"/>
      <c r="Z139" s="553"/>
      <c r="AA139" s="553"/>
      <c r="AB139" s="553"/>
      <c r="AC139" s="553"/>
      <c r="AD139" s="553"/>
      <c r="AE139" s="553"/>
      <c r="AF139" s="553"/>
      <c r="AG139" s="553"/>
      <c r="AH139" s="553"/>
      <c r="AI139" s="553"/>
      <c r="AJ139" s="553"/>
      <c r="AK139" s="553"/>
      <c r="AL139" s="553"/>
      <c r="AM139" s="553"/>
      <c r="AN139" s="553"/>
      <c r="AO139" s="553"/>
      <c r="AP139" s="553"/>
      <c r="AQ139" s="553"/>
      <c r="AR139" s="553"/>
      <c r="AS139" s="553"/>
      <c r="AT139" s="553"/>
      <c r="AU139" s="553"/>
      <c r="AV139" s="553"/>
      <c r="AW139" s="553"/>
      <c r="AX139" s="553"/>
      <c r="AY139" s="553"/>
    </row>
    <row r="140" spans="1:51" x14ac:dyDescent="0.45">
      <c r="A140" s="545"/>
      <c r="B140" s="576"/>
      <c r="C140" s="585" t="s">
        <v>345</v>
      </c>
      <c r="D140" s="585" t="s">
        <v>342</v>
      </c>
      <c r="E140" s="687" t="s">
        <v>171</v>
      </c>
      <c r="F140" s="995"/>
      <c r="G140" s="995"/>
      <c r="Q140" s="553"/>
      <c r="R140" s="553"/>
      <c r="S140" s="553"/>
      <c r="T140" s="553"/>
      <c r="U140" s="553"/>
      <c r="V140" s="553"/>
      <c r="W140" s="553"/>
      <c r="X140" s="553"/>
      <c r="Y140" s="553"/>
      <c r="Z140" s="553"/>
      <c r="AA140" s="553"/>
      <c r="AB140" s="553"/>
      <c r="AC140" s="553"/>
      <c r="AD140" s="553"/>
      <c r="AE140" s="553"/>
      <c r="AF140" s="553"/>
      <c r="AG140" s="553"/>
      <c r="AH140" s="553"/>
      <c r="AI140" s="553"/>
      <c r="AJ140" s="553"/>
      <c r="AK140" s="553"/>
      <c r="AL140" s="553"/>
      <c r="AM140" s="553"/>
      <c r="AN140" s="553"/>
      <c r="AO140" s="553"/>
      <c r="AP140" s="553"/>
      <c r="AQ140" s="553"/>
      <c r="AR140" s="553"/>
      <c r="AS140" s="553"/>
      <c r="AT140" s="553"/>
      <c r="AU140" s="553"/>
      <c r="AV140" s="553"/>
      <c r="AW140" s="553"/>
      <c r="AX140" s="553"/>
      <c r="AY140" s="553"/>
    </row>
    <row r="141" spans="1:51" x14ac:dyDescent="0.45">
      <c r="A141" s="545"/>
      <c r="B141" s="686" t="s">
        <v>281</v>
      </c>
      <c r="C141" s="951">
        <f>C136*C25/1000*C16</f>
        <v>1.0437325411468759E-3</v>
      </c>
      <c r="D141" s="951">
        <f>$C$148*$C$149*$C$150</f>
        <v>0.96042374999999991</v>
      </c>
      <c r="E141" s="948">
        <f>C141/D141</f>
        <v>1.0867417024483996E-3</v>
      </c>
      <c r="F141" s="995"/>
      <c r="G141" s="995"/>
      <c r="Q141" s="553"/>
      <c r="R141" s="553"/>
      <c r="S141" s="553"/>
      <c r="T141" s="553"/>
      <c r="U141" s="553"/>
      <c r="V141" s="553"/>
      <c r="W141" s="553"/>
      <c r="X141" s="553"/>
      <c r="Y141" s="553"/>
      <c r="Z141" s="553"/>
      <c r="AA141" s="553"/>
      <c r="AB141" s="553"/>
      <c r="AC141" s="553"/>
      <c r="AD141" s="553"/>
      <c r="AE141" s="553"/>
      <c r="AF141" s="553"/>
      <c r="AG141" s="553"/>
      <c r="AH141" s="553"/>
      <c r="AI141" s="553"/>
      <c r="AJ141" s="553"/>
      <c r="AK141" s="553"/>
      <c r="AL141" s="553"/>
      <c r="AM141" s="553"/>
      <c r="AN141" s="553"/>
      <c r="AO141" s="553"/>
      <c r="AP141" s="553"/>
      <c r="AQ141" s="553"/>
      <c r="AR141" s="553"/>
      <c r="AS141" s="553"/>
      <c r="AT141" s="553"/>
      <c r="AU141" s="553"/>
      <c r="AV141" s="553"/>
      <c r="AW141" s="553"/>
      <c r="AX141" s="553"/>
      <c r="AY141" s="553"/>
    </row>
    <row r="142" spans="1:51" x14ac:dyDescent="0.45">
      <c r="A142" s="545"/>
      <c r="B142" s="686" t="s">
        <v>54</v>
      </c>
      <c r="C142" s="951">
        <f>C16*C137*(C135/C8)</f>
        <v>9.1418536585365865E-3</v>
      </c>
      <c r="D142" s="951">
        <f>$C$148*$C$149*$C$150</f>
        <v>0.96042374999999991</v>
      </c>
      <c r="E142" s="948">
        <f>C142/D142</f>
        <v>9.5185626745866985E-3</v>
      </c>
      <c r="F142" s="995"/>
      <c r="G142" s="995"/>
      <c r="Q142" s="553"/>
      <c r="R142" s="553"/>
      <c r="S142" s="553"/>
      <c r="T142" s="553"/>
      <c r="U142" s="553"/>
      <c r="V142" s="553"/>
      <c r="W142" s="553"/>
      <c r="X142" s="553"/>
      <c r="Y142" s="553"/>
      <c r="Z142" s="553"/>
      <c r="AA142" s="553"/>
      <c r="AB142" s="553"/>
      <c r="AC142" s="553"/>
      <c r="AD142" s="553"/>
      <c r="AE142" s="553"/>
      <c r="AF142" s="553"/>
      <c r="AG142" s="553"/>
      <c r="AH142" s="553"/>
      <c r="AI142" s="553"/>
      <c r="AJ142" s="553"/>
      <c r="AK142" s="553"/>
      <c r="AL142" s="553"/>
      <c r="AM142" s="553"/>
      <c r="AN142" s="553"/>
      <c r="AO142" s="553"/>
      <c r="AP142" s="553"/>
      <c r="AQ142" s="553"/>
      <c r="AR142" s="553"/>
      <c r="AS142" s="553"/>
      <c r="AT142" s="553"/>
      <c r="AU142" s="553"/>
      <c r="AV142" s="553"/>
      <c r="AW142" s="553"/>
      <c r="AX142" s="553"/>
      <c r="AY142" s="553"/>
    </row>
    <row r="143" spans="1:51" x14ac:dyDescent="0.45">
      <c r="A143" s="545"/>
      <c r="B143" s="686" t="s">
        <v>56</v>
      </c>
      <c r="C143" s="951">
        <f>C16*C138*(C135/C8)</f>
        <v>1.5541151219512198E-2</v>
      </c>
      <c r="D143" s="951">
        <f>$C$149*$C$150</f>
        <v>0.98504999999999998</v>
      </c>
      <c r="E143" s="948">
        <f>C143/D143</f>
        <v>1.5777017633127454E-2</v>
      </c>
      <c r="F143" s="995"/>
      <c r="G143" s="995"/>
      <c r="Q143" s="553"/>
      <c r="R143" s="553"/>
      <c r="S143" s="553"/>
      <c r="T143" s="553"/>
      <c r="U143" s="553"/>
      <c r="V143" s="553"/>
      <c r="W143" s="553"/>
      <c r="X143" s="553"/>
      <c r="Y143" s="553"/>
      <c r="Z143" s="553"/>
      <c r="AA143" s="553"/>
      <c r="AB143" s="553"/>
      <c r="AC143" s="553"/>
      <c r="AD143" s="553"/>
      <c r="AE143" s="553"/>
      <c r="AF143" s="553"/>
      <c r="AG143" s="553"/>
      <c r="AH143" s="553"/>
      <c r="AI143" s="553"/>
      <c r="AJ143" s="553"/>
      <c r="AK143" s="553"/>
      <c r="AL143" s="553"/>
      <c r="AM143" s="553"/>
      <c r="AN143" s="553"/>
      <c r="AO143" s="553"/>
      <c r="AP143" s="553"/>
      <c r="AQ143" s="553"/>
      <c r="AR143" s="553"/>
      <c r="AS143" s="553"/>
      <c r="AT143" s="553"/>
      <c r="AU143" s="553"/>
      <c r="AV143" s="553"/>
      <c r="AW143" s="553"/>
      <c r="AX143" s="553"/>
      <c r="AY143" s="553"/>
    </row>
    <row r="144" spans="1:51" x14ac:dyDescent="0.45">
      <c r="A144" s="545"/>
      <c r="B144" s="686" t="s">
        <v>65</v>
      </c>
      <c r="C144" s="951">
        <f>C16*C139*(C135/C8)</f>
        <v>2.2854634146341466E-3</v>
      </c>
      <c r="D144" s="951">
        <f>$C$150</f>
        <v>0.995</v>
      </c>
      <c r="E144" s="948">
        <f>C144/D144</f>
        <v>2.2969481554112026E-3</v>
      </c>
      <c r="F144" s="995"/>
      <c r="G144" s="995"/>
      <c r="Q144" s="553"/>
      <c r="R144" s="553"/>
      <c r="S144" s="553"/>
      <c r="T144" s="553"/>
      <c r="U144" s="553"/>
      <c r="V144" s="553"/>
      <c r="W144" s="553"/>
      <c r="X144" s="553"/>
      <c r="Y144" s="553"/>
      <c r="Z144" s="553"/>
      <c r="AA144" s="553"/>
      <c r="AB144" s="553"/>
      <c r="AC144" s="553"/>
      <c r="AD144" s="553"/>
      <c r="AE144" s="553"/>
      <c r="AF144" s="553"/>
      <c r="AG144" s="553"/>
      <c r="AH144" s="553"/>
      <c r="AI144" s="553"/>
      <c r="AJ144" s="553"/>
      <c r="AK144" s="553"/>
      <c r="AL144" s="553"/>
      <c r="AM144" s="553"/>
      <c r="AN144" s="553"/>
      <c r="AO144" s="553"/>
      <c r="AP144" s="553"/>
      <c r="AQ144" s="553"/>
      <c r="AR144" s="553"/>
      <c r="AS144" s="553"/>
      <c r="AT144" s="553"/>
      <c r="AU144" s="553"/>
      <c r="AV144" s="553"/>
      <c r="AW144" s="553"/>
      <c r="AX144" s="553"/>
      <c r="AY144" s="553"/>
    </row>
    <row r="145" spans="1:51" x14ac:dyDescent="0.45">
      <c r="A145" s="545"/>
      <c r="B145" s="632" t="s">
        <v>55</v>
      </c>
      <c r="C145" s="952"/>
      <c r="D145" s="954"/>
      <c r="E145" s="982">
        <f>SUM(E141:E144)</f>
        <v>2.8679270165573752E-2</v>
      </c>
      <c r="F145" s="995"/>
      <c r="G145" s="995"/>
      <c r="Q145" s="553"/>
      <c r="R145" s="553"/>
      <c r="S145" s="553"/>
      <c r="T145" s="553"/>
      <c r="U145" s="553"/>
      <c r="V145" s="553"/>
      <c r="W145" s="553"/>
      <c r="X145" s="553"/>
      <c r="Y145" s="553"/>
      <c r="Z145" s="553"/>
      <c r="AA145" s="553"/>
      <c r="AB145" s="553"/>
      <c r="AC145" s="553"/>
      <c r="AD145" s="553"/>
      <c r="AE145" s="553"/>
      <c r="AF145" s="553"/>
      <c r="AG145" s="553"/>
      <c r="AH145" s="553"/>
      <c r="AI145" s="553"/>
      <c r="AJ145" s="553"/>
      <c r="AK145" s="553"/>
      <c r="AL145" s="553"/>
      <c r="AM145" s="553"/>
      <c r="AN145" s="553"/>
      <c r="AO145" s="553"/>
      <c r="AP145" s="553"/>
      <c r="AQ145" s="553"/>
      <c r="AR145" s="553"/>
      <c r="AS145" s="553"/>
      <c r="AT145" s="553"/>
      <c r="AU145" s="553"/>
      <c r="AV145" s="553"/>
      <c r="AW145" s="553"/>
      <c r="AX145" s="553"/>
      <c r="AY145" s="553"/>
    </row>
    <row r="146" spans="1:51" x14ac:dyDescent="0.45">
      <c r="A146" s="545"/>
      <c r="F146" s="820"/>
      <c r="G146" s="992"/>
      <c r="Q146" s="553"/>
      <c r="R146" s="553"/>
      <c r="S146" s="553"/>
      <c r="T146" s="553"/>
      <c r="U146" s="553"/>
      <c r="V146" s="553"/>
      <c r="W146" s="553"/>
      <c r="X146" s="553"/>
      <c r="Y146" s="553"/>
      <c r="Z146" s="553"/>
      <c r="AA146" s="553"/>
      <c r="AB146" s="553"/>
      <c r="AC146" s="553"/>
      <c r="AD146" s="553"/>
      <c r="AE146" s="553"/>
      <c r="AF146" s="553"/>
      <c r="AG146" s="553"/>
      <c r="AH146" s="553"/>
      <c r="AI146" s="553"/>
      <c r="AJ146" s="553"/>
      <c r="AK146" s="553"/>
      <c r="AL146" s="553"/>
      <c r="AM146" s="553"/>
      <c r="AN146" s="553"/>
      <c r="AO146" s="553"/>
      <c r="AP146" s="553"/>
      <c r="AQ146" s="553"/>
      <c r="AR146" s="553"/>
      <c r="AS146" s="553"/>
      <c r="AT146" s="553"/>
      <c r="AU146" s="553"/>
      <c r="AV146" s="553"/>
      <c r="AW146" s="553"/>
      <c r="AX146" s="553"/>
      <c r="AY146" s="553"/>
    </row>
    <row r="147" spans="1:51" x14ac:dyDescent="0.45">
      <c r="A147" s="545"/>
      <c r="B147" s="612" t="s">
        <v>26</v>
      </c>
      <c r="C147" s="613"/>
      <c r="D147" s="614"/>
      <c r="F147" s="992"/>
      <c r="G147" s="992"/>
      <c r="AA147" s="631"/>
      <c r="AB147" s="631"/>
      <c r="AC147" s="631"/>
      <c r="AD147" s="631"/>
      <c r="AE147" s="631"/>
      <c r="AF147" s="631"/>
      <c r="AG147" s="631"/>
      <c r="AH147" s="631"/>
      <c r="AI147" s="631"/>
      <c r="AJ147" s="631"/>
      <c r="AK147" s="631"/>
      <c r="AL147" s="631"/>
      <c r="AM147" s="631"/>
      <c r="AN147" s="631"/>
    </row>
    <row r="148" spans="1:51" x14ac:dyDescent="0.45">
      <c r="A148" s="545"/>
      <c r="B148" s="968" t="s">
        <v>58</v>
      </c>
      <c r="C148" s="983">
        <v>0.97499999999999998</v>
      </c>
      <c r="D148" s="984" t="s">
        <v>22</v>
      </c>
      <c r="AA148" s="631"/>
      <c r="AB148" s="631"/>
      <c r="AC148" s="631"/>
      <c r="AD148" s="631"/>
      <c r="AE148" s="631"/>
      <c r="AF148" s="631"/>
      <c r="AG148" s="631"/>
      <c r="AH148" s="631"/>
      <c r="AI148" s="631"/>
      <c r="AJ148" s="631"/>
      <c r="AK148" s="631"/>
      <c r="AL148" s="631"/>
      <c r="AM148" s="631"/>
      <c r="AN148" s="631"/>
    </row>
    <row r="149" spans="1:51" x14ac:dyDescent="0.45">
      <c r="A149" s="545"/>
      <c r="B149" s="591" t="s">
        <v>59</v>
      </c>
      <c r="C149" s="611">
        <v>0.99</v>
      </c>
      <c r="D149" s="610" t="s">
        <v>22</v>
      </c>
      <c r="AA149" s="631"/>
      <c r="AB149" s="631"/>
      <c r="AC149" s="631"/>
      <c r="AD149" s="631"/>
      <c r="AE149" s="631"/>
      <c r="AF149" s="631"/>
      <c r="AG149" s="631"/>
      <c r="AH149" s="631"/>
      <c r="AI149" s="631"/>
      <c r="AJ149" s="631"/>
      <c r="AK149" s="631"/>
      <c r="AL149" s="631"/>
      <c r="AM149" s="631"/>
      <c r="AN149" s="631"/>
    </row>
    <row r="150" spans="1:51" x14ac:dyDescent="0.45">
      <c r="A150" s="545"/>
      <c r="B150" s="591" t="s">
        <v>60</v>
      </c>
      <c r="C150" s="611">
        <v>0.995</v>
      </c>
      <c r="D150" s="610" t="s">
        <v>22</v>
      </c>
      <c r="AA150" s="631"/>
      <c r="AB150" s="631"/>
      <c r="AC150" s="631"/>
      <c r="AD150" s="631"/>
      <c r="AE150" s="631"/>
      <c r="AF150" s="631"/>
      <c r="AG150" s="631"/>
      <c r="AH150" s="631"/>
      <c r="AI150" s="631"/>
      <c r="AJ150" s="631"/>
      <c r="AK150" s="631"/>
      <c r="AL150" s="631"/>
      <c r="AM150" s="631"/>
      <c r="AN150" s="631"/>
    </row>
    <row r="151" spans="1:51" x14ac:dyDescent="0.45">
      <c r="A151" s="545"/>
      <c r="B151" s="985" t="s">
        <v>192</v>
      </c>
      <c r="C151" s="986">
        <f>C148*C149*C150</f>
        <v>0.96042374999999991</v>
      </c>
      <c r="D151" s="987" t="s">
        <v>22</v>
      </c>
      <c r="AA151" s="631"/>
      <c r="AB151" s="631"/>
      <c r="AC151" s="631"/>
      <c r="AD151" s="631"/>
      <c r="AE151" s="631"/>
      <c r="AF151" s="631"/>
      <c r="AG151" s="631"/>
      <c r="AH151" s="631"/>
      <c r="AI151" s="631"/>
      <c r="AJ151" s="631"/>
      <c r="AK151" s="631"/>
      <c r="AL151" s="631"/>
      <c r="AM151" s="631"/>
      <c r="AN151" s="631"/>
    </row>
    <row r="152" spans="1:51" x14ac:dyDescent="0.45">
      <c r="A152" s="545"/>
      <c r="AA152" s="631"/>
      <c r="AB152" s="631"/>
      <c r="AC152" s="631"/>
      <c r="AD152" s="631"/>
      <c r="AE152" s="631"/>
      <c r="AF152" s="631"/>
      <c r="AG152" s="631"/>
      <c r="AH152" s="631"/>
      <c r="AI152" s="631"/>
      <c r="AJ152" s="631"/>
      <c r="AK152" s="631"/>
      <c r="AL152" s="631"/>
      <c r="AM152" s="631"/>
      <c r="AN152" s="631"/>
    </row>
    <row r="153" spans="1:51" x14ac:dyDescent="0.45">
      <c r="A153" s="545"/>
      <c r="B153" s="764" t="s">
        <v>21</v>
      </c>
      <c r="C153" s="765"/>
      <c r="D153" s="766"/>
      <c r="AA153" s="631"/>
      <c r="AB153" s="631"/>
      <c r="AC153" s="631"/>
      <c r="AD153" s="631"/>
      <c r="AE153" s="631"/>
      <c r="AF153" s="631"/>
      <c r="AG153" s="631"/>
      <c r="AH153" s="631"/>
      <c r="AI153" s="631"/>
      <c r="AJ153" s="631"/>
      <c r="AK153" s="631"/>
      <c r="AL153" s="631"/>
      <c r="AM153" s="631"/>
      <c r="AN153" s="631"/>
    </row>
    <row r="154" spans="1:51" x14ac:dyDescent="0.45">
      <c r="A154" s="545"/>
      <c r="B154" s="767" t="s">
        <v>92</v>
      </c>
      <c r="C154" s="765">
        <f>0.15</f>
        <v>0.15</v>
      </c>
      <c r="D154" s="766" t="s">
        <v>23</v>
      </c>
      <c r="AA154" s="631"/>
      <c r="AB154" s="631"/>
      <c r="AC154" s="631"/>
      <c r="AD154" s="631"/>
      <c r="AE154" s="631"/>
      <c r="AF154" s="631"/>
      <c r="AG154" s="631"/>
      <c r="AH154" s="631"/>
      <c r="AI154" s="631"/>
      <c r="AJ154" s="631"/>
      <c r="AK154" s="631"/>
      <c r="AL154" s="631"/>
      <c r="AM154" s="631"/>
      <c r="AN154" s="631"/>
    </row>
    <row r="155" spans="1:51" x14ac:dyDescent="0.45">
      <c r="A155" s="545"/>
      <c r="B155" s="778" t="s">
        <v>21</v>
      </c>
      <c r="C155" s="777">
        <f>3*C154*C57</f>
        <v>0.88593977528089884</v>
      </c>
      <c r="D155" s="779" t="s">
        <v>98</v>
      </c>
      <c r="AA155" s="631"/>
      <c r="AB155" s="631"/>
      <c r="AC155" s="631"/>
      <c r="AD155" s="631"/>
      <c r="AE155" s="631"/>
      <c r="AF155" s="631"/>
      <c r="AG155" s="631"/>
      <c r="AH155" s="631"/>
      <c r="AI155" s="631"/>
      <c r="AJ155" s="631"/>
      <c r="AK155" s="631"/>
      <c r="AL155" s="631"/>
      <c r="AM155" s="631"/>
      <c r="AN155" s="631"/>
    </row>
    <row r="156" spans="1:51" x14ac:dyDescent="0.45">
      <c r="A156" s="545"/>
      <c r="B156" s="584" t="s">
        <v>344</v>
      </c>
      <c r="C156" s="777">
        <f>C155/C58</f>
        <v>2.1951219512195124E-3</v>
      </c>
      <c r="D156" s="779" t="s">
        <v>138</v>
      </c>
      <c r="AA156" s="631"/>
      <c r="AB156" s="631"/>
      <c r="AC156" s="631"/>
      <c r="AD156" s="631"/>
      <c r="AE156" s="631"/>
      <c r="AF156" s="631"/>
      <c r="AG156" s="631"/>
      <c r="AH156" s="631"/>
      <c r="AI156" s="631"/>
      <c r="AJ156" s="631"/>
      <c r="AK156" s="631"/>
      <c r="AL156" s="631"/>
      <c r="AM156" s="631"/>
      <c r="AN156" s="631"/>
    </row>
    <row r="157" spans="1:51" x14ac:dyDescent="0.45">
      <c r="A157" s="545"/>
      <c r="B157" s="778" t="s">
        <v>339</v>
      </c>
      <c r="C157" s="777">
        <f>$C$150</f>
        <v>0.995</v>
      </c>
      <c r="D157" s="779" t="s">
        <v>22</v>
      </c>
      <c r="AA157" s="631"/>
      <c r="AB157" s="631"/>
      <c r="AC157" s="631"/>
      <c r="AD157" s="631"/>
      <c r="AE157" s="631"/>
      <c r="AF157" s="631"/>
      <c r="AG157" s="631"/>
      <c r="AH157" s="631"/>
      <c r="AI157" s="631"/>
      <c r="AJ157" s="631"/>
      <c r="AK157" s="631"/>
      <c r="AL157" s="631"/>
      <c r="AM157" s="631"/>
      <c r="AN157" s="631"/>
    </row>
    <row r="158" spans="1:51" x14ac:dyDescent="0.45">
      <c r="A158" s="545"/>
      <c r="B158" s="633" t="s">
        <v>99</v>
      </c>
      <c r="C158" s="634">
        <f>C156/C157</f>
        <v>2.2061527147934799E-3</v>
      </c>
      <c r="D158" s="635" t="s">
        <v>138</v>
      </c>
      <c r="AA158" s="631"/>
      <c r="AB158" s="631"/>
      <c r="AC158" s="631"/>
      <c r="AD158" s="631"/>
      <c r="AE158" s="631"/>
      <c r="AF158" s="631"/>
      <c r="AG158" s="631"/>
      <c r="AH158" s="631"/>
      <c r="AI158" s="631"/>
      <c r="AJ158" s="631"/>
      <c r="AK158" s="631"/>
      <c r="AL158" s="631"/>
      <c r="AM158" s="631"/>
      <c r="AN158" s="631"/>
    </row>
    <row r="159" spans="1:51" x14ac:dyDescent="0.45">
      <c r="A159" s="545"/>
      <c r="B159" s="547"/>
      <c r="C159" s="740"/>
      <c r="D159" s="547"/>
      <c r="AA159" s="631"/>
      <c r="AB159" s="631"/>
      <c r="AC159" s="631"/>
      <c r="AD159" s="631"/>
      <c r="AE159" s="631"/>
      <c r="AF159" s="631"/>
      <c r="AG159" s="631"/>
      <c r="AH159" s="631"/>
      <c r="AI159" s="631"/>
      <c r="AJ159" s="631"/>
      <c r="AK159" s="631"/>
      <c r="AL159" s="631"/>
      <c r="AM159" s="631"/>
      <c r="AN159" s="631"/>
    </row>
    <row r="160" spans="1:51" x14ac:dyDescent="0.45">
      <c r="A160" s="545"/>
      <c r="B160" s="746" t="s">
        <v>29</v>
      </c>
      <c r="C160" s="747"/>
      <c r="D160" s="748"/>
      <c r="AA160" s="631"/>
      <c r="AB160" s="631"/>
      <c r="AC160" s="631"/>
      <c r="AD160" s="631"/>
      <c r="AE160" s="631"/>
      <c r="AF160" s="631"/>
      <c r="AG160" s="631"/>
      <c r="AH160" s="631"/>
      <c r="AI160" s="631"/>
      <c r="AJ160" s="631"/>
      <c r="AK160" s="631"/>
      <c r="AL160" s="631"/>
      <c r="AM160" s="631"/>
      <c r="AN160" s="631"/>
    </row>
    <row r="161" spans="1:40" x14ac:dyDescent="0.45">
      <c r="A161" s="545"/>
      <c r="B161" s="804" t="s">
        <v>285</v>
      </c>
      <c r="C161" s="876">
        <f>0.25*1100</f>
        <v>275</v>
      </c>
      <c r="D161" s="806" t="s">
        <v>12</v>
      </c>
      <c r="AA161" s="631"/>
      <c r="AB161" s="631"/>
      <c r="AC161" s="631"/>
      <c r="AD161" s="631"/>
      <c r="AE161" s="631"/>
      <c r="AF161" s="631"/>
      <c r="AG161" s="631"/>
      <c r="AH161" s="631"/>
      <c r="AI161" s="631"/>
      <c r="AJ161" s="631"/>
      <c r="AK161" s="631"/>
      <c r="AL161" s="631"/>
      <c r="AM161" s="631"/>
      <c r="AN161" s="631"/>
    </row>
    <row r="162" spans="1:40" x14ac:dyDescent="0.45">
      <c r="A162" s="545"/>
      <c r="B162" s="751" t="s">
        <v>286</v>
      </c>
      <c r="C162" s="803">
        <v>0.22500000000000001</v>
      </c>
      <c r="D162" s="799" t="s">
        <v>85</v>
      </c>
      <c r="AA162" s="631"/>
      <c r="AB162" s="631"/>
      <c r="AC162" s="631"/>
      <c r="AD162" s="631"/>
      <c r="AE162" s="631"/>
      <c r="AF162" s="631"/>
      <c r="AG162" s="631"/>
      <c r="AH162" s="631"/>
      <c r="AI162" s="631"/>
      <c r="AJ162" s="631"/>
      <c r="AK162" s="631"/>
      <c r="AL162" s="631"/>
      <c r="AM162" s="631"/>
      <c r="AN162" s="631"/>
    </row>
    <row r="163" spans="1:40" x14ac:dyDescent="0.45">
      <c r="A163" s="545"/>
      <c r="B163" s="972" t="s">
        <v>353</v>
      </c>
      <c r="C163" s="958">
        <f>C161*C162/1000</f>
        <v>6.1874999999999999E-2</v>
      </c>
      <c r="D163" s="799" t="s">
        <v>16</v>
      </c>
      <c r="AA163" s="631"/>
      <c r="AB163" s="631"/>
      <c r="AC163" s="631"/>
      <c r="AD163" s="631"/>
      <c r="AE163" s="631"/>
      <c r="AF163" s="631"/>
      <c r="AG163" s="631"/>
      <c r="AH163" s="631"/>
      <c r="AI163" s="631"/>
      <c r="AJ163" s="631"/>
      <c r="AK163" s="631"/>
      <c r="AL163" s="631"/>
      <c r="AM163" s="631"/>
      <c r="AN163" s="631"/>
    </row>
    <row r="164" spans="1:40" x14ac:dyDescent="0.45">
      <c r="A164" s="545"/>
      <c r="B164" s="972" t="s">
        <v>114</v>
      </c>
      <c r="C164" s="958">
        <v>50</v>
      </c>
      <c r="D164" s="799" t="s">
        <v>12</v>
      </c>
      <c r="AA164" s="631"/>
      <c r="AB164" s="631"/>
      <c r="AC164" s="631"/>
      <c r="AD164" s="631"/>
      <c r="AE164" s="631"/>
      <c r="AF164" s="631"/>
      <c r="AG164" s="631"/>
      <c r="AH164" s="631"/>
      <c r="AI164" s="631"/>
      <c r="AJ164" s="631"/>
      <c r="AK164" s="631"/>
      <c r="AL164" s="631"/>
      <c r="AM164" s="631"/>
      <c r="AN164" s="631"/>
    </row>
    <row r="165" spans="1:40" x14ac:dyDescent="0.45">
      <c r="A165" s="545"/>
      <c r="B165" s="972" t="s">
        <v>115</v>
      </c>
      <c r="C165" s="958">
        <v>1.4</v>
      </c>
      <c r="D165" s="799" t="s">
        <v>85</v>
      </c>
      <c r="AA165" s="631"/>
      <c r="AB165" s="631"/>
      <c r="AC165" s="631"/>
      <c r="AD165" s="631"/>
      <c r="AE165" s="631"/>
      <c r="AF165" s="631"/>
      <c r="AG165" s="631"/>
      <c r="AH165" s="631"/>
      <c r="AI165" s="631"/>
      <c r="AJ165" s="631"/>
      <c r="AK165" s="631"/>
      <c r="AL165" s="631"/>
      <c r="AM165" s="631"/>
      <c r="AN165" s="631"/>
    </row>
    <row r="166" spans="1:40" x14ac:dyDescent="0.45">
      <c r="A166" s="545"/>
      <c r="B166" s="972" t="s">
        <v>352</v>
      </c>
      <c r="C166" s="958">
        <f>C164*C165/1000</f>
        <v>7.0000000000000007E-2</v>
      </c>
      <c r="D166" s="799" t="s">
        <v>16</v>
      </c>
      <c r="AA166" s="631"/>
      <c r="AB166" s="631"/>
      <c r="AC166" s="631"/>
      <c r="AD166" s="631"/>
      <c r="AE166" s="631"/>
      <c r="AF166" s="631"/>
      <c r="AG166" s="631"/>
      <c r="AH166" s="631"/>
      <c r="AI166" s="631"/>
      <c r="AJ166" s="631"/>
      <c r="AK166" s="631"/>
      <c r="AL166" s="631"/>
      <c r="AM166" s="631"/>
      <c r="AN166" s="631"/>
    </row>
    <row r="167" spans="1:40" x14ac:dyDescent="0.45">
      <c r="A167" s="545"/>
      <c r="B167" s="751" t="s">
        <v>343</v>
      </c>
      <c r="C167" s="958">
        <f>C163+C166</f>
        <v>0.13187500000000002</v>
      </c>
      <c r="D167" s="799" t="s">
        <v>16</v>
      </c>
      <c r="AA167" s="631"/>
      <c r="AB167" s="631"/>
      <c r="AC167" s="631"/>
      <c r="AD167" s="631"/>
      <c r="AE167" s="631"/>
      <c r="AF167" s="631"/>
      <c r="AG167" s="631"/>
      <c r="AH167" s="631"/>
      <c r="AI167" s="631"/>
      <c r="AJ167" s="631"/>
      <c r="AK167" s="631"/>
      <c r="AL167" s="631"/>
      <c r="AM167" s="631"/>
      <c r="AN167" s="631"/>
    </row>
    <row r="168" spans="1:40" x14ac:dyDescent="0.45">
      <c r="A168" s="545"/>
      <c r="B168" s="972" t="s">
        <v>339</v>
      </c>
      <c r="C168" s="749">
        <f>$C$149*$C$150</f>
        <v>0.98504999999999998</v>
      </c>
      <c r="D168" s="976" t="s">
        <v>22</v>
      </c>
      <c r="AA168" s="631"/>
      <c r="AB168" s="631"/>
      <c r="AC168" s="631"/>
      <c r="AD168" s="631"/>
      <c r="AE168" s="631"/>
      <c r="AF168" s="631"/>
      <c r="AG168" s="631"/>
      <c r="AH168" s="631"/>
      <c r="AI168" s="631"/>
      <c r="AJ168" s="631"/>
      <c r="AK168" s="631"/>
      <c r="AL168" s="631"/>
      <c r="AM168" s="631"/>
      <c r="AN168" s="631"/>
    </row>
    <row r="169" spans="1:40" x14ac:dyDescent="0.45">
      <c r="A169" s="545"/>
      <c r="B169" s="942" t="s">
        <v>86</v>
      </c>
      <c r="C169" s="943">
        <f>C167/C168</f>
        <v>0.13387645297193038</v>
      </c>
      <c r="D169" s="944" t="s">
        <v>16</v>
      </c>
      <c r="AA169" s="631"/>
      <c r="AB169" s="631"/>
      <c r="AC169" s="631"/>
      <c r="AD169" s="631"/>
      <c r="AE169" s="631"/>
      <c r="AF169" s="631"/>
      <c r="AG169" s="631"/>
      <c r="AH169" s="631"/>
      <c r="AI169" s="631"/>
      <c r="AJ169" s="631"/>
      <c r="AK169" s="631"/>
      <c r="AL169" s="631"/>
      <c r="AM169" s="631"/>
      <c r="AN169" s="631"/>
    </row>
    <row r="170" spans="1:40" x14ac:dyDescent="0.45">
      <c r="A170" s="545"/>
      <c r="AA170" s="631"/>
      <c r="AB170" s="631"/>
      <c r="AC170" s="631"/>
      <c r="AD170" s="631"/>
      <c r="AE170" s="631"/>
      <c r="AF170" s="631"/>
      <c r="AG170" s="631"/>
      <c r="AH170" s="631"/>
      <c r="AI170" s="631"/>
      <c r="AJ170" s="631"/>
      <c r="AK170" s="631"/>
      <c r="AL170" s="631"/>
      <c r="AM170" s="631"/>
      <c r="AN170" s="631"/>
    </row>
    <row r="171" spans="1:40" x14ac:dyDescent="0.45">
      <c r="A171" s="545"/>
      <c r="B171" s="386" t="s">
        <v>162</v>
      </c>
      <c r="C171" s="387"/>
      <c r="D171" s="388"/>
      <c r="AA171" s="631"/>
      <c r="AB171" s="631"/>
      <c r="AC171" s="631"/>
      <c r="AD171" s="631"/>
      <c r="AE171" s="631"/>
      <c r="AF171" s="631"/>
      <c r="AG171" s="631"/>
      <c r="AH171" s="631"/>
      <c r="AI171" s="631"/>
      <c r="AJ171" s="631"/>
      <c r="AK171" s="631"/>
      <c r="AL171" s="631"/>
      <c r="AM171" s="631"/>
      <c r="AN171" s="631"/>
    </row>
    <row r="172" spans="1:40" x14ac:dyDescent="0.45">
      <c r="A172" s="545"/>
      <c r="B172" s="382" t="s">
        <v>104</v>
      </c>
      <c r="C172" s="389">
        <v>4</v>
      </c>
      <c r="D172" s="390" t="s">
        <v>108</v>
      </c>
      <c r="AA172" s="631"/>
      <c r="AB172" s="631"/>
      <c r="AC172" s="631"/>
      <c r="AD172" s="631"/>
      <c r="AE172" s="631"/>
      <c r="AF172" s="631"/>
      <c r="AG172" s="631"/>
      <c r="AH172" s="631"/>
      <c r="AI172" s="631"/>
      <c r="AJ172" s="631"/>
      <c r="AK172" s="631"/>
      <c r="AL172" s="631"/>
      <c r="AM172" s="631"/>
      <c r="AN172" s="631"/>
    </row>
    <row r="173" spans="1:40" x14ac:dyDescent="0.45">
      <c r="A173" s="545"/>
      <c r="B173" s="382" t="s">
        <v>105</v>
      </c>
      <c r="C173" s="389">
        <v>8000</v>
      </c>
      <c r="D173" s="390" t="s">
        <v>106</v>
      </c>
      <c r="AA173" s="631"/>
      <c r="AB173" s="631"/>
      <c r="AC173" s="631"/>
      <c r="AD173" s="631"/>
      <c r="AE173" s="631"/>
      <c r="AF173" s="631"/>
      <c r="AG173" s="631"/>
      <c r="AH173" s="631"/>
      <c r="AI173" s="631"/>
      <c r="AJ173" s="631"/>
      <c r="AK173" s="631"/>
      <c r="AL173" s="631"/>
      <c r="AM173" s="631"/>
      <c r="AN173" s="631"/>
    </row>
    <row r="174" spans="1:40" x14ac:dyDescent="0.45">
      <c r="A174" s="545"/>
      <c r="B174" s="382" t="s">
        <v>107</v>
      </c>
      <c r="C174" s="389">
        <v>70</v>
      </c>
      <c r="D174" s="390" t="s">
        <v>397</v>
      </c>
      <c r="AA174" s="631"/>
      <c r="AB174" s="631"/>
      <c r="AC174" s="631"/>
      <c r="AD174" s="631"/>
      <c r="AE174" s="631"/>
      <c r="AF174" s="631"/>
      <c r="AG174" s="631"/>
      <c r="AH174" s="631"/>
      <c r="AI174" s="631"/>
      <c r="AJ174" s="631"/>
      <c r="AK174" s="631"/>
      <c r="AL174" s="631"/>
      <c r="AM174" s="631"/>
      <c r="AN174" s="631"/>
    </row>
    <row r="175" spans="1:40" x14ac:dyDescent="0.45">
      <c r="A175" s="545"/>
      <c r="B175" s="382" t="s">
        <v>350</v>
      </c>
      <c r="C175" s="389">
        <f>C174*C172/C173</f>
        <v>3.5000000000000003E-2</v>
      </c>
      <c r="D175" s="390" t="s">
        <v>16</v>
      </c>
      <c r="N175" s="553"/>
      <c r="O175" s="553"/>
      <c r="P175" s="553"/>
      <c r="Q175" s="553"/>
      <c r="R175" s="553"/>
      <c r="S175" s="553"/>
      <c r="T175" s="553"/>
      <c r="U175" s="553"/>
      <c r="V175" s="553"/>
      <c r="W175" s="553"/>
      <c r="X175" s="553"/>
      <c r="Y175" s="553"/>
      <c r="AA175" s="631"/>
      <c r="AB175" s="631"/>
      <c r="AC175" s="631"/>
      <c r="AD175" s="631"/>
      <c r="AE175" s="631"/>
      <c r="AF175" s="631"/>
      <c r="AG175" s="631"/>
      <c r="AH175" s="631"/>
      <c r="AI175" s="631"/>
      <c r="AJ175" s="631"/>
      <c r="AK175" s="631"/>
      <c r="AL175" s="631"/>
      <c r="AM175" s="631"/>
      <c r="AN175" s="631"/>
    </row>
    <row r="176" spans="1:40" x14ac:dyDescent="0.45">
      <c r="A176" s="545"/>
      <c r="B176" s="969" t="s">
        <v>339</v>
      </c>
      <c r="C176" s="381">
        <f>$C$149*$C$150</f>
        <v>0.98504999999999998</v>
      </c>
      <c r="D176" s="390" t="s">
        <v>22</v>
      </c>
      <c r="N176" s="553"/>
      <c r="O176" s="553"/>
      <c r="P176" s="553"/>
      <c r="Q176" s="553"/>
      <c r="R176" s="553"/>
      <c r="S176" s="553"/>
      <c r="T176" s="553"/>
      <c r="U176" s="553"/>
      <c r="V176" s="553"/>
      <c r="W176" s="553"/>
      <c r="X176" s="553"/>
      <c r="Y176" s="553"/>
      <c r="AA176" s="631"/>
      <c r="AB176" s="631"/>
      <c r="AC176" s="631"/>
      <c r="AD176" s="631"/>
      <c r="AE176" s="631"/>
      <c r="AF176" s="631"/>
      <c r="AG176" s="631"/>
      <c r="AH176" s="631"/>
      <c r="AI176" s="631"/>
      <c r="AJ176" s="631"/>
      <c r="AK176" s="631"/>
      <c r="AL176" s="631"/>
      <c r="AM176" s="631"/>
      <c r="AN176" s="631"/>
    </row>
    <row r="177" spans="1:40" x14ac:dyDescent="0.45">
      <c r="A177" s="545"/>
      <c r="B177" s="962" t="s">
        <v>107</v>
      </c>
      <c r="C177" s="970">
        <f>C175/C176</f>
        <v>3.5531191310085787E-2</v>
      </c>
      <c r="D177" s="971" t="s">
        <v>16</v>
      </c>
      <c r="N177" s="553"/>
      <c r="O177" s="553"/>
      <c r="P177" s="553"/>
      <c r="Q177" s="553"/>
      <c r="R177" s="553"/>
      <c r="S177" s="553"/>
      <c r="T177" s="553"/>
      <c r="U177" s="553"/>
      <c r="V177" s="553"/>
      <c r="W177" s="553"/>
      <c r="X177" s="553"/>
      <c r="Y177" s="553"/>
      <c r="AA177" s="631"/>
      <c r="AB177" s="631"/>
      <c r="AC177" s="631"/>
      <c r="AD177" s="631"/>
      <c r="AE177" s="631"/>
      <c r="AF177" s="631"/>
      <c r="AG177" s="631"/>
      <c r="AH177" s="631"/>
      <c r="AI177" s="631"/>
      <c r="AJ177" s="631"/>
      <c r="AK177" s="631"/>
      <c r="AL177" s="631"/>
      <c r="AM177" s="631"/>
      <c r="AN177" s="631"/>
    </row>
    <row r="178" spans="1:40" x14ac:dyDescent="0.45">
      <c r="A178" s="545"/>
      <c r="N178" s="553"/>
      <c r="O178" s="553"/>
      <c r="P178" s="553"/>
      <c r="Q178" s="553"/>
      <c r="R178" s="553"/>
      <c r="S178" s="553"/>
      <c r="T178" s="553"/>
      <c r="U178" s="553"/>
      <c r="V178" s="553"/>
      <c r="W178" s="553"/>
      <c r="X178" s="553"/>
      <c r="Y178" s="553"/>
      <c r="AA178" s="631"/>
      <c r="AB178" s="631"/>
      <c r="AC178" s="631"/>
      <c r="AD178" s="631"/>
      <c r="AE178" s="631"/>
      <c r="AF178" s="631"/>
      <c r="AG178" s="631"/>
      <c r="AH178" s="631"/>
      <c r="AI178" s="631"/>
      <c r="AJ178" s="631"/>
      <c r="AK178" s="631"/>
      <c r="AL178" s="631"/>
      <c r="AM178" s="631"/>
      <c r="AN178" s="631"/>
    </row>
    <row r="179" spans="1:40" x14ac:dyDescent="0.45">
      <c r="A179" s="545"/>
      <c r="B179" s="623" t="s">
        <v>144</v>
      </c>
      <c r="C179" s="624"/>
      <c r="D179" s="624"/>
      <c r="E179" s="624"/>
      <c r="F179" s="267"/>
      <c r="G179" s="553"/>
      <c r="H179" s="553"/>
      <c r="I179" s="553"/>
      <c r="J179" s="553"/>
      <c r="N179" s="553"/>
      <c r="O179" s="553"/>
      <c r="P179" s="553"/>
      <c r="Q179" s="553"/>
      <c r="R179" s="553"/>
      <c r="S179" s="553"/>
      <c r="T179" s="553"/>
      <c r="U179" s="553"/>
      <c r="V179" s="553"/>
      <c r="W179" s="553"/>
      <c r="X179" s="553"/>
      <c r="Y179" s="553"/>
      <c r="AA179" s="631"/>
      <c r="AB179" s="631"/>
      <c r="AC179" s="631"/>
      <c r="AD179" s="631"/>
      <c r="AE179" s="631"/>
      <c r="AF179" s="631"/>
      <c r="AG179" s="631"/>
      <c r="AH179" s="631"/>
      <c r="AI179" s="631"/>
      <c r="AJ179" s="631"/>
      <c r="AK179" s="631"/>
      <c r="AL179" s="631"/>
      <c r="AM179" s="631"/>
      <c r="AN179" s="631"/>
    </row>
    <row r="180" spans="1:40" x14ac:dyDescent="0.45">
      <c r="A180" s="545"/>
      <c r="B180" s="618"/>
      <c r="C180" s="819" t="s">
        <v>161</v>
      </c>
      <c r="D180" s="620" t="s">
        <v>171</v>
      </c>
      <c r="E180" s="620" t="s">
        <v>342</v>
      </c>
      <c r="F180" s="979" t="s">
        <v>171</v>
      </c>
      <c r="G180" s="553"/>
      <c r="H180" s="553"/>
      <c r="I180" s="553"/>
      <c r="J180" s="553"/>
      <c r="N180" s="553"/>
      <c r="O180" s="553"/>
      <c r="P180" s="391"/>
      <c r="Q180" s="553"/>
      <c r="R180" s="553"/>
      <c r="S180" s="391"/>
      <c r="T180" s="553"/>
      <c r="U180" s="553"/>
      <c r="V180" s="392"/>
      <c r="W180" s="553"/>
      <c r="X180" s="553"/>
      <c r="Y180" s="553"/>
      <c r="Z180" s="631"/>
      <c r="AA180" s="631"/>
      <c r="AB180" s="631"/>
      <c r="AC180" s="631"/>
      <c r="AD180" s="631"/>
      <c r="AE180" s="631"/>
      <c r="AF180" s="631"/>
      <c r="AG180" s="631"/>
      <c r="AH180" s="631"/>
      <c r="AI180" s="631"/>
      <c r="AJ180" s="631"/>
      <c r="AK180" s="631"/>
      <c r="AL180" s="631"/>
      <c r="AM180" s="631"/>
      <c r="AN180" s="631"/>
    </row>
    <row r="181" spans="1:40" x14ac:dyDescent="0.45">
      <c r="A181" s="545"/>
      <c r="B181" s="618" t="s">
        <v>7</v>
      </c>
      <c r="C181" s="620">
        <v>2.8</v>
      </c>
      <c r="D181" s="616">
        <f>C181*(C57*2+2)/C58</f>
        <v>4.1192376289311876E-2</v>
      </c>
      <c r="E181" s="616">
        <f>$C$150</f>
        <v>0.995</v>
      </c>
      <c r="F181" s="980">
        <f>D181/E181</f>
        <v>4.1399373155087314E-2</v>
      </c>
      <c r="G181" s="553"/>
      <c r="H181" s="553"/>
      <c r="I181" s="553"/>
      <c r="J181" s="553"/>
      <c r="N181" s="553"/>
      <c r="O181" s="553"/>
      <c r="P181" s="393"/>
      <c r="Q181" s="553"/>
      <c r="R181" s="553"/>
      <c r="S181" s="393"/>
      <c r="T181" s="553"/>
      <c r="U181" s="553"/>
      <c r="V181" s="392"/>
      <c r="W181" s="553"/>
      <c r="X181" s="553"/>
      <c r="Y181" s="553"/>
      <c r="Z181" s="631"/>
      <c r="AA181" s="631"/>
      <c r="AB181" s="631"/>
      <c r="AC181" s="631"/>
      <c r="AD181" s="631"/>
      <c r="AE181" s="631"/>
      <c r="AF181" s="631"/>
      <c r="AG181" s="631"/>
      <c r="AH181" s="631"/>
      <c r="AI181" s="631"/>
      <c r="AJ181" s="631"/>
      <c r="AK181" s="631"/>
      <c r="AL181" s="631"/>
      <c r="AM181" s="631"/>
      <c r="AN181" s="631"/>
    </row>
    <row r="182" spans="1:40" x14ac:dyDescent="0.45">
      <c r="A182" s="545"/>
      <c r="B182" s="618"/>
      <c r="C182" s="819" t="s">
        <v>159</v>
      </c>
      <c r="D182" s="620" t="s">
        <v>171</v>
      </c>
      <c r="E182" s="616"/>
      <c r="F182" s="980" t="s">
        <v>171</v>
      </c>
      <c r="G182" s="553"/>
      <c r="H182" s="553"/>
      <c r="I182" s="553"/>
      <c r="J182" s="553"/>
      <c r="N182" s="553"/>
      <c r="O182" s="553"/>
      <c r="P182" s="393"/>
      <c r="Q182" s="553"/>
      <c r="R182" s="553"/>
      <c r="S182" s="393"/>
      <c r="T182" s="553"/>
      <c r="U182" s="553"/>
      <c r="V182" s="392"/>
      <c r="W182" s="553"/>
      <c r="X182" s="553"/>
      <c r="Y182" s="553"/>
      <c r="Z182" s="631"/>
      <c r="AA182" s="631"/>
      <c r="AB182" s="631"/>
      <c r="AC182" s="631"/>
      <c r="AD182" s="631"/>
      <c r="AE182" s="631"/>
      <c r="AF182" s="631"/>
      <c r="AG182" s="631"/>
      <c r="AH182" s="631"/>
      <c r="AI182" s="631"/>
      <c r="AJ182" s="631"/>
      <c r="AK182" s="631"/>
      <c r="AL182" s="631"/>
      <c r="AM182" s="631"/>
      <c r="AN182" s="631"/>
    </row>
    <row r="183" spans="1:40" x14ac:dyDescent="0.45">
      <c r="A183" s="545"/>
      <c r="B183" s="618" t="s">
        <v>87</v>
      </c>
      <c r="C183" s="620">
        <v>7</v>
      </c>
      <c r="D183" s="616">
        <f>C183*$C$57/$C$58</f>
        <v>3.4146341463414637E-2</v>
      </c>
      <c r="E183" s="616">
        <f>$C$150</f>
        <v>0.995</v>
      </c>
      <c r="F183" s="980">
        <f>D183/E183</f>
        <v>3.4317931119009687E-2</v>
      </c>
      <c r="G183" s="553"/>
      <c r="H183" s="553"/>
      <c r="I183" s="553"/>
      <c r="J183" s="553"/>
      <c r="L183" s="546"/>
      <c r="N183" s="553"/>
      <c r="O183" s="553"/>
      <c r="P183" s="393"/>
      <c r="Q183" s="553"/>
      <c r="R183" s="553"/>
      <c r="S183" s="393"/>
      <c r="T183" s="553"/>
      <c r="U183" s="553"/>
      <c r="V183" s="392"/>
      <c r="W183" s="553"/>
      <c r="X183" s="553"/>
      <c r="Y183" s="553"/>
      <c r="Z183" s="631"/>
      <c r="AA183" s="631"/>
      <c r="AB183" s="631"/>
      <c r="AC183" s="631"/>
      <c r="AD183" s="631"/>
      <c r="AE183" s="631"/>
      <c r="AF183" s="631"/>
      <c r="AG183" s="631"/>
      <c r="AH183" s="631"/>
      <c r="AI183" s="631"/>
      <c r="AJ183" s="631"/>
      <c r="AK183" s="631"/>
      <c r="AL183" s="631"/>
      <c r="AM183" s="631"/>
      <c r="AN183" s="631"/>
    </row>
    <row r="184" spans="1:40" x14ac:dyDescent="0.45">
      <c r="A184" s="545"/>
      <c r="B184" s="618" t="s">
        <v>6</v>
      </c>
      <c r="C184" s="620">
        <v>2.5</v>
      </c>
      <c r="D184" s="616">
        <f>C184*$C$57*2/$C$58</f>
        <v>2.4390243902439025E-2</v>
      </c>
      <c r="E184" s="616">
        <f>$C$150</f>
        <v>0.995</v>
      </c>
      <c r="F184" s="980">
        <f>D184/E184</f>
        <v>2.4512807942149776E-2</v>
      </c>
      <c r="G184" s="553"/>
      <c r="H184" s="553"/>
      <c r="I184" s="553"/>
      <c r="J184" s="553"/>
      <c r="L184" s="546"/>
      <c r="N184" s="553"/>
      <c r="O184" s="553"/>
      <c r="P184" s="393"/>
      <c r="Q184" s="553"/>
      <c r="R184" s="553"/>
      <c r="S184" s="393"/>
      <c r="T184" s="553"/>
      <c r="U184" s="553"/>
      <c r="V184" s="392"/>
      <c r="W184" s="553"/>
      <c r="X184" s="553"/>
      <c r="Y184" s="553"/>
      <c r="Z184" s="631"/>
      <c r="AA184" s="631"/>
      <c r="AB184" s="631"/>
      <c r="AC184" s="631"/>
      <c r="AD184" s="631"/>
      <c r="AE184" s="631"/>
      <c r="AF184" s="631"/>
      <c r="AG184" s="631"/>
      <c r="AH184" s="631"/>
      <c r="AI184" s="631"/>
      <c r="AJ184" s="631"/>
      <c r="AK184" s="631"/>
      <c r="AL184" s="631"/>
      <c r="AM184" s="631"/>
      <c r="AN184" s="631"/>
    </row>
    <row r="185" spans="1:40" x14ac:dyDescent="0.45">
      <c r="A185" s="545"/>
      <c r="B185" s="618" t="s">
        <v>10</v>
      </c>
      <c r="C185" s="620">
        <v>7.3</v>
      </c>
      <c r="D185" s="616">
        <f>C185*$C$57/$C$58</f>
        <v>3.5609756097560979E-2</v>
      </c>
      <c r="E185" s="616">
        <f>$C$150</f>
        <v>0.995</v>
      </c>
      <c r="F185" s="980">
        <f>D185/E185</f>
        <v>3.5788699595538674E-2</v>
      </c>
      <c r="G185" s="553"/>
      <c r="H185" s="553"/>
      <c r="I185" s="553"/>
      <c r="J185" s="553"/>
      <c r="L185" s="546"/>
      <c r="N185" s="553"/>
      <c r="O185" s="553"/>
      <c r="P185" s="391"/>
      <c r="Q185" s="553"/>
      <c r="R185" s="553"/>
      <c r="S185" s="391"/>
      <c r="T185" s="553"/>
      <c r="U185" s="553"/>
      <c r="V185" s="392"/>
      <c r="W185" s="553"/>
      <c r="X185" s="553"/>
      <c r="Y185" s="553"/>
      <c r="Z185" s="631"/>
      <c r="AA185" s="631"/>
      <c r="AB185" s="631"/>
      <c r="AC185" s="631"/>
      <c r="AD185" s="631"/>
      <c r="AE185" s="631"/>
      <c r="AF185" s="631"/>
      <c r="AG185" s="631"/>
      <c r="AH185" s="631"/>
      <c r="AI185" s="631"/>
      <c r="AJ185" s="631"/>
      <c r="AK185" s="631"/>
      <c r="AL185" s="631"/>
      <c r="AM185" s="631"/>
      <c r="AN185" s="631"/>
    </row>
    <row r="186" spans="1:40" x14ac:dyDescent="0.45">
      <c r="A186" s="545"/>
      <c r="B186" s="618" t="s">
        <v>9</v>
      </c>
      <c r="C186" s="620">
        <v>4.7</v>
      </c>
      <c r="D186" s="616">
        <f>C186*$C$57/$C$58</f>
        <v>2.2926829268292686E-2</v>
      </c>
      <c r="E186" s="616">
        <f>$C$150</f>
        <v>0.995</v>
      </c>
      <c r="F186" s="980">
        <f>D186/E186</f>
        <v>2.3042039465620789E-2</v>
      </c>
      <c r="G186" s="553"/>
      <c r="H186" s="553"/>
      <c r="I186" s="548"/>
      <c r="J186" s="553"/>
      <c r="L186" s="546"/>
      <c r="N186" s="553"/>
      <c r="O186" s="553"/>
      <c r="P186" s="391"/>
      <c r="Q186" s="553"/>
      <c r="R186" s="553"/>
      <c r="S186" s="391"/>
      <c r="T186" s="553"/>
      <c r="U186" s="553"/>
      <c r="V186" s="392"/>
      <c r="W186" s="553"/>
      <c r="X186" s="553"/>
      <c r="Y186" s="553"/>
      <c r="Z186" s="631"/>
      <c r="AA186" s="631"/>
      <c r="AB186" s="631"/>
      <c r="AC186" s="631"/>
      <c r="AD186" s="631"/>
      <c r="AE186" s="631"/>
      <c r="AF186" s="631"/>
      <c r="AG186" s="631"/>
      <c r="AH186" s="631"/>
      <c r="AI186" s="631"/>
      <c r="AJ186" s="631"/>
      <c r="AK186" s="631"/>
      <c r="AL186" s="631"/>
      <c r="AM186" s="631"/>
      <c r="AN186" s="631"/>
    </row>
    <row r="187" spans="1:40" x14ac:dyDescent="0.45">
      <c r="A187" s="545"/>
      <c r="B187" s="618"/>
      <c r="C187" s="819" t="s">
        <v>160</v>
      </c>
      <c r="D187" s="620" t="s">
        <v>171</v>
      </c>
      <c r="E187" s="620"/>
      <c r="F187" s="980" t="s">
        <v>171</v>
      </c>
      <c r="G187" s="553"/>
      <c r="H187" s="553"/>
      <c r="I187" s="553"/>
      <c r="J187" s="553"/>
      <c r="L187" s="546"/>
      <c r="N187" s="553"/>
      <c r="O187" s="553"/>
      <c r="P187" s="393"/>
      <c r="Q187" s="553"/>
      <c r="R187" s="553"/>
      <c r="S187" s="393"/>
      <c r="T187" s="553"/>
      <c r="U187" s="553"/>
      <c r="V187" s="392"/>
      <c r="W187" s="553"/>
      <c r="X187" s="553"/>
      <c r="Y187" s="553"/>
      <c r="Z187" s="631"/>
      <c r="AA187" s="631"/>
      <c r="AB187" s="631"/>
      <c r="AC187" s="631"/>
      <c r="AD187" s="631"/>
      <c r="AE187" s="631"/>
      <c r="AF187" s="631"/>
      <c r="AG187" s="631"/>
      <c r="AH187" s="631"/>
      <c r="AI187" s="631"/>
      <c r="AJ187" s="631"/>
      <c r="AK187" s="631"/>
      <c r="AL187" s="631"/>
      <c r="AM187" s="631"/>
      <c r="AN187" s="631"/>
    </row>
    <row r="188" spans="1:40" x14ac:dyDescent="0.45">
      <c r="A188" s="545"/>
      <c r="B188" s="621" t="s">
        <v>8</v>
      </c>
      <c r="C188" s="622">
        <v>7.2</v>
      </c>
      <c r="D188" s="977">
        <f>C188/C58</f>
        <v>1.7839675438174503E-2</v>
      </c>
      <c r="E188" s="977">
        <f>$C$150</f>
        <v>0.995</v>
      </c>
      <c r="F188" s="981">
        <f>D188/E188</f>
        <v>1.7929322048416584E-2</v>
      </c>
      <c r="G188" s="553"/>
      <c r="H188" s="553"/>
      <c r="I188" s="553"/>
      <c r="J188" s="553"/>
      <c r="L188" s="546"/>
      <c r="N188" s="553"/>
      <c r="O188" s="553"/>
      <c r="P188" s="393"/>
      <c r="Q188" s="553"/>
      <c r="R188" s="553"/>
      <c r="S188" s="393"/>
      <c r="T188" s="553"/>
      <c r="U188" s="392"/>
      <c r="V188" s="392"/>
      <c r="W188" s="553"/>
      <c r="X188" s="553"/>
      <c r="Y188" s="553"/>
      <c r="Z188" s="631"/>
      <c r="AA188" s="631"/>
      <c r="AB188" s="631"/>
      <c r="AC188" s="631"/>
      <c r="AD188" s="631"/>
      <c r="AE188" s="631"/>
      <c r="AF188" s="631"/>
      <c r="AG188" s="631"/>
      <c r="AH188" s="631"/>
      <c r="AI188" s="631"/>
      <c r="AJ188" s="631"/>
      <c r="AK188" s="631"/>
      <c r="AL188" s="631"/>
      <c r="AM188" s="631"/>
      <c r="AN188" s="631"/>
    </row>
    <row r="189" spans="1:40" x14ac:dyDescent="0.45">
      <c r="A189" s="545"/>
      <c r="N189" s="553"/>
      <c r="O189" s="553"/>
      <c r="P189" s="553"/>
      <c r="Q189" s="553"/>
      <c r="R189" s="553"/>
      <c r="S189" s="553"/>
      <c r="T189" s="553"/>
      <c r="U189" s="553"/>
      <c r="V189" s="553"/>
      <c r="W189" s="553"/>
      <c r="X189" s="553"/>
      <c r="Y189" s="553"/>
      <c r="Z189" s="631"/>
      <c r="AA189" s="631"/>
      <c r="AB189" s="631"/>
      <c r="AC189" s="631"/>
      <c r="AD189" s="631"/>
      <c r="AE189" s="631"/>
      <c r="AF189" s="631"/>
      <c r="AG189" s="631"/>
      <c r="AH189" s="631"/>
      <c r="AI189" s="631"/>
      <c r="AJ189" s="631"/>
      <c r="AK189" s="631"/>
      <c r="AL189" s="631"/>
      <c r="AM189" s="631"/>
      <c r="AN189" s="631"/>
    </row>
    <row r="190" spans="1:40" x14ac:dyDescent="0.45">
      <c r="A190" s="545"/>
      <c r="B190" s="655" t="s">
        <v>43</v>
      </c>
      <c r="C190" s="656"/>
      <c r="D190" s="657"/>
      <c r="N190" s="553"/>
      <c r="O190" s="553"/>
      <c r="P190" s="553"/>
      <c r="Q190" s="553"/>
      <c r="R190" s="553"/>
      <c r="S190" s="553"/>
      <c r="T190" s="553"/>
      <c r="U190" s="553"/>
      <c r="V190" s="553"/>
      <c r="W190" s="553"/>
      <c r="X190" s="553"/>
      <c r="Y190" s="553"/>
      <c r="Z190" s="631"/>
      <c r="AA190" s="631"/>
      <c r="AB190" s="631"/>
      <c r="AC190" s="631"/>
      <c r="AD190" s="631"/>
      <c r="AE190" s="631"/>
      <c r="AF190" s="631"/>
      <c r="AG190" s="631"/>
      <c r="AH190" s="631"/>
      <c r="AI190" s="631"/>
      <c r="AJ190" s="631"/>
      <c r="AK190" s="631"/>
      <c r="AL190" s="631"/>
      <c r="AM190" s="631"/>
      <c r="AN190" s="631"/>
    </row>
    <row r="191" spans="1:40" x14ac:dyDescent="0.45">
      <c r="A191" s="545"/>
      <c r="B191" s="649" t="s">
        <v>46</v>
      </c>
      <c r="C191" s="658">
        <f>280*504*$C$8/14.4</f>
        <v>200900</v>
      </c>
      <c r="D191" s="659" t="s">
        <v>100</v>
      </c>
      <c r="N191" s="553"/>
      <c r="O191" s="553"/>
      <c r="P191" s="553"/>
      <c r="Q191" s="553"/>
      <c r="R191" s="553"/>
      <c r="S191" s="553"/>
      <c r="T191" s="553"/>
      <c r="U191" s="553"/>
      <c r="V191" s="553"/>
      <c r="W191" s="553"/>
      <c r="X191" s="553"/>
      <c r="Y191" s="553"/>
      <c r="Z191" s="631"/>
      <c r="AA191" s="631"/>
      <c r="AB191" s="631"/>
      <c r="AC191" s="631"/>
      <c r="AD191" s="631"/>
      <c r="AE191" s="631"/>
      <c r="AF191" s="631"/>
      <c r="AG191" s="631"/>
      <c r="AH191" s="631"/>
      <c r="AI191" s="631"/>
      <c r="AJ191" s="631"/>
      <c r="AK191" s="631"/>
      <c r="AL191" s="631"/>
      <c r="AM191" s="631"/>
      <c r="AN191" s="631"/>
    </row>
    <row r="192" spans="1:40" x14ac:dyDescent="0.45">
      <c r="A192" s="545"/>
      <c r="B192" s="649" t="s">
        <v>43</v>
      </c>
      <c r="C192" s="654">
        <f>C17</f>
        <v>0</v>
      </c>
      <c r="D192" s="659" t="s">
        <v>44</v>
      </c>
      <c r="Z192" s="631"/>
      <c r="AA192" s="631"/>
      <c r="AB192" s="631"/>
      <c r="AC192" s="631"/>
      <c r="AD192" s="631"/>
      <c r="AE192" s="631"/>
      <c r="AF192" s="631"/>
      <c r="AG192" s="631"/>
      <c r="AH192" s="631"/>
      <c r="AI192" s="631"/>
      <c r="AJ192" s="631"/>
      <c r="AK192" s="631"/>
      <c r="AL192" s="631"/>
      <c r="AM192" s="631"/>
      <c r="AN192" s="631"/>
    </row>
    <row r="193" spans="1:40" x14ac:dyDescent="0.45">
      <c r="A193" s="545"/>
      <c r="B193" s="660" t="s">
        <v>2</v>
      </c>
      <c r="C193" s="676">
        <f>C192/C191</f>
        <v>0</v>
      </c>
      <c r="D193" s="661" t="s">
        <v>138</v>
      </c>
      <c r="Z193" s="631"/>
      <c r="AA193" s="631"/>
      <c r="AB193" s="631"/>
      <c r="AC193" s="631"/>
      <c r="AD193" s="631"/>
      <c r="AE193" s="631"/>
      <c r="AF193" s="631"/>
      <c r="AG193" s="631"/>
      <c r="AH193" s="631"/>
      <c r="AI193" s="631"/>
      <c r="AJ193" s="631"/>
      <c r="AK193" s="631"/>
      <c r="AL193" s="631"/>
      <c r="AM193" s="631"/>
      <c r="AN193" s="631"/>
    </row>
    <row r="194" spans="1:40" x14ac:dyDescent="0.45">
      <c r="A194" s="545"/>
      <c r="Z194" s="631"/>
      <c r="AA194" s="631"/>
      <c r="AB194" s="631"/>
      <c r="AC194" s="631"/>
      <c r="AD194" s="631"/>
      <c r="AE194" s="631"/>
      <c r="AF194" s="631"/>
      <c r="AG194" s="631"/>
      <c r="AH194" s="631"/>
      <c r="AI194" s="631"/>
      <c r="AJ194" s="631"/>
      <c r="AK194" s="631"/>
      <c r="AL194" s="631"/>
      <c r="AM194" s="631"/>
      <c r="AN194" s="631"/>
    </row>
    <row r="195" spans="1:40" s="559" customFormat="1" ht="28.5" x14ac:dyDescent="0.85">
      <c r="A195" s="759"/>
      <c r="B195" s="641" t="s">
        <v>163</v>
      </c>
      <c r="G195" s="642"/>
    </row>
    <row r="196" spans="1:40" x14ac:dyDescent="0.45">
      <c r="A196" s="545"/>
      <c r="N196" s="631"/>
      <c r="Z196" s="631"/>
      <c r="AA196" s="631"/>
      <c r="AB196" s="631"/>
      <c r="AC196" s="631"/>
      <c r="AD196" s="631"/>
      <c r="AE196" s="631"/>
      <c r="AF196" s="631"/>
      <c r="AG196" s="631"/>
      <c r="AH196" s="631"/>
      <c r="AI196" s="631"/>
      <c r="AJ196" s="631"/>
      <c r="AK196" s="631"/>
      <c r="AL196" s="631"/>
      <c r="AM196" s="631"/>
      <c r="AN196" s="631"/>
    </row>
    <row r="197" spans="1:40" x14ac:dyDescent="0.45">
      <c r="A197" s="550"/>
      <c r="B197" s="1034" t="s">
        <v>127</v>
      </c>
      <c r="C197" s="350"/>
      <c r="D197" s="350"/>
      <c r="E197" s="350"/>
      <c r="F197" s="350"/>
      <c r="G197" s="350"/>
      <c r="H197" s="350"/>
      <c r="I197" s="350"/>
      <c r="J197" s="350"/>
      <c r="K197" s="350"/>
      <c r="L197" s="350"/>
      <c r="M197" s="350"/>
      <c r="N197" s="350"/>
      <c r="O197" s="350"/>
      <c r="P197" s="350"/>
      <c r="Q197" s="350"/>
      <c r="R197" s="350"/>
      <c r="S197" s="350"/>
      <c r="T197" s="350"/>
      <c r="U197" s="350"/>
      <c r="V197" s="350"/>
      <c r="W197" s="350"/>
      <c r="X197" s="1035"/>
    </row>
    <row r="198" spans="1:40" x14ac:dyDescent="0.45">
      <c r="A198" s="550"/>
      <c r="B198" s="344" t="s">
        <v>147</v>
      </c>
      <c r="C198" s="347">
        <f>C74</f>
        <v>561.70665496323511</v>
      </c>
      <c r="D198" s="345" t="s">
        <v>18</v>
      </c>
      <c r="E198" s="345"/>
      <c r="F198" s="345"/>
      <c r="G198" s="345"/>
      <c r="H198" s="345"/>
      <c r="I198" s="345"/>
      <c r="J198" s="345"/>
      <c r="K198" s="352"/>
      <c r="L198" s="345"/>
      <c r="M198" s="345"/>
      <c r="N198" s="345"/>
      <c r="O198" s="345"/>
      <c r="P198" s="345"/>
      <c r="Q198" s="345"/>
      <c r="R198" s="345"/>
      <c r="S198" s="345"/>
      <c r="T198" s="345"/>
      <c r="U198" s="345"/>
      <c r="V198" s="345"/>
      <c r="W198" s="345"/>
      <c r="X198" s="346"/>
    </row>
    <row r="199" spans="1:40" x14ac:dyDescent="0.45">
      <c r="A199" s="550"/>
      <c r="B199" s="344" t="s">
        <v>168</v>
      </c>
      <c r="C199" s="351">
        <v>2.1999999999999999E-2</v>
      </c>
      <c r="D199" s="345" t="s">
        <v>0</v>
      </c>
      <c r="E199" s="345"/>
      <c r="F199" s="345"/>
      <c r="G199" s="345"/>
      <c r="H199" s="345"/>
      <c r="I199" s="345"/>
      <c r="J199" s="345"/>
      <c r="K199" s="352"/>
      <c r="L199" s="345"/>
      <c r="M199" s="345"/>
      <c r="N199" s="345"/>
      <c r="O199" s="345"/>
      <c r="P199" s="345"/>
      <c r="Q199" s="345"/>
      <c r="R199" s="345"/>
      <c r="S199" s="345"/>
      <c r="T199" s="345"/>
      <c r="U199" s="345"/>
      <c r="V199" s="345"/>
      <c r="W199" s="345"/>
      <c r="X199" s="346"/>
    </row>
    <row r="200" spans="1:40" x14ac:dyDescent="0.45">
      <c r="A200" s="550"/>
      <c r="B200" s="344" t="s">
        <v>167</v>
      </c>
      <c r="C200" s="351">
        <v>2.1999999999999999E-2</v>
      </c>
      <c r="D200" s="345" t="s">
        <v>0</v>
      </c>
      <c r="E200" s="345"/>
      <c r="F200" s="345"/>
      <c r="G200" s="345"/>
      <c r="H200" s="345"/>
      <c r="I200" s="345"/>
      <c r="J200" s="345"/>
      <c r="K200" s="352"/>
      <c r="L200" s="345"/>
      <c r="M200" s="345"/>
      <c r="N200" s="345"/>
      <c r="O200" s="345"/>
      <c r="P200" s="345"/>
      <c r="Q200" s="345"/>
      <c r="R200" s="345"/>
      <c r="S200" s="345"/>
      <c r="T200" s="345"/>
      <c r="U200" s="345"/>
      <c r="V200" s="345"/>
      <c r="W200" s="345"/>
      <c r="X200" s="346"/>
    </row>
    <row r="201" spans="1:40" x14ac:dyDescent="0.45">
      <c r="A201" s="550"/>
      <c r="B201" s="344" t="s">
        <v>154</v>
      </c>
      <c r="C201" s="371">
        <f>10%*1</f>
        <v>0.1</v>
      </c>
      <c r="D201" s="345" t="s">
        <v>0</v>
      </c>
      <c r="E201" s="345"/>
      <c r="F201" s="345"/>
      <c r="G201" s="345"/>
      <c r="H201" s="345"/>
      <c r="I201" s="345"/>
      <c r="J201" s="345"/>
      <c r="K201" s="345"/>
      <c r="L201" s="345"/>
      <c r="M201" s="345"/>
      <c r="N201" s="345"/>
      <c r="O201" s="345"/>
      <c r="P201" s="345"/>
      <c r="Q201" s="345"/>
      <c r="R201" s="345"/>
      <c r="S201" s="345"/>
      <c r="T201" s="345"/>
      <c r="U201" s="345"/>
      <c r="V201" s="345"/>
      <c r="W201" s="345"/>
      <c r="X201" s="346"/>
    </row>
    <row r="202" spans="1:40" x14ac:dyDescent="0.45">
      <c r="A202" s="550"/>
      <c r="B202" s="344" t="s">
        <v>148</v>
      </c>
      <c r="C202" s="351">
        <f>27.9%*1</f>
        <v>0.27899999999999997</v>
      </c>
      <c r="D202" s="345" t="s">
        <v>0</v>
      </c>
      <c r="E202" s="345"/>
      <c r="F202" s="345"/>
      <c r="G202" s="345"/>
      <c r="H202" s="345"/>
      <c r="I202" s="345"/>
      <c r="J202" s="345"/>
      <c r="K202" s="345"/>
      <c r="L202" s="345"/>
      <c r="M202" s="345"/>
      <c r="N202" s="345"/>
      <c r="O202" s="345"/>
      <c r="P202" s="345"/>
      <c r="Q202" s="345"/>
      <c r="R202" s="345"/>
      <c r="S202" s="345"/>
      <c r="T202" s="345"/>
      <c r="U202" s="345"/>
      <c r="V202" s="345"/>
      <c r="W202" s="345"/>
      <c r="X202" s="346"/>
    </row>
    <row r="203" spans="1:40" x14ac:dyDescent="0.45">
      <c r="A203" s="550"/>
      <c r="B203" s="344" t="s">
        <v>145</v>
      </c>
      <c r="C203" s="371">
        <v>9.4E-2</v>
      </c>
      <c r="D203" s="345" t="s">
        <v>136</v>
      </c>
      <c r="E203" s="345"/>
      <c r="F203" s="345"/>
      <c r="G203" s="345"/>
      <c r="H203" s="345"/>
      <c r="I203" s="345"/>
      <c r="J203" s="345"/>
      <c r="K203" s="345"/>
      <c r="L203" s="345"/>
      <c r="M203" s="345"/>
      <c r="N203" s="345"/>
      <c r="O203" s="345"/>
      <c r="P203" s="345"/>
      <c r="Q203" s="345"/>
      <c r="R203" s="345"/>
      <c r="S203" s="345"/>
      <c r="T203" s="345"/>
      <c r="U203" s="345"/>
      <c r="V203" s="345"/>
      <c r="W203" s="345"/>
      <c r="X203" s="346"/>
    </row>
    <row r="204" spans="1:40" x14ac:dyDescent="0.45">
      <c r="A204" s="550"/>
      <c r="B204" s="344" t="s">
        <v>133</v>
      </c>
      <c r="C204" s="371">
        <v>1.0999999999999999E-2</v>
      </c>
      <c r="D204" s="345" t="s">
        <v>136</v>
      </c>
      <c r="E204" s="345"/>
      <c r="F204" s="345"/>
      <c r="G204" s="345"/>
      <c r="H204" s="345"/>
      <c r="I204" s="345"/>
      <c r="J204" s="345"/>
      <c r="K204" s="345"/>
      <c r="L204" s="345"/>
      <c r="M204" s="345"/>
      <c r="N204" s="345"/>
      <c r="O204" s="345"/>
      <c r="P204" s="345"/>
      <c r="Q204" s="345"/>
      <c r="R204" s="345"/>
      <c r="S204" s="345"/>
      <c r="T204" s="345"/>
      <c r="U204" s="345"/>
      <c r="V204" s="345"/>
      <c r="W204" s="345"/>
      <c r="X204" s="346"/>
    </row>
    <row r="205" spans="1:40" x14ac:dyDescent="0.45">
      <c r="A205" s="550"/>
      <c r="B205" s="344" t="s">
        <v>153</v>
      </c>
      <c r="C205" s="347">
        <v>3</v>
      </c>
      <c r="D205" s="345" t="s">
        <v>152</v>
      </c>
      <c r="E205" s="345"/>
      <c r="F205" s="345"/>
      <c r="G205" s="345"/>
      <c r="H205" s="376"/>
      <c r="I205" s="345"/>
      <c r="J205" s="345"/>
      <c r="K205" s="347"/>
      <c r="L205" s="345"/>
      <c r="M205" s="345"/>
      <c r="N205" s="345"/>
      <c r="O205" s="345"/>
      <c r="P205" s="345"/>
      <c r="Q205" s="345"/>
      <c r="R205" s="345"/>
      <c r="S205" s="345"/>
      <c r="T205" s="345"/>
      <c r="U205" s="345"/>
      <c r="V205" s="345"/>
      <c r="W205" s="345"/>
      <c r="X205" s="346"/>
    </row>
    <row r="206" spans="1:40" x14ac:dyDescent="0.45">
      <c r="A206" s="550"/>
      <c r="B206" s="357" t="s">
        <v>276</v>
      </c>
      <c r="C206" s="360">
        <f>SUM(C217,C246,C275,C304)</f>
        <v>0.52636966721335543</v>
      </c>
      <c r="D206" s="348" t="s">
        <v>138</v>
      </c>
      <c r="E206" s="345"/>
      <c r="F206" s="345"/>
      <c r="G206" s="345"/>
      <c r="H206" s="345"/>
      <c r="I206" s="345"/>
      <c r="J206" s="345"/>
      <c r="K206" s="347"/>
      <c r="L206" s="345"/>
      <c r="M206" s="345"/>
      <c r="N206" s="345"/>
      <c r="O206" s="345"/>
      <c r="P206" s="345"/>
      <c r="Q206" s="345"/>
      <c r="R206" s="345"/>
      <c r="S206" s="345"/>
      <c r="T206" s="345"/>
      <c r="U206" s="345"/>
      <c r="V206" s="345"/>
      <c r="W206" s="345"/>
      <c r="X206" s="346"/>
    </row>
    <row r="207" spans="1:40" x14ac:dyDescent="0.45">
      <c r="A207" s="550"/>
      <c r="B207" s="357" t="s">
        <v>390</v>
      </c>
      <c r="C207" s="989">
        <f>D378</f>
        <v>0.17597066197628311</v>
      </c>
      <c r="D207" s="348" t="s">
        <v>0</v>
      </c>
      <c r="E207" s="345"/>
      <c r="F207" s="345"/>
      <c r="G207" s="371"/>
      <c r="H207" s="345"/>
      <c r="I207" s="345"/>
      <c r="J207" s="345"/>
      <c r="K207" s="347"/>
      <c r="L207" s="345"/>
      <c r="M207" s="345"/>
      <c r="N207" s="345"/>
      <c r="O207" s="345"/>
      <c r="P207" s="345"/>
      <c r="Q207" s="345"/>
      <c r="R207" s="345"/>
      <c r="S207" s="345"/>
      <c r="T207" s="347"/>
      <c r="U207" s="345"/>
      <c r="V207" s="345"/>
      <c r="W207" s="345"/>
      <c r="X207" s="346"/>
    </row>
    <row r="208" spans="1:40" x14ac:dyDescent="0.45">
      <c r="A208" s="550"/>
      <c r="B208" s="357" t="s">
        <v>277</v>
      </c>
      <c r="C208" s="358">
        <f>D379</f>
        <v>3.9668700756105069E-2</v>
      </c>
      <c r="D208" s="348" t="s">
        <v>0</v>
      </c>
      <c r="E208" s="345"/>
      <c r="F208" s="345"/>
      <c r="G208" s="345"/>
      <c r="H208" s="345"/>
      <c r="I208" s="345"/>
      <c r="J208" s="345"/>
      <c r="K208" s="347"/>
      <c r="L208" s="345"/>
      <c r="M208" s="345"/>
      <c r="N208" s="345"/>
      <c r="O208" s="345"/>
      <c r="P208" s="345"/>
      <c r="Q208" s="345"/>
      <c r="R208" s="345"/>
      <c r="S208" s="345"/>
      <c r="T208" s="345"/>
      <c r="U208" s="345"/>
      <c r="V208" s="345"/>
      <c r="W208" s="345"/>
      <c r="X208" s="346"/>
    </row>
    <row r="209" spans="1:24" x14ac:dyDescent="0.45">
      <c r="A209" s="550"/>
      <c r="B209" s="357" t="s">
        <v>134</v>
      </c>
      <c r="C209" s="358">
        <f>X239</f>
        <v>0.10000000000000009</v>
      </c>
      <c r="D209" s="348" t="s">
        <v>0</v>
      </c>
      <c r="E209" s="345"/>
      <c r="F209" s="345"/>
      <c r="G209" s="345"/>
      <c r="H209" s="345"/>
      <c r="I209" s="345"/>
      <c r="J209" s="345"/>
      <c r="K209" s="345"/>
      <c r="L209" s="345"/>
      <c r="M209" s="345"/>
      <c r="N209" s="345"/>
      <c r="O209" s="345"/>
      <c r="P209" s="345"/>
      <c r="Q209" s="345"/>
      <c r="R209" s="345"/>
      <c r="S209" s="345"/>
      <c r="T209" s="345"/>
      <c r="U209" s="345"/>
      <c r="V209" s="345"/>
      <c r="W209" s="345"/>
      <c r="X209" s="346"/>
    </row>
    <row r="210" spans="1:24" x14ac:dyDescent="0.45">
      <c r="A210" s="550"/>
      <c r="B210" s="357" t="s">
        <v>146</v>
      </c>
      <c r="C210" s="349">
        <f>-1*SUM(U217,U246,U275,U304)</f>
        <v>261962646</v>
      </c>
      <c r="D210" s="348" t="s">
        <v>1</v>
      </c>
      <c r="E210" s="345"/>
      <c r="F210" s="345"/>
      <c r="G210" s="345"/>
      <c r="H210" s="345"/>
      <c r="I210" s="345"/>
      <c r="J210" s="345"/>
      <c r="K210" s="345"/>
      <c r="L210" s="345"/>
      <c r="M210" s="345"/>
      <c r="N210" s="345"/>
      <c r="O210" s="345"/>
      <c r="P210" s="345"/>
      <c r="Q210" s="345"/>
      <c r="R210" s="345"/>
      <c r="S210" s="345"/>
      <c r="T210" s="345"/>
      <c r="U210" s="376"/>
      <c r="V210" s="345"/>
      <c r="W210" s="345"/>
      <c r="X210" s="346"/>
    </row>
    <row r="211" spans="1:24" x14ac:dyDescent="0.45">
      <c r="A211" s="550"/>
      <c r="B211" s="357"/>
      <c r="C211" s="345"/>
      <c r="D211" s="358"/>
      <c r="E211" s="345"/>
      <c r="F211" s="348"/>
      <c r="G211" s="345"/>
      <c r="H211" s="345"/>
      <c r="I211" s="345"/>
      <c r="J211" s="345"/>
      <c r="K211" s="345"/>
      <c r="L211" s="345"/>
      <c r="M211" s="345"/>
      <c r="N211" s="345"/>
      <c r="O211" s="345"/>
      <c r="P211" s="345"/>
      <c r="Q211" s="345"/>
      <c r="R211" s="345"/>
      <c r="S211" s="345"/>
      <c r="T211" s="345"/>
      <c r="U211" s="345"/>
      <c r="V211" s="345"/>
      <c r="W211" s="345"/>
      <c r="X211" s="346"/>
    </row>
    <row r="212" spans="1:24" x14ac:dyDescent="0.45">
      <c r="A212" s="550"/>
      <c r="B212" s="357" t="s">
        <v>90</v>
      </c>
      <c r="C212" s="345"/>
      <c r="D212" s="358"/>
      <c r="E212" s="345"/>
      <c r="F212" s="348"/>
      <c r="G212" s="345"/>
      <c r="H212" s="345"/>
      <c r="I212" s="345"/>
      <c r="J212" s="345"/>
      <c r="K212" s="345"/>
      <c r="L212" s="345"/>
      <c r="M212" s="345"/>
      <c r="N212" s="345"/>
      <c r="O212" s="345"/>
      <c r="P212" s="345"/>
      <c r="Q212" s="345"/>
      <c r="R212" s="345"/>
      <c r="S212" s="345"/>
      <c r="T212" s="345"/>
      <c r="U212" s="345"/>
      <c r="V212" s="345"/>
      <c r="W212" s="345"/>
      <c r="X212" s="346"/>
    </row>
    <row r="213" spans="1:24" x14ac:dyDescent="0.45">
      <c r="A213" s="550"/>
      <c r="B213" s="344" t="s">
        <v>268</v>
      </c>
      <c r="C213" s="832">
        <f>$D$82*$C$75</f>
        <v>47232570</v>
      </c>
      <c r="D213" s="345" t="s">
        <v>1</v>
      </c>
      <c r="E213" s="345"/>
      <c r="F213" s="345"/>
      <c r="G213" s="345"/>
      <c r="H213" s="345"/>
      <c r="I213" s="345"/>
      <c r="J213" s="347"/>
      <c r="K213" s="345"/>
      <c r="L213" s="345"/>
      <c r="M213" s="345"/>
      <c r="N213" s="345"/>
      <c r="O213" s="345"/>
      <c r="P213" s="345"/>
      <c r="Q213" s="345"/>
      <c r="R213" s="345"/>
      <c r="S213" s="345"/>
      <c r="T213" s="345"/>
      <c r="U213" s="345"/>
      <c r="V213" s="345"/>
      <c r="W213" s="345"/>
      <c r="X213" s="346"/>
    </row>
    <row r="214" spans="1:24" x14ac:dyDescent="0.45">
      <c r="A214" s="550"/>
      <c r="B214" s="344" t="s">
        <v>269</v>
      </c>
      <c r="C214" s="832">
        <f>$E$82*$C$79</f>
        <v>9387840</v>
      </c>
      <c r="D214" s="345" t="s">
        <v>1</v>
      </c>
      <c r="E214" s="345"/>
      <c r="F214" s="345"/>
      <c r="G214" s="347"/>
      <c r="H214" s="345"/>
      <c r="I214" s="345"/>
      <c r="J214" s="345"/>
      <c r="K214" s="345"/>
      <c r="L214" s="345"/>
      <c r="M214" s="345"/>
      <c r="N214" s="345"/>
      <c r="O214" s="345"/>
      <c r="P214" s="345"/>
      <c r="Q214" s="345"/>
      <c r="R214" s="345"/>
      <c r="S214" s="345"/>
      <c r="T214" s="345"/>
      <c r="U214" s="345"/>
      <c r="V214" s="345"/>
      <c r="W214" s="345"/>
      <c r="X214" s="346"/>
    </row>
    <row r="215" spans="1:24" x14ac:dyDescent="0.45">
      <c r="A215" s="550"/>
      <c r="B215" s="829"/>
      <c r="C215" s="345"/>
      <c r="D215" s="358"/>
      <c r="E215" s="345"/>
      <c r="F215" s="348"/>
      <c r="G215" s="345"/>
      <c r="H215" s="345"/>
      <c r="I215" s="345"/>
      <c r="J215" s="345"/>
      <c r="K215" s="345"/>
      <c r="L215" s="345"/>
      <c r="M215" s="345"/>
      <c r="N215" s="345"/>
      <c r="O215" s="345"/>
      <c r="P215" s="345"/>
      <c r="Q215" s="345"/>
      <c r="R215" s="345"/>
      <c r="S215" s="345"/>
      <c r="T215" s="345"/>
      <c r="U215" s="345"/>
      <c r="V215" s="345"/>
      <c r="W215" s="345"/>
      <c r="X215" s="346"/>
    </row>
    <row r="216" spans="1:24" x14ac:dyDescent="0.45">
      <c r="A216" s="550"/>
      <c r="B216" s="354" t="s">
        <v>27</v>
      </c>
      <c r="C216" s="1040" t="s">
        <v>379</v>
      </c>
      <c r="D216" s="355" t="s">
        <v>128</v>
      </c>
      <c r="E216" s="355" t="s">
        <v>380</v>
      </c>
      <c r="F216" s="355" t="s">
        <v>245</v>
      </c>
      <c r="G216" s="355" t="s">
        <v>367</v>
      </c>
      <c r="H216" s="355" t="s">
        <v>368</v>
      </c>
      <c r="I216" s="355" t="s">
        <v>369</v>
      </c>
      <c r="J216" s="355" t="s">
        <v>370</v>
      </c>
      <c r="K216" s="355" t="s">
        <v>131</v>
      </c>
      <c r="L216" s="355" t="s">
        <v>130</v>
      </c>
      <c r="M216" s="355" t="s">
        <v>129</v>
      </c>
      <c r="N216" s="355" t="s">
        <v>374</v>
      </c>
      <c r="O216" s="355" t="s">
        <v>124</v>
      </c>
      <c r="P216" s="355" t="s">
        <v>125</v>
      </c>
      <c r="Q216" s="355" t="s">
        <v>126</v>
      </c>
      <c r="R216" s="355" t="s">
        <v>155</v>
      </c>
      <c r="S216" s="355" t="s">
        <v>157</v>
      </c>
      <c r="T216" s="355" t="s">
        <v>156</v>
      </c>
      <c r="U216" s="345" t="s">
        <v>280</v>
      </c>
      <c r="V216" s="355" t="s">
        <v>375</v>
      </c>
      <c r="W216" s="355" t="s">
        <v>373</v>
      </c>
      <c r="X216" s="835" t="s">
        <v>164</v>
      </c>
    </row>
    <row r="217" spans="1:24" x14ac:dyDescent="0.45">
      <c r="A217" s="550"/>
      <c r="B217" s="359">
        <v>0</v>
      </c>
      <c r="C217" s="1039">
        <v>7.0836364093069773E-2</v>
      </c>
      <c r="D217" s="375">
        <v>0</v>
      </c>
      <c r="E217" s="833">
        <f>SUM(I30,IF(C80=0,0,(D92+L32*D92/(D92+D93))*E32),(G100+L33*G100/(G100+G101))*E33,I36,(E141+L34*E141/(E141+E142))*E34)</f>
        <v>4.6733226919831589E-2</v>
      </c>
      <c r="F217" s="375">
        <v>0</v>
      </c>
      <c r="G217" s="345">
        <v>0</v>
      </c>
      <c r="H217" s="376">
        <f t="shared" ref="H217:H237" si="4">IF(D217&gt;0,-1*G217*$C$213,0)</f>
        <v>0</v>
      </c>
      <c r="I217" s="376">
        <v>0</v>
      </c>
      <c r="J217" s="376">
        <v>0</v>
      </c>
      <c r="K217" s="379">
        <f t="shared" ref="K217:K237" si="5">D217+F217+H217+J217</f>
        <v>0</v>
      </c>
      <c r="L217" s="375">
        <f t="shared" ref="L217:L237" si="6">IF(F217&lt;&gt;0,-1*($C$203+$C$204)*D217,0)</f>
        <v>0</v>
      </c>
      <c r="M217" s="375">
        <f t="shared" ref="M217:M237" si="7">K217+L217</f>
        <v>0</v>
      </c>
      <c r="N217" s="376">
        <f t="shared" ref="N217:N237" si="8">IF(V217&gt;0,V217-W217,0)</f>
        <v>0</v>
      </c>
      <c r="O217" s="347">
        <v>0</v>
      </c>
      <c r="P217" s="347">
        <v>0</v>
      </c>
      <c r="Q217" s="347">
        <v>0</v>
      </c>
      <c r="R217" s="376">
        <f>IF(M217&gt;0,-1*(M217+N217)*$C$202,0)</f>
        <v>0</v>
      </c>
      <c r="S217" s="375">
        <f t="shared" ref="S217:S237" si="9">IF(B217=$C$75,0,$C$205/12*(D218+F218+L218))</f>
        <v>2391740.7524743741</v>
      </c>
      <c r="T217" s="375">
        <f>S217</f>
        <v>2391740.7524743741</v>
      </c>
      <c r="U217" s="375">
        <f>-1*(C213+C214)</f>
        <v>-56620410</v>
      </c>
      <c r="V217" s="376">
        <v>0</v>
      </c>
      <c r="W217" s="347">
        <f>IF(B217&gt;$C$75,0,$C$214+SUM($J$217:J217))</f>
        <v>9387840</v>
      </c>
      <c r="X217" s="836">
        <f>-T217+U217</f>
        <v>-59012150.752474375</v>
      </c>
    </row>
    <row r="218" spans="1:24" x14ac:dyDescent="0.45">
      <c r="A218" s="550"/>
      <c r="B218" s="344">
        <v>1</v>
      </c>
      <c r="C218" s="1038">
        <f t="shared" ref="C218:C237" si="10">IF(B218&gt;$C$75,0,$C$217*(1+$C$199)^B218)</f>
        <v>7.2394764103117307E-2</v>
      </c>
      <c r="D218" s="376">
        <f t="shared" ref="D218:D237" si="11">C218*$C$198*1000000</f>
        <v>40664620.781214513</v>
      </c>
      <c r="E218" s="1038">
        <f t="shared" ref="E218:E237" si="12">IF(B218&gt;$C$75,0,$E$217*(1+$C$200)^B218)</f>
        <v>4.7761357912067884E-2</v>
      </c>
      <c r="F218" s="376">
        <f t="shared" ref="F218:F237" si="13">-1*E218*$C$198*1000000</f>
        <v>-26827872.589289494</v>
      </c>
      <c r="G218" s="345">
        <v>0.1429</v>
      </c>
      <c r="H218" s="376">
        <f t="shared" si="4"/>
        <v>-6749534.2529999996</v>
      </c>
      <c r="I218" s="345">
        <v>1.391E-2</v>
      </c>
      <c r="J218" s="376">
        <f t="shared" ref="J218:J237" si="14">IF(D218&gt;0,-1*$C$214*I218,0)</f>
        <v>-130584.85440000001</v>
      </c>
      <c r="K218" s="377">
        <f t="shared" si="5"/>
        <v>6956629.0845250199</v>
      </c>
      <c r="L218" s="376">
        <f t="shared" si="6"/>
        <v>-4269785.1820275234</v>
      </c>
      <c r="M218" s="376">
        <f t="shared" si="7"/>
        <v>2686843.9024974965</v>
      </c>
      <c r="N218" s="376">
        <f t="shared" si="8"/>
        <v>0</v>
      </c>
      <c r="O218" s="347">
        <f t="shared" ref="O218:O237" si="15">IF(M218&lt;0,M218*-1,0)</f>
        <v>0</v>
      </c>
      <c r="P218" s="347">
        <f t="shared" ref="P218:P237" si="16">P217+O218-Q218</f>
        <v>0</v>
      </c>
      <c r="Q218" s="347">
        <f t="shared" ref="Q218:Q237" si="17">IF(B218=$C$75+1,O218,IF(AND(M218&gt;0, P217&gt;0), MIN(M218,P217),0))</f>
        <v>0</v>
      </c>
      <c r="R218" s="376">
        <f t="shared" ref="R218:R237" si="18">IF(M218&gt;0,-1*(M218+N218-Q218)*$C$202,0)</f>
        <v>-749629.44879680139</v>
      </c>
      <c r="S218" s="376">
        <f t="shared" si="9"/>
        <v>2444359.049028811</v>
      </c>
      <c r="T218" s="376">
        <f t="shared" ref="T218:T237" si="19">(S218-S217)</f>
        <v>52618.296554436907</v>
      </c>
      <c r="U218" s="376"/>
      <c r="V218" s="376">
        <f t="shared" ref="V218:V237" si="20">IF(B218=$C$75,$C$214*(1-1/$C$79*B218),0)</f>
        <v>0</v>
      </c>
      <c r="W218" s="347">
        <f>IF(B218&gt;$C$75,0,$C$214+SUM($J$217:J218))</f>
        <v>9257255.1456000004</v>
      </c>
      <c r="X218" s="378">
        <f t="shared" ref="X218:X237" si="21">M218+R218-1*(H218+J218)-T218+U218+V218</f>
        <v>8764715.2645462584</v>
      </c>
    </row>
    <row r="219" spans="1:24" x14ac:dyDescent="0.45">
      <c r="A219" s="550"/>
      <c r="B219" s="344">
        <v>2</v>
      </c>
      <c r="C219" s="1038">
        <f t="shared" si="10"/>
        <v>7.3987448913385892E-2</v>
      </c>
      <c r="D219" s="376">
        <f t="shared" si="11"/>
        <v>41559242.438401237</v>
      </c>
      <c r="E219" s="1038">
        <f t="shared" si="12"/>
        <v>4.8812107786133374E-2</v>
      </c>
      <c r="F219" s="376">
        <f t="shared" si="13"/>
        <v>-27418085.786253862</v>
      </c>
      <c r="G219" s="345">
        <v>0.24490000000000001</v>
      </c>
      <c r="H219" s="376">
        <f t="shared" si="4"/>
        <v>-11567256.393000001</v>
      </c>
      <c r="I219" s="345">
        <v>2.564E-2</v>
      </c>
      <c r="J219" s="376">
        <f t="shared" si="14"/>
        <v>-240704.2176</v>
      </c>
      <c r="K219" s="377">
        <f t="shared" si="5"/>
        <v>2333196.0415473739</v>
      </c>
      <c r="L219" s="376">
        <f t="shared" si="6"/>
        <v>-4363720.4560321299</v>
      </c>
      <c r="M219" s="376">
        <f t="shared" si="7"/>
        <v>-2030524.4144847561</v>
      </c>
      <c r="N219" s="376">
        <f t="shared" si="8"/>
        <v>0</v>
      </c>
      <c r="O219" s="347">
        <f t="shared" si="15"/>
        <v>2030524.4144847561</v>
      </c>
      <c r="P219" s="347">
        <f t="shared" si="16"/>
        <v>2030524.4144847561</v>
      </c>
      <c r="Q219" s="347">
        <f t="shared" si="17"/>
        <v>0</v>
      </c>
      <c r="R219" s="376">
        <f t="shared" si="18"/>
        <v>0</v>
      </c>
      <c r="S219" s="376">
        <f t="shared" si="9"/>
        <v>2498134.9481074437</v>
      </c>
      <c r="T219" s="376">
        <f t="shared" si="19"/>
        <v>53775.899078632705</v>
      </c>
      <c r="U219" s="376"/>
      <c r="V219" s="376">
        <f t="shared" si="20"/>
        <v>0</v>
      </c>
      <c r="W219" s="347">
        <f>IF(B219&gt;$C$75,0,$C$214+SUM($J$217:J219))</f>
        <v>9016550.9279999994</v>
      </c>
      <c r="X219" s="378">
        <f t="shared" si="21"/>
        <v>9723660.2970366105</v>
      </c>
    </row>
    <row r="220" spans="1:24" x14ac:dyDescent="0.45">
      <c r="A220" s="550"/>
      <c r="B220" s="344">
        <v>3</v>
      </c>
      <c r="C220" s="1038">
        <f t="shared" si="10"/>
        <v>7.5615172789480378E-2</v>
      </c>
      <c r="D220" s="376">
        <f t="shared" si="11"/>
        <v>42473545.772046059</v>
      </c>
      <c r="E220" s="1038">
        <f t="shared" si="12"/>
        <v>4.9885974157428313E-2</v>
      </c>
      <c r="F220" s="376">
        <f t="shared" si="13"/>
        <v>-28021283.673551448</v>
      </c>
      <c r="G220" s="345">
        <v>0.1749</v>
      </c>
      <c r="H220" s="376">
        <f t="shared" si="4"/>
        <v>-8260976.4929999998</v>
      </c>
      <c r="I220" s="345">
        <v>2.564E-2</v>
      </c>
      <c r="J220" s="376">
        <f t="shared" si="14"/>
        <v>-240704.2176</v>
      </c>
      <c r="K220" s="377">
        <f t="shared" si="5"/>
        <v>5950581.3878946118</v>
      </c>
      <c r="L220" s="376">
        <f t="shared" si="6"/>
        <v>-4459722.3060648357</v>
      </c>
      <c r="M220" s="376">
        <f t="shared" si="7"/>
        <v>1490859.0818297761</v>
      </c>
      <c r="N220" s="376">
        <f t="shared" si="8"/>
        <v>0</v>
      </c>
      <c r="O220" s="347">
        <f t="shared" si="15"/>
        <v>0</v>
      </c>
      <c r="P220" s="347">
        <f t="shared" si="16"/>
        <v>539665.33265498001</v>
      </c>
      <c r="Q220" s="347">
        <f t="shared" si="17"/>
        <v>1490859.0818297761</v>
      </c>
      <c r="R220" s="376">
        <f t="shared" si="18"/>
        <v>0</v>
      </c>
      <c r="S220" s="376">
        <f t="shared" si="9"/>
        <v>2553093.9169658092</v>
      </c>
      <c r="T220" s="376">
        <f t="shared" si="19"/>
        <v>54958.968858365435</v>
      </c>
      <c r="U220" s="376"/>
      <c r="V220" s="376">
        <f t="shared" si="20"/>
        <v>0</v>
      </c>
      <c r="W220" s="347">
        <f>IF(B220&gt;$C$75,0,$C$214+SUM($J$217:J220))</f>
        <v>8775846.7104000002</v>
      </c>
      <c r="X220" s="378">
        <f t="shared" si="21"/>
        <v>9937580.82357141</v>
      </c>
    </row>
    <row r="221" spans="1:24" x14ac:dyDescent="0.45">
      <c r="A221" s="550"/>
      <c r="B221" s="344">
        <v>4</v>
      </c>
      <c r="C221" s="1038">
        <f t="shared" si="10"/>
        <v>7.7278706590848956E-2</v>
      </c>
      <c r="D221" s="376">
        <f t="shared" si="11"/>
        <v>43407963.779031076</v>
      </c>
      <c r="E221" s="1038">
        <f t="shared" si="12"/>
        <v>5.0983465588891733E-2</v>
      </c>
      <c r="F221" s="376">
        <f t="shared" si="13"/>
        <v>-28637751.914369576</v>
      </c>
      <c r="G221" s="345">
        <v>0.1249</v>
      </c>
      <c r="H221" s="376">
        <f t="shared" si="4"/>
        <v>-5899347.9929999998</v>
      </c>
      <c r="I221" s="345">
        <v>2.564E-2</v>
      </c>
      <c r="J221" s="376">
        <f t="shared" si="14"/>
        <v>-240704.2176</v>
      </c>
      <c r="K221" s="377">
        <f t="shared" si="5"/>
        <v>8630159.6540615</v>
      </c>
      <c r="L221" s="376">
        <f t="shared" si="6"/>
        <v>-4557836.1967982631</v>
      </c>
      <c r="M221" s="376">
        <f t="shared" si="7"/>
        <v>4072323.4572632369</v>
      </c>
      <c r="N221" s="376">
        <f t="shared" si="8"/>
        <v>0</v>
      </c>
      <c r="O221" s="347">
        <f t="shared" si="15"/>
        <v>0</v>
      </c>
      <c r="P221" s="347">
        <f t="shared" si="16"/>
        <v>0</v>
      </c>
      <c r="Q221" s="347">
        <f t="shared" si="17"/>
        <v>539665.33265498001</v>
      </c>
      <c r="R221" s="376">
        <f t="shared" si="18"/>
        <v>-985611.61676570354</v>
      </c>
      <c r="S221" s="376">
        <f t="shared" si="9"/>
        <v>2609261.9831390548</v>
      </c>
      <c r="T221" s="376">
        <f t="shared" si="19"/>
        <v>56168.066173245665</v>
      </c>
      <c r="U221" s="376"/>
      <c r="V221" s="376">
        <f t="shared" si="20"/>
        <v>0</v>
      </c>
      <c r="W221" s="347">
        <f>IF(B221&gt;$C$75,0,$C$214+SUM($J$217:J221))</f>
        <v>8535142.4927999992</v>
      </c>
      <c r="X221" s="378">
        <f t="shared" si="21"/>
        <v>9170595.9849242866</v>
      </c>
    </row>
    <row r="222" spans="1:24" x14ac:dyDescent="0.45">
      <c r="A222" s="550"/>
      <c r="B222" s="344">
        <v>5</v>
      </c>
      <c r="C222" s="1038">
        <f t="shared" si="10"/>
        <v>7.897883813584762E-2</v>
      </c>
      <c r="D222" s="376">
        <f t="shared" si="11"/>
        <v>44362938.982169755</v>
      </c>
      <c r="E222" s="1038">
        <f t="shared" si="12"/>
        <v>5.2105101831847356E-2</v>
      </c>
      <c r="F222" s="376">
        <f t="shared" si="13"/>
        <v>-29267782.456485711</v>
      </c>
      <c r="G222" s="345">
        <v>8.9300000000000004E-2</v>
      </c>
      <c r="H222" s="376">
        <f t="shared" si="4"/>
        <v>-4217868.5010000002</v>
      </c>
      <c r="I222" s="345">
        <v>2.564E-2</v>
      </c>
      <c r="J222" s="376">
        <f t="shared" si="14"/>
        <v>-240704.2176</v>
      </c>
      <c r="K222" s="377">
        <f t="shared" si="5"/>
        <v>10636583.807084044</v>
      </c>
      <c r="L222" s="376">
        <f t="shared" si="6"/>
        <v>-4658108.5931278244</v>
      </c>
      <c r="M222" s="376">
        <f t="shared" si="7"/>
        <v>5978475.2139562201</v>
      </c>
      <c r="N222" s="376">
        <f t="shared" si="8"/>
        <v>0</v>
      </c>
      <c r="O222" s="347">
        <f t="shared" si="15"/>
        <v>0</v>
      </c>
      <c r="P222" s="347">
        <f t="shared" si="16"/>
        <v>0</v>
      </c>
      <c r="Q222" s="347">
        <f t="shared" si="17"/>
        <v>0</v>
      </c>
      <c r="R222" s="376">
        <f t="shared" si="18"/>
        <v>-1667994.5846937853</v>
      </c>
      <c r="S222" s="376">
        <f t="shared" si="9"/>
        <v>2666665.7467681151</v>
      </c>
      <c r="T222" s="376">
        <f t="shared" si="19"/>
        <v>57403.763629060239</v>
      </c>
      <c r="U222" s="376"/>
      <c r="V222" s="376">
        <f t="shared" si="20"/>
        <v>0</v>
      </c>
      <c r="W222" s="347">
        <f>IF(B222&gt;$C$75,0,$C$214+SUM($J$217:J222))</f>
        <v>8294438.2752</v>
      </c>
      <c r="X222" s="378">
        <f t="shared" si="21"/>
        <v>8711649.5842333734</v>
      </c>
    </row>
    <row r="223" spans="1:24" x14ac:dyDescent="0.45">
      <c r="A223" s="550"/>
      <c r="B223" s="344">
        <v>6</v>
      </c>
      <c r="C223" s="1038">
        <f t="shared" si="10"/>
        <v>8.071637257483627E-2</v>
      </c>
      <c r="D223" s="376">
        <f t="shared" si="11"/>
        <v>45338923.639777489</v>
      </c>
      <c r="E223" s="1038">
        <f t="shared" si="12"/>
        <v>5.3251414072147993E-2</v>
      </c>
      <c r="F223" s="376">
        <f t="shared" si="13"/>
        <v>-29911673.670528393</v>
      </c>
      <c r="G223" s="345">
        <v>8.9200000000000002E-2</v>
      </c>
      <c r="H223" s="376">
        <f t="shared" si="4"/>
        <v>-4213145.2439999999</v>
      </c>
      <c r="I223" s="345">
        <v>2.564E-2</v>
      </c>
      <c r="J223" s="376">
        <f t="shared" si="14"/>
        <v>-240704.2176</v>
      </c>
      <c r="K223" s="377">
        <f t="shared" si="5"/>
        <v>10973400.507649098</v>
      </c>
      <c r="L223" s="376">
        <f t="shared" si="6"/>
        <v>-4760586.9821766363</v>
      </c>
      <c r="M223" s="376">
        <f t="shared" si="7"/>
        <v>6212813.5254724612</v>
      </c>
      <c r="N223" s="376">
        <f t="shared" si="8"/>
        <v>0</v>
      </c>
      <c r="O223" s="347">
        <f t="shared" si="15"/>
        <v>0</v>
      </c>
      <c r="P223" s="347">
        <f t="shared" si="16"/>
        <v>0</v>
      </c>
      <c r="Q223" s="347">
        <f t="shared" si="17"/>
        <v>0</v>
      </c>
      <c r="R223" s="376">
        <f t="shared" si="18"/>
        <v>-1733374.9736068165</v>
      </c>
      <c r="S223" s="376">
        <f t="shared" si="9"/>
        <v>2725332.3931970117</v>
      </c>
      <c r="T223" s="376">
        <f t="shared" si="19"/>
        <v>58666.64642889658</v>
      </c>
      <c r="U223" s="376"/>
      <c r="V223" s="376">
        <f t="shared" si="20"/>
        <v>0</v>
      </c>
      <c r="W223" s="347">
        <f>IF(B223&gt;$C$75,0,$C$214+SUM($J$217:J223))</f>
        <v>8053734.0575999999</v>
      </c>
      <c r="X223" s="378">
        <f t="shared" si="21"/>
        <v>8874621.3670367487</v>
      </c>
    </row>
    <row r="224" spans="1:24" x14ac:dyDescent="0.45">
      <c r="A224" s="550"/>
      <c r="B224" s="344">
        <v>7</v>
      </c>
      <c r="C224" s="1038">
        <f t="shared" si="10"/>
        <v>8.2492132771482665E-2</v>
      </c>
      <c r="D224" s="376">
        <f t="shared" si="11"/>
        <v>46336379.959852591</v>
      </c>
      <c r="E224" s="1038">
        <f t="shared" si="12"/>
        <v>5.4422945181735252E-2</v>
      </c>
      <c r="F224" s="376">
        <f t="shared" si="13"/>
        <v>-30569730.491280023</v>
      </c>
      <c r="G224" s="345">
        <v>8.9300000000000004E-2</v>
      </c>
      <c r="H224" s="376">
        <f t="shared" si="4"/>
        <v>-4217868.5010000002</v>
      </c>
      <c r="I224" s="345">
        <v>2.564E-2</v>
      </c>
      <c r="J224" s="376">
        <f t="shared" si="14"/>
        <v>-240704.2176</v>
      </c>
      <c r="K224" s="377">
        <f t="shared" si="5"/>
        <v>11308076.749972569</v>
      </c>
      <c r="L224" s="376">
        <f t="shared" si="6"/>
        <v>-4865319.8957845215</v>
      </c>
      <c r="M224" s="376">
        <f t="shared" si="7"/>
        <v>6442756.8541880473</v>
      </c>
      <c r="N224" s="376">
        <f t="shared" si="8"/>
        <v>0</v>
      </c>
      <c r="O224" s="347">
        <f t="shared" si="15"/>
        <v>0</v>
      </c>
      <c r="P224" s="347">
        <f t="shared" si="16"/>
        <v>0</v>
      </c>
      <c r="Q224" s="347">
        <f t="shared" si="17"/>
        <v>0</v>
      </c>
      <c r="R224" s="376">
        <f t="shared" si="18"/>
        <v>-1797529.1623184651</v>
      </c>
      <c r="S224" s="376">
        <f t="shared" si="9"/>
        <v>2785289.7058473476</v>
      </c>
      <c r="T224" s="376">
        <f t="shared" si="19"/>
        <v>59957.312650335953</v>
      </c>
      <c r="U224" s="376"/>
      <c r="V224" s="376">
        <f t="shared" si="20"/>
        <v>0</v>
      </c>
      <c r="W224" s="347">
        <f>IF(B224&gt;$C$75,0,$C$214+SUM($J$217:J224))</f>
        <v>7813029.8399999999</v>
      </c>
      <c r="X224" s="378">
        <f t="shared" si="21"/>
        <v>9043843.0978192464</v>
      </c>
    </row>
    <row r="225" spans="1:24" x14ac:dyDescent="0.45">
      <c r="A225" s="550"/>
      <c r="B225" s="344">
        <v>8</v>
      </c>
      <c r="C225" s="1038">
        <f t="shared" si="10"/>
        <v>8.4306959692455302E-2</v>
      </c>
      <c r="D225" s="376">
        <f t="shared" si="11"/>
        <v>47355780.318969361</v>
      </c>
      <c r="E225" s="1038">
        <f t="shared" si="12"/>
        <v>5.5620249975733435E-2</v>
      </c>
      <c r="F225" s="376">
        <f t="shared" si="13"/>
        <v>-31242264.562088188</v>
      </c>
      <c r="G225" s="345">
        <v>4.4600000000000001E-2</v>
      </c>
      <c r="H225" s="376">
        <f t="shared" si="4"/>
        <v>-2106572.622</v>
      </c>
      <c r="I225" s="345">
        <v>2.564E-2</v>
      </c>
      <c r="J225" s="376">
        <f t="shared" si="14"/>
        <v>-240704.2176</v>
      </c>
      <c r="K225" s="377">
        <f t="shared" si="5"/>
        <v>13766238.917281175</v>
      </c>
      <c r="L225" s="376">
        <f t="shared" si="6"/>
        <v>-4972356.9334917832</v>
      </c>
      <c r="M225" s="376">
        <f t="shared" si="7"/>
        <v>8793881.9837893918</v>
      </c>
      <c r="N225" s="376">
        <f t="shared" si="8"/>
        <v>0</v>
      </c>
      <c r="O225" s="347">
        <f t="shared" si="15"/>
        <v>0</v>
      </c>
      <c r="P225" s="347">
        <f t="shared" si="16"/>
        <v>0</v>
      </c>
      <c r="Q225" s="347">
        <f t="shared" si="17"/>
        <v>0</v>
      </c>
      <c r="R225" s="376">
        <f t="shared" si="18"/>
        <v>-2453493.0734772403</v>
      </c>
      <c r="S225" s="376">
        <f t="shared" si="9"/>
        <v>2846566.0793759888</v>
      </c>
      <c r="T225" s="376">
        <f t="shared" si="19"/>
        <v>61276.373528641183</v>
      </c>
      <c r="U225" s="376"/>
      <c r="V225" s="376">
        <f t="shared" si="20"/>
        <v>0</v>
      </c>
      <c r="W225" s="347">
        <f>IF(B225&gt;$C$75,0,$C$214+SUM($J$217:J225))</f>
        <v>7572325.6223999998</v>
      </c>
      <c r="X225" s="378">
        <f t="shared" si="21"/>
        <v>8626389.3763835113</v>
      </c>
    </row>
    <row r="226" spans="1:24" x14ac:dyDescent="0.45">
      <c r="A226" s="550"/>
      <c r="B226" s="344">
        <v>9</v>
      </c>
      <c r="C226" s="1038">
        <f t="shared" si="10"/>
        <v>8.6161712805689308E-2</v>
      </c>
      <c r="D226" s="376">
        <f t="shared" si="11"/>
        <v>48397607.48598668</v>
      </c>
      <c r="E226" s="1038">
        <f t="shared" si="12"/>
        <v>5.6843895475199566E-2</v>
      </c>
      <c r="F226" s="376">
        <f t="shared" si="13"/>
        <v>-31929594.382454123</v>
      </c>
      <c r="G226" s="345">
        <v>0</v>
      </c>
      <c r="H226" s="376">
        <f t="shared" si="4"/>
        <v>0</v>
      </c>
      <c r="I226" s="345">
        <v>2.564E-2</v>
      </c>
      <c r="J226" s="376">
        <f t="shared" si="14"/>
        <v>-240704.2176</v>
      </c>
      <c r="K226" s="377">
        <f t="shared" si="5"/>
        <v>16227308.885932557</v>
      </c>
      <c r="L226" s="376">
        <f t="shared" si="6"/>
        <v>-5081748.7860286012</v>
      </c>
      <c r="M226" s="376">
        <f t="shared" si="7"/>
        <v>11145560.099903956</v>
      </c>
      <c r="N226" s="376">
        <f t="shared" si="8"/>
        <v>0</v>
      </c>
      <c r="O226" s="347">
        <f t="shared" si="15"/>
        <v>0</v>
      </c>
      <c r="P226" s="347">
        <f t="shared" si="16"/>
        <v>0</v>
      </c>
      <c r="Q226" s="347">
        <f t="shared" si="17"/>
        <v>0</v>
      </c>
      <c r="R226" s="376">
        <f t="shared" si="18"/>
        <v>-3109611.2678732034</v>
      </c>
      <c r="S226" s="376">
        <f t="shared" si="9"/>
        <v>2909190.5331222601</v>
      </c>
      <c r="T226" s="376">
        <f t="shared" si="19"/>
        <v>62624.45374627132</v>
      </c>
      <c r="U226" s="376"/>
      <c r="V226" s="376">
        <f t="shared" si="20"/>
        <v>0</v>
      </c>
      <c r="W226" s="347">
        <f>IF(B226&gt;$C$75,0,$C$214+SUM($J$217:J226))</f>
        <v>7331621.4047999997</v>
      </c>
      <c r="X226" s="378">
        <f t="shared" si="21"/>
        <v>8214028.5958844814</v>
      </c>
    </row>
    <row r="227" spans="1:24" x14ac:dyDescent="0.45">
      <c r="A227" s="550"/>
      <c r="B227" s="344">
        <v>10</v>
      </c>
      <c r="C227" s="1038">
        <f t="shared" si="10"/>
        <v>8.8057270487414477E-2</v>
      </c>
      <c r="D227" s="376">
        <f t="shared" si="11"/>
        <v>49462354.850678384</v>
      </c>
      <c r="E227" s="1038">
        <f t="shared" si="12"/>
        <v>5.8094461175653957E-2</v>
      </c>
      <c r="F227" s="376">
        <f t="shared" si="13"/>
        <v>-32632045.458868112</v>
      </c>
      <c r="G227" s="345">
        <v>0</v>
      </c>
      <c r="H227" s="376">
        <f t="shared" si="4"/>
        <v>0</v>
      </c>
      <c r="I227" s="345">
        <v>2.564E-2</v>
      </c>
      <c r="J227" s="376">
        <f t="shared" si="14"/>
        <v>-240704.2176</v>
      </c>
      <c r="K227" s="377">
        <f t="shared" si="5"/>
        <v>16589605.174210273</v>
      </c>
      <c r="L227" s="376">
        <f t="shared" si="6"/>
        <v>-5193547.2593212305</v>
      </c>
      <c r="M227" s="376">
        <f t="shared" si="7"/>
        <v>11396057.914889041</v>
      </c>
      <c r="N227" s="376">
        <f t="shared" si="8"/>
        <v>-1458213.1871999996</v>
      </c>
      <c r="O227" s="347">
        <f t="shared" si="15"/>
        <v>0</v>
      </c>
      <c r="P227" s="347">
        <f t="shared" si="16"/>
        <v>0</v>
      </c>
      <c r="Q227" s="347">
        <f t="shared" si="17"/>
        <v>0</v>
      </c>
      <c r="R227" s="376">
        <f t="shared" si="18"/>
        <v>-2772658.6790252426</v>
      </c>
      <c r="S227" s="376">
        <f t="shared" si="9"/>
        <v>0</v>
      </c>
      <c r="T227" s="376">
        <f t="shared" si="19"/>
        <v>-2909190.5331222601</v>
      </c>
      <c r="U227" s="376"/>
      <c r="V227" s="376">
        <f t="shared" si="20"/>
        <v>5632704</v>
      </c>
      <c r="W227" s="347">
        <f>IF(B227&gt;$C$75,0,$C$214+SUM($J$217:J227))</f>
        <v>7090917.1871999996</v>
      </c>
      <c r="X227" s="378">
        <f t="shared" si="21"/>
        <v>17405997.986586057</v>
      </c>
    </row>
    <row r="228" spans="1:24" x14ac:dyDescent="0.45">
      <c r="A228" s="550"/>
      <c r="B228" s="344">
        <v>11</v>
      </c>
      <c r="C228" s="1038">
        <f t="shared" si="10"/>
        <v>0</v>
      </c>
      <c r="D228" s="376">
        <f t="shared" si="11"/>
        <v>0</v>
      </c>
      <c r="E228" s="1038">
        <f t="shared" si="12"/>
        <v>0</v>
      </c>
      <c r="F228" s="376">
        <f t="shared" si="13"/>
        <v>0</v>
      </c>
      <c r="G228" s="345">
        <v>0</v>
      </c>
      <c r="H228" s="376">
        <f t="shared" si="4"/>
        <v>0</v>
      </c>
      <c r="I228" s="345">
        <v>2.564E-2</v>
      </c>
      <c r="J228" s="376">
        <f t="shared" si="14"/>
        <v>0</v>
      </c>
      <c r="K228" s="377">
        <f t="shared" si="5"/>
        <v>0</v>
      </c>
      <c r="L228" s="376">
        <f t="shared" si="6"/>
        <v>0</v>
      </c>
      <c r="M228" s="376">
        <f t="shared" si="7"/>
        <v>0</v>
      </c>
      <c r="N228" s="376">
        <f t="shared" si="8"/>
        <v>0</v>
      </c>
      <c r="O228" s="347">
        <f t="shared" si="15"/>
        <v>0</v>
      </c>
      <c r="P228" s="347">
        <f t="shared" si="16"/>
        <v>0</v>
      </c>
      <c r="Q228" s="347">
        <f t="shared" si="17"/>
        <v>0</v>
      </c>
      <c r="R228" s="376">
        <f t="shared" si="18"/>
        <v>0</v>
      </c>
      <c r="S228" s="376">
        <f t="shared" si="9"/>
        <v>0</v>
      </c>
      <c r="T228" s="376">
        <f t="shared" si="19"/>
        <v>0</v>
      </c>
      <c r="U228" s="376"/>
      <c r="V228" s="376">
        <f t="shared" si="20"/>
        <v>0</v>
      </c>
      <c r="W228" s="347">
        <f>IF(B228&gt;$C$75,0,$C$214+SUM($J$217:J228))</f>
        <v>0</v>
      </c>
      <c r="X228" s="378">
        <f t="shared" si="21"/>
        <v>0</v>
      </c>
    </row>
    <row r="229" spans="1:24" x14ac:dyDescent="0.45">
      <c r="A229" s="550"/>
      <c r="B229" s="344">
        <v>12</v>
      </c>
      <c r="C229" s="1038">
        <f t="shared" si="10"/>
        <v>0</v>
      </c>
      <c r="D229" s="376">
        <f t="shared" si="11"/>
        <v>0</v>
      </c>
      <c r="E229" s="1038">
        <f t="shared" si="12"/>
        <v>0</v>
      </c>
      <c r="F229" s="376">
        <f t="shared" si="13"/>
        <v>0</v>
      </c>
      <c r="G229" s="345">
        <v>0</v>
      </c>
      <c r="H229" s="376">
        <f t="shared" si="4"/>
        <v>0</v>
      </c>
      <c r="I229" s="345">
        <v>2.564E-2</v>
      </c>
      <c r="J229" s="376">
        <f t="shared" si="14"/>
        <v>0</v>
      </c>
      <c r="K229" s="377">
        <f t="shared" si="5"/>
        <v>0</v>
      </c>
      <c r="L229" s="376">
        <f t="shared" si="6"/>
        <v>0</v>
      </c>
      <c r="M229" s="376">
        <f t="shared" si="7"/>
        <v>0</v>
      </c>
      <c r="N229" s="376">
        <f t="shared" si="8"/>
        <v>0</v>
      </c>
      <c r="O229" s="347">
        <f t="shared" si="15"/>
        <v>0</v>
      </c>
      <c r="P229" s="347">
        <f t="shared" si="16"/>
        <v>0</v>
      </c>
      <c r="Q229" s="347">
        <f t="shared" si="17"/>
        <v>0</v>
      </c>
      <c r="R229" s="376">
        <f t="shared" si="18"/>
        <v>0</v>
      </c>
      <c r="S229" s="376">
        <f t="shared" si="9"/>
        <v>0</v>
      </c>
      <c r="T229" s="376">
        <f t="shared" si="19"/>
        <v>0</v>
      </c>
      <c r="U229" s="376"/>
      <c r="V229" s="376">
        <f t="shared" si="20"/>
        <v>0</v>
      </c>
      <c r="W229" s="347">
        <f>IF(B229&gt;$C$75,0,$C$214+SUM($J$217:J229))</f>
        <v>0</v>
      </c>
      <c r="X229" s="378">
        <f t="shared" si="21"/>
        <v>0</v>
      </c>
    </row>
    <row r="230" spans="1:24" x14ac:dyDescent="0.45">
      <c r="A230" s="550"/>
      <c r="B230" s="344">
        <v>13</v>
      </c>
      <c r="C230" s="1038">
        <f t="shared" si="10"/>
        <v>0</v>
      </c>
      <c r="D230" s="376">
        <f t="shared" si="11"/>
        <v>0</v>
      </c>
      <c r="E230" s="1038">
        <f t="shared" si="12"/>
        <v>0</v>
      </c>
      <c r="F230" s="376">
        <f t="shared" si="13"/>
        <v>0</v>
      </c>
      <c r="G230" s="345">
        <v>0</v>
      </c>
      <c r="H230" s="376">
        <f t="shared" si="4"/>
        <v>0</v>
      </c>
      <c r="I230" s="345">
        <v>2.564E-2</v>
      </c>
      <c r="J230" s="376">
        <f t="shared" si="14"/>
        <v>0</v>
      </c>
      <c r="K230" s="377">
        <f t="shared" si="5"/>
        <v>0</v>
      </c>
      <c r="L230" s="376">
        <f t="shared" si="6"/>
        <v>0</v>
      </c>
      <c r="M230" s="376">
        <f t="shared" si="7"/>
        <v>0</v>
      </c>
      <c r="N230" s="376">
        <f t="shared" si="8"/>
        <v>0</v>
      </c>
      <c r="O230" s="347">
        <f t="shared" si="15"/>
        <v>0</v>
      </c>
      <c r="P230" s="347">
        <f t="shared" si="16"/>
        <v>0</v>
      </c>
      <c r="Q230" s="347">
        <f t="shared" si="17"/>
        <v>0</v>
      </c>
      <c r="R230" s="376">
        <f t="shared" si="18"/>
        <v>0</v>
      </c>
      <c r="S230" s="376">
        <f t="shared" si="9"/>
        <v>0</v>
      </c>
      <c r="T230" s="376">
        <f t="shared" si="19"/>
        <v>0</v>
      </c>
      <c r="U230" s="376"/>
      <c r="V230" s="376">
        <f t="shared" si="20"/>
        <v>0</v>
      </c>
      <c r="W230" s="347">
        <f>IF(B230&gt;$C$75,0,$C$214+SUM($J$217:J230))</f>
        <v>0</v>
      </c>
      <c r="X230" s="378">
        <f t="shared" si="21"/>
        <v>0</v>
      </c>
    </row>
    <row r="231" spans="1:24" x14ac:dyDescent="0.45">
      <c r="A231" s="550"/>
      <c r="B231" s="344">
        <v>14</v>
      </c>
      <c r="C231" s="1038">
        <f t="shared" si="10"/>
        <v>0</v>
      </c>
      <c r="D231" s="376">
        <f t="shared" si="11"/>
        <v>0</v>
      </c>
      <c r="E231" s="1038">
        <f t="shared" si="12"/>
        <v>0</v>
      </c>
      <c r="F231" s="376">
        <f t="shared" si="13"/>
        <v>0</v>
      </c>
      <c r="G231" s="345">
        <v>0</v>
      </c>
      <c r="H231" s="376">
        <f t="shared" si="4"/>
        <v>0</v>
      </c>
      <c r="I231" s="345">
        <v>2.564E-2</v>
      </c>
      <c r="J231" s="376">
        <f t="shared" si="14"/>
        <v>0</v>
      </c>
      <c r="K231" s="377">
        <f t="shared" si="5"/>
        <v>0</v>
      </c>
      <c r="L231" s="376">
        <f t="shared" si="6"/>
        <v>0</v>
      </c>
      <c r="M231" s="376">
        <f t="shared" si="7"/>
        <v>0</v>
      </c>
      <c r="N231" s="376">
        <f t="shared" si="8"/>
        <v>0</v>
      </c>
      <c r="O231" s="347">
        <f t="shared" si="15"/>
        <v>0</v>
      </c>
      <c r="P231" s="347">
        <f t="shared" si="16"/>
        <v>0</v>
      </c>
      <c r="Q231" s="347">
        <f t="shared" si="17"/>
        <v>0</v>
      </c>
      <c r="R231" s="376">
        <f t="shared" si="18"/>
        <v>0</v>
      </c>
      <c r="S231" s="376">
        <f t="shared" si="9"/>
        <v>0</v>
      </c>
      <c r="T231" s="376">
        <f t="shared" si="19"/>
        <v>0</v>
      </c>
      <c r="U231" s="376"/>
      <c r="V231" s="376">
        <f t="shared" si="20"/>
        <v>0</v>
      </c>
      <c r="W231" s="347">
        <f>IF(B231&gt;$C$75,0,$C$214+SUM($J$217:J231))</f>
        <v>0</v>
      </c>
      <c r="X231" s="378">
        <f t="shared" si="21"/>
        <v>0</v>
      </c>
    </row>
    <row r="232" spans="1:24" x14ac:dyDescent="0.45">
      <c r="A232" s="550"/>
      <c r="B232" s="344">
        <v>15</v>
      </c>
      <c r="C232" s="1038">
        <f t="shared" si="10"/>
        <v>0</v>
      </c>
      <c r="D232" s="376">
        <f t="shared" si="11"/>
        <v>0</v>
      </c>
      <c r="E232" s="1038">
        <f t="shared" si="12"/>
        <v>0</v>
      </c>
      <c r="F232" s="376">
        <f t="shared" si="13"/>
        <v>0</v>
      </c>
      <c r="G232" s="345">
        <v>0</v>
      </c>
      <c r="H232" s="376">
        <f t="shared" si="4"/>
        <v>0</v>
      </c>
      <c r="I232" s="345">
        <v>2.564E-2</v>
      </c>
      <c r="J232" s="376">
        <f t="shared" si="14"/>
        <v>0</v>
      </c>
      <c r="K232" s="377">
        <f t="shared" si="5"/>
        <v>0</v>
      </c>
      <c r="L232" s="376">
        <f t="shared" si="6"/>
        <v>0</v>
      </c>
      <c r="M232" s="376">
        <f t="shared" si="7"/>
        <v>0</v>
      </c>
      <c r="N232" s="376">
        <f t="shared" si="8"/>
        <v>0</v>
      </c>
      <c r="O232" s="347">
        <f t="shared" si="15"/>
        <v>0</v>
      </c>
      <c r="P232" s="347">
        <f t="shared" si="16"/>
        <v>0</v>
      </c>
      <c r="Q232" s="347">
        <f t="shared" si="17"/>
        <v>0</v>
      </c>
      <c r="R232" s="376">
        <f t="shared" si="18"/>
        <v>0</v>
      </c>
      <c r="S232" s="376">
        <f t="shared" si="9"/>
        <v>0</v>
      </c>
      <c r="T232" s="376">
        <f t="shared" si="19"/>
        <v>0</v>
      </c>
      <c r="U232" s="376"/>
      <c r="V232" s="376">
        <f t="shared" si="20"/>
        <v>0</v>
      </c>
      <c r="W232" s="347">
        <f>IF(B232&gt;$C$75,0,$C$214+SUM($J$217:J232))</f>
        <v>0</v>
      </c>
      <c r="X232" s="378">
        <f t="shared" si="21"/>
        <v>0</v>
      </c>
    </row>
    <row r="233" spans="1:24" x14ac:dyDescent="0.45">
      <c r="A233" s="550"/>
      <c r="B233" s="344">
        <v>16</v>
      </c>
      <c r="C233" s="1038">
        <f t="shared" si="10"/>
        <v>0</v>
      </c>
      <c r="D233" s="376">
        <f t="shared" si="11"/>
        <v>0</v>
      </c>
      <c r="E233" s="1038">
        <f t="shared" si="12"/>
        <v>0</v>
      </c>
      <c r="F233" s="376">
        <f t="shared" si="13"/>
        <v>0</v>
      </c>
      <c r="G233" s="345">
        <v>0</v>
      </c>
      <c r="H233" s="376">
        <f t="shared" si="4"/>
        <v>0</v>
      </c>
      <c r="I233" s="345">
        <v>2.564E-2</v>
      </c>
      <c r="J233" s="376">
        <f t="shared" si="14"/>
        <v>0</v>
      </c>
      <c r="K233" s="377">
        <f t="shared" si="5"/>
        <v>0</v>
      </c>
      <c r="L233" s="376">
        <f t="shared" si="6"/>
        <v>0</v>
      </c>
      <c r="M233" s="376">
        <f t="shared" si="7"/>
        <v>0</v>
      </c>
      <c r="N233" s="376">
        <f t="shared" si="8"/>
        <v>0</v>
      </c>
      <c r="O233" s="347">
        <f t="shared" si="15"/>
        <v>0</v>
      </c>
      <c r="P233" s="347">
        <f t="shared" si="16"/>
        <v>0</v>
      </c>
      <c r="Q233" s="347">
        <f t="shared" si="17"/>
        <v>0</v>
      </c>
      <c r="R233" s="376">
        <f t="shared" si="18"/>
        <v>0</v>
      </c>
      <c r="S233" s="376">
        <f t="shared" si="9"/>
        <v>0</v>
      </c>
      <c r="T233" s="376">
        <f t="shared" si="19"/>
        <v>0</v>
      </c>
      <c r="U233" s="376"/>
      <c r="V233" s="376">
        <f t="shared" si="20"/>
        <v>0</v>
      </c>
      <c r="W233" s="347">
        <f>IF(B233&gt;$C$75,0,$C$214+SUM($J$217:J233))</f>
        <v>0</v>
      </c>
      <c r="X233" s="378">
        <f t="shared" si="21"/>
        <v>0</v>
      </c>
    </row>
    <row r="234" spans="1:24" x14ac:dyDescent="0.45">
      <c r="A234" s="550"/>
      <c r="B234" s="344">
        <v>17</v>
      </c>
      <c r="C234" s="1038">
        <f t="shared" si="10"/>
        <v>0</v>
      </c>
      <c r="D234" s="376">
        <f t="shared" si="11"/>
        <v>0</v>
      </c>
      <c r="E234" s="1038">
        <f t="shared" si="12"/>
        <v>0</v>
      </c>
      <c r="F234" s="376">
        <f t="shared" si="13"/>
        <v>0</v>
      </c>
      <c r="G234" s="345">
        <v>0</v>
      </c>
      <c r="H234" s="376">
        <f t="shared" si="4"/>
        <v>0</v>
      </c>
      <c r="I234" s="345">
        <v>2.564E-2</v>
      </c>
      <c r="J234" s="376">
        <f t="shared" si="14"/>
        <v>0</v>
      </c>
      <c r="K234" s="377">
        <f t="shared" si="5"/>
        <v>0</v>
      </c>
      <c r="L234" s="376">
        <f t="shared" si="6"/>
        <v>0</v>
      </c>
      <c r="M234" s="376">
        <f t="shared" si="7"/>
        <v>0</v>
      </c>
      <c r="N234" s="376">
        <f t="shared" si="8"/>
        <v>0</v>
      </c>
      <c r="O234" s="347">
        <f t="shared" si="15"/>
        <v>0</v>
      </c>
      <c r="P234" s="347">
        <f t="shared" si="16"/>
        <v>0</v>
      </c>
      <c r="Q234" s="347">
        <f t="shared" si="17"/>
        <v>0</v>
      </c>
      <c r="R234" s="376">
        <f t="shared" si="18"/>
        <v>0</v>
      </c>
      <c r="S234" s="376">
        <f t="shared" si="9"/>
        <v>0</v>
      </c>
      <c r="T234" s="376">
        <f t="shared" si="19"/>
        <v>0</v>
      </c>
      <c r="U234" s="376"/>
      <c r="V234" s="376">
        <f t="shared" si="20"/>
        <v>0</v>
      </c>
      <c r="W234" s="347">
        <f>IF(B234&gt;$C$75,0,$C$214+SUM($J$217:J234))</f>
        <v>0</v>
      </c>
      <c r="X234" s="378">
        <f t="shared" si="21"/>
        <v>0</v>
      </c>
    </row>
    <row r="235" spans="1:24" x14ac:dyDescent="0.45">
      <c r="A235" s="550"/>
      <c r="B235" s="344">
        <v>18</v>
      </c>
      <c r="C235" s="1038">
        <f t="shared" si="10"/>
        <v>0</v>
      </c>
      <c r="D235" s="376">
        <f t="shared" si="11"/>
        <v>0</v>
      </c>
      <c r="E235" s="1038">
        <f t="shared" si="12"/>
        <v>0</v>
      </c>
      <c r="F235" s="376">
        <f t="shared" si="13"/>
        <v>0</v>
      </c>
      <c r="G235" s="345">
        <v>0</v>
      </c>
      <c r="H235" s="376">
        <f t="shared" si="4"/>
        <v>0</v>
      </c>
      <c r="I235" s="345">
        <v>2.564E-2</v>
      </c>
      <c r="J235" s="376">
        <f t="shared" si="14"/>
        <v>0</v>
      </c>
      <c r="K235" s="377">
        <f t="shared" si="5"/>
        <v>0</v>
      </c>
      <c r="L235" s="376">
        <f t="shared" si="6"/>
        <v>0</v>
      </c>
      <c r="M235" s="376">
        <f t="shared" si="7"/>
        <v>0</v>
      </c>
      <c r="N235" s="376">
        <f t="shared" si="8"/>
        <v>0</v>
      </c>
      <c r="O235" s="347">
        <f t="shared" si="15"/>
        <v>0</v>
      </c>
      <c r="P235" s="347">
        <f t="shared" si="16"/>
        <v>0</v>
      </c>
      <c r="Q235" s="347">
        <f t="shared" si="17"/>
        <v>0</v>
      </c>
      <c r="R235" s="376">
        <f t="shared" si="18"/>
        <v>0</v>
      </c>
      <c r="S235" s="376">
        <f t="shared" si="9"/>
        <v>0</v>
      </c>
      <c r="T235" s="376">
        <f t="shared" si="19"/>
        <v>0</v>
      </c>
      <c r="U235" s="376"/>
      <c r="V235" s="376">
        <f t="shared" si="20"/>
        <v>0</v>
      </c>
      <c r="W235" s="347">
        <f>IF(B235&gt;$C$75,0,$C$214+SUM($J$217:J235))</f>
        <v>0</v>
      </c>
      <c r="X235" s="378">
        <f t="shared" si="21"/>
        <v>0</v>
      </c>
    </row>
    <row r="236" spans="1:24" x14ac:dyDescent="0.45">
      <c r="A236" s="550"/>
      <c r="B236" s="344">
        <v>19</v>
      </c>
      <c r="C236" s="1038">
        <f t="shared" si="10"/>
        <v>0</v>
      </c>
      <c r="D236" s="376">
        <f t="shared" si="11"/>
        <v>0</v>
      </c>
      <c r="E236" s="1038">
        <f t="shared" si="12"/>
        <v>0</v>
      </c>
      <c r="F236" s="376">
        <f t="shared" si="13"/>
        <v>0</v>
      </c>
      <c r="G236" s="345">
        <v>0</v>
      </c>
      <c r="H236" s="376">
        <f t="shared" si="4"/>
        <v>0</v>
      </c>
      <c r="I236" s="345">
        <v>2.564E-2</v>
      </c>
      <c r="J236" s="376">
        <f t="shared" si="14"/>
        <v>0</v>
      </c>
      <c r="K236" s="377">
        <f t="shared" si="5"/>
        <v>0</v>
      </c>
      <c r="L236" s="376">
        <f t="shared" si="6"/>
        <v>0</v>
      </c>
      <c r="M236" s="376">
        <f t="shared" si="7"/>
        <v>0</v>
      </c>
      <c r="N236" s="376">
        <f t="shared" si="8"/>
        <v>0</v>
      </c>
      <c r="O236" s="347">
        <f t="shared" si="15"/>
        <v>0</v>
      </c>
      <c r="P236" s="347">
        <f t="shared" si="16"/>
        <v>0</v>
      </c>
      <c r="Q236" s="347">
        <f t="shared" si="17"/>
        <v>0</v>
      </c>
      <c r="R236" s="376">
        <f t="shared" si="18"/>
        <v>0</v>
      </c>
      <c r="S236" s="376">
        <f t="shared" si="9"/>
        <v>0</v>
      </c>
      <c r="T236" s="376">
        <f t="shared" si="19"/>
        <v>0</v>
      </c>
      <c r="U236" s="376"/>
      <c r="V236" s="376">
        <f t="shared" si="20"/>
        <v>0</v>
      </c>
      <c r="W236" s="347">
        <f>IF(B236&gt;$C$75,0,$C$214+SUM($J$217:J236))</f>
        <v>0</v>
      </c>
      <c r="X236" s="378">
        <f t="shared" si="21"/>
        <v>0</v>
      </c>
    </row>
    <row r="237" spans="1:24" x14ac:dyDescent="0.45">
      <c r="A237" s="550"/>
      <c r="B237" s="344">
        <v>20</v>
      </c>
      <c r="C237" s="1038">
        <f t="shared" si="10"/>
        <v>0</v>
      </c>
      <c r="D237" s="376">
        <f t="shared" si="11"/>
        <v>0</v>
      </c>
      <c r="E237" s="1038">
        <f t="shared" si="12"/>
        <v>0</v>
      </c>
      <c r="F237" s="376">
        <f t="shared" si="13"/>
        <v>0</v>
      </c>
      <c r="G237" s="345">
        <v>0</v>
      </c>
      <c r="H237" s="376">
        <f t="shared" si="4"/>
        <v>0</v>
      </c>
      <c r="I237" s="345">
        <v>2.564E-2</v>
      </c>
      <c r="J237" s="376">
        <f t="shared" si="14"/>
        <v>0</v>
      </c>
      <c r="K237" s="377">
        <f t="shared" si="5"/>
        <v>0</v>
      </c>
      <c r="L237" s="376">
        <f t="shared" si="6"/>
        <v>0</v>
      </c>
      <c r="M237" s="376">
        <f t="shared" si="7"/>
        <v>0</v>
      </c>
      <c r="N237" s="376">
        <f t="shared" si="8"/>
        <v>0</v>
      </c>
      <c r="O237" s="347">
        <f t="shared" si="15"/>
        <v>0</v>
      </c>
      <c r="P237" s="347">
        <f t="shared" si="16"/>
        <v>0</v>
      </c>
      <c r="Q237" s="347">
        <f t="shared" si="17"/>
        <v>0</v>
      </c>
      <c r="R237" s="376">
        <f t="shared" si="18"/>
        <v>0</v>
      </c>
      <c r="S237" s="376">
        <f t="shared" si="9"/>
        <v>0</v>
      </c>
      <c r="T237" s="376">
        <f t="shared" si="19"/>
        <v>0</v>
      </c>
      <c r="U237" s="376"/>
      <c r="V237" s="376">
        <f t="shared" si="20"/>
        <v>0</v>
      </c>
      <c r="W237" s="347">
        <f>IF(B237&gt;$C$75,0,$C$214+SUM($J$217:J237))</f>
        <v>0</v>
      </c>
      <c r="X237" s="378">
        <f t="shared" si="21"/>
        <v>0</v>
      </c>
    </row>
    <row r="238" spans="1:24" x14ac:dyDescent="0.45">
      <c r="A238" s="550"/>
      <c r="B238" s="344"/>
      <c r="C238" s="1038"/>
      <c r="D238" s="349"/>
      <c r="E238" s="345"/>
      <c r="F238" s="349"/>
      <c r="G238" s="345"/>
      <c r="H238" s="349"/>
      <c r="I238" s="345"/>
      <c r="J238" s="349"/>
      <c r="K238" s="349"/>
      <c r="L238" s="349"/>
      <c r="M238" s="349"/>
      <c r="N238" s="345"/>
      <c r="O238" s="345"/>
      <c r="P238" s="345"/>
      <c r="Q238" s="345"/>
      <c r="R238" s="349"/>
      <c r="S238" s="349"/>
      <c r="T238" s="345"/>
      <c r="U238" s="345"/>
      <c r="V238" s="345"/>
      <c r="W238" s="348" t="s">
        <v>158</v>
      </c>
      <c r="X238" s="353">
        <f>NPV($C$201,X218:X237)+X217</f>
        <v>0</v>
      </c>
    </row>
    <row r="239" spans="1:24" x14ac:dyDescent="0.45">
      <c r="A239" s="550"/>
      <c r="B239" s="344"/>
      <c r="C239" s="1038"/>
      <c r="D239" s="360"/>
      <c r="E239" s="345"/>
      <c r="F239" s="360"/>
      <c r="G239" s="345"/>
      <c r="H239" s="360"/>
      <c r="I239" s="345"/>
      <c r="J239" s="360"/>
      <c r="K239" s="360"/>
      <c r="L239" s="360"/>
      <c r="M239" s="360"/>
      <c r="N239" s="345"/>
      <c r="O239" s="345"/>
      <c r="P239" s="345"/>
      <c r="Q239" s="345"/>
      <c r="R239" s="360"/>
      <c r="S239" s="360"/>
      <c r="T239" s="345"/>
      <c r="U239" s="345"/>
      <c r="V239" s="345"/>
      <c r="W239" s="348" t="s">
        <v>134</v>
      </c>
      <c r="X239" s="837">
        <f>IRR(X217:X237,0.1)</f>
        <v>0.10000000000000009</v>
      </c>
    </row>
    <row r="240" spans="1:24" x14ac:dyDescent="0.45">
      <c r="A240" s="550"/>
      <c r="B240" s="344"/>
      <c r="C240" s="1038"/>
      <c r="D240" s="828"/>
      <c r="E240" s="345"/>
      <c r="F240" s="345"/>
      <c r="G240" s="345"/>
      <c r="H240" s="345"/>
      <c r="I240" s="345"/>
      <c r="J240" s="345"/>
      <c r="K240" s="348"/>
      <c r="L240" s="345"/>
      <c r="M240" s="345"/>
      <c r="N240" s="345"/>
      <c r="O240" s="345"/>
      <c r="P240" s="345"/>
      <c r="Q240" s="345"/>
      <c r="R240" s="345"/>
      <c r="S240" s="345"/>
      <c r="T240" s="345"/>
      <c r="U240" s="345"/>
      <c r="V240" s="345"/>
      <c r="W240" s="345"/>
      <c r="X240" s="346"/>
    </row>
    <row r="241" spans="1:24" x14ac:dyDescent="0.45">
      <c r="A241" s="550"/>
      <c r="B241" s="357" t="s">
        <v>30</v>
      </c>
      <c r="C241" s="1038"/>
      <c r="D241" s="358"/>
      <c r="E241" s="345"/>
      <c r="F241" s="348"/>
      <c r="G241" s="345"/>
      <c r="H241" s="345"/>
      <c r="I241" s="345"/>
      <c r="J241" s="345"/>
      <c r="K241" s="345"/>
      <c r="L241" s="345"/>
      <c r="M241" s="345"/>
      <c r="N241" s="345"/>
      <c r="O241" s="345"/>
      <c r="P241" s="345"/>
      <c r="Q241" s="345"/>
      <c r="R241" s="345"/>
      <c r="S241" s="345"/>
      <c r="T241" s="345"/>
      <c r="U241" s="345"/>
      <c r="V241" s="345"/>
      <c r="W241" s="345"/>
      <c r="X241" s="346"/>
    </row>
    <row r="242" spans="1:24" x14ac:dyDescent="0.45">
      <c r="A242" s="550"/>
      <c r="B242" s="344" t="s">
        <v>270</v>
      </c>
      <c r="C242" s="832">
        <f>$D$83*$C$76</f>
        <v>57936384</v>
      </c>
      <c r="D242" s="345" t="s">
        <v>1</v>
      </c>
      <c r="E242" s="345"/>
      <c r="F242" s="345"/>
      <c r="G242" s="345"/>
      <c r="H242" s="345"/>
      <c r="I242" s="345"/>
      <c r="J242" s="345"/>
      <c r="K242" s="345"/>
      <c r="L242" s="345"/>
      <c r="M242" s="345"/>
      <c r="N242" s="345"/>
      <c r="O242" s="345"/>
      <c r="P242" s="345"/>
      <c r="Q242" s="345"/>
      <c r="R242" s="345"/>
      <c r="S242" s="345"/>
      <c r="T242" s="345"/>
      <c r="U242" s="345"/>
      <c r="V242" s="345"/>
      <c r="W242" s="345"/>
      <c r="X242" s="346"/>
    </row>
    <row r="243" spans="1:24" x14ac:dyDescent="0.45">
      <c r="A243" s="550"/>
      <c r="B243" s="344" t="s">
        <v>271</v>
      </c>
      <c r="C243" s="832">
        <f>$E$83*$C$79</f>
        <v>9806940.0000000019</v>
      </c>
      <c r="D243" s="345" t="s">
        <v>1</v>
      </c>
      <c r="E243" s="345"/>
      <c r="F243" s="345"/>
      <c r="G243" s="347"/>
      <c r="H243" s="345"/>
      <c r="I243" s="345"/>
      <c r="J243" s="345"/>
      <c r="K243" s="345"/>
      <c r="L243" s="345"/>
      <c r="M243" s="345"/>
      <c r="N243" s="345"/>
      <c r="O243" s="345"/>
      <c r="P243" s="345"/>
      <c r="Q243" s="345"/>
      <c r="R243" s="345"/>
      <c r="S243" s="345"/>
      <c r="T243" s="345"/>
      <c r="U243" s="345"/>
      <c r="V243" s="345"/>
      <c r="W243" s="345"/>
      <c r="X243" s="346"/>
    </row>
    <row r="244" spans="1:24" x14ac:dyDescent="0.45">
      <c r="A244" s="550"/>
      <c r="B244" s="829"/>
      <c r="C244" s="1038"/>
      <c r="D244" s="358"/>
      <c r="E244" s="345"/>
      <c r="F244" s="348"/>
      <c r="G244" s="345"/>
      <c r="H244" s="345"/>
      <c r="I244" s="345"/>
      <c r="J244" s="345"/>
      <c r="K244" s="345"/>
      <c r="L244" s="345"/>
      <c r="M244" s="345"/>
      <c r="N244" s="345"/>
      <c r="O244" s="345"/>
      <c r="P244" s="345"/>
      <c r="Q244" s="345"/>
      <c r="R244" s="345"/>
      <c r="S244" s="345"/>
      <c r="T244" s="345"/>
      <c r="U244" s="345"/>
      <c r="V244" s="345"/>
      <c r="W244" s="345"/>
      <c r="X244" s="346"/>
    </row>
    <row r="245" spans="1:24" x14ac:dyDescent="0.45">
      <c r="A245" s="550"/>
      <c r="B245" s="354" t="s">
        <v>27</v>
      </c>
      <c r="C245" s="1040" t="s">
        <v>379</v>
      </c>
      <c r="D245" s="355" t="s">
        <v>128</v>
      </c>
      <c r="E245" s="355" t="s">
        <v>380</v>
      </c>
      <c r="F245" s="355" t="s">
        <v>245</v>
      </c>
      <c r="G245" s="355" t="s">
        <v>367</v>
      </c>
      <c r="H245" s="355" t="s">
        <v>368</v>
      </c>
      <c r="I245" s="355" t="s">
        <v>369</v>
      </c>
      <c r="J245" s="355" t="s">
        <v>370</v>
      </c>
      <c r="K245" s="355" t="s">
        <v>131</v>
      </c>
      <c r="L245" s="355" t="s">
        <v>130</v>
      </c>
      <c r="M245" s="355" t="s">
        <v>129</v>
      </c>
      <c r="N245" s="355" t="s">
        <v>374</v>
      </c>
      <c r="O245" s="355" t="s">
        <v>124</v>
      </c>
      <c r="P245" s="355" t="s">
        <v>125</v>
      </c>
      <c r="Q245" s="355" t="s">
        <v>126</v>
      </c>
      <c r="R245" s="355" t="s">
        <v>155</v>
      </c>
      <c r="S245" s="355" t="s">
        <v>157</v>
      </c>
      <c r="T245" s="355" t="s">
        <v>156</v>
      </c>
      <c r="U245" s="345" t="s">
        <v>280</v>
      </c>
      <c r="V245" s="355" t="s">
        <v>375</v>
      </c>
      <c r="W245" s="355" t="s">
        <v>373</v>
      </c>
      <c r="X245" s="835" t="s">
        <v>164</v>
      </c>
    </row>
    <row r="246" spans="1:24" x14ac:dyDescent="0.45">
      <c r="A246" s="550"/>
      <c r="B246" s="359">
        <v>0</v>
      </c>
      <c r="C246" s="1039">
        <v>8.6633256401400016E-2</v>
      </c>
      <c r="D246" s="375">
        <v>0</v>
      </c>
      <c r="E246" s="833">
        <f>SUM(I37,I38,IF(C80=0,0,((D93+L32*D93/(D92+D93))*E32)),(G101+L33*G101/(G100+G101))*E33,(E142+L34*E142/(E141+E142))*E34)</f>
        <v>5.2152303424076174E-2</v>
      </c>
      <c r="F246" s="375">
        <v>0</v>
      </c>
      <c r="G246" s="345">
        <v>0</v>
      </c>
      <c r="H246" s="376">
        <f t="shared" ref="H246:H266" si="22">IF(D246&gt;0,-1*G246*$C$242,0)</f>
        <v>0</v>
      </c>
      <c r="I246" s="376">
        <v>0</v>
      </c>
      <c r="J246" s="376">
        <v>0</v>
      </c>
      <c r="K246" s="379">
        <f t="shared" ref="K246:K266" si="23">D246+F246+H246+J246</f>
        <v>0</v>
      </c>
      <c r="L246" s="375">
        <f t="shared" ref="L246:L266" si="24">IF(F246&lt;&gt;0,-1*($C$203+$C$204)*D246,0)</f>
        <v>0</v>
      </c>
      <c r="M246" s="375">
        <f t="shared" ref="M246:M266" si="25">K246+L246</f>
        <v>0</v>
      </c>
      <c r="N246" s="376">
        <f t="shared" ref="N246:N266" si="26">IF(V246&gt;0,V246-W246,0)</f>
        <v>0</v>
      </c>
      <c r="O246" s="347">
        <v>0</v>
      </c>
      <c r="P246" s="347">
        <v>0</v>
      </c>
      <c r="Q246" s="347">
        <v>0</v>
      </c>
      <c r="R246" s="376">
        <f>IF(M246&gt;0,-1*(M246+N246)*$C$202,0)</f>
        <v>0</v>
      </c>
      <c r="S246" s="375">
        <f t="shared" ref="S246:S266" si="27">IF(B246=$C$76,0,$C$205/12*(D247+F247+L247))</f>
        <v>3643077.5907273889</v>
      </c>
      <c r="T246" s="375">
        <f>S246</f>
        <v>3643077.5907273889</v>
      </c>
      <c r="U246" s="375">
        <f>-1*(C242+C243)</f>
        <v>-67743324</v>
      </c>
      <c r="V246" s="376">
        <v>0</v>
      </c>
      <c r="W246" s="347">
        <f>IF(B246&gt;$C$76,0,$C$243+SUM($J$246:J246))</f>
        <v>9806940.0000000019</v>
      </c>
      <c r="X246" s="836">
        <f>-T246+U246</f>
        <v>-71386401.590727389</v>
      </c>
    </row>
    <row r="247" spans="1:24" x14ac:dyDescent="0.45">
      <c r="A247" s="550"/>
      <c r="B247" s="344">
        <v>1</v>
      </c>
      <c r="C247" s="1038">
        <f t="shared" ref="C247:C266" si="28">IF(B247&gt;$C$76,0,$C$246*(1+$C$199)^B247)</f>
        <v>8.8539188042230821E-2</v>
      </c>
      <c r="D247" s="376">
        <f t="shared" ref="D247:D266" si="29">C247*$C$198*1000000</f>
        <v>49733051.148362346</v>
      </c>
      <c r="E247" s="1038">
        <f t="shared" ref="E247:E266" si="30">IF(B247&gt;$C$76,0,$E$246*(1+$C$200)^B247)</f>
        <v>5.3299654099405853E-2</v>
      </c>
      <c r="F247" s="376">
        <f t="shared" ref="F247:F266" si="31">-1*E247*$C$198*1000000</f>
        <v>-29938770.414874744</v>
      </c>
      <c r="G247" s="345">
        <v>0.1429</v>
      </c>
      <c r="H247" s="376">
        <f t="shared" si="22"/>
        <v>-8279109.2736</v>
      </c>
      <c r="I247" s="345">
        <v>1.391E-2</v>
      </c>
      <c r="J247" s="376">
        <f t="shared" ref="J247:J266" si="32">IF(D247&gt;0,-1*$C$243*I247,0)</f>
        <v>-136414.53540000002</v>
      </c>
      <c r="K247" s="377">
        <f t="shared" si="23"/>
        <v>11378756.924487602</v>
      </c>
      <c r="L247" s="376">
        <f t="shared" si="24"/>
        <v>-5221970.370578046</v>
      </c>
      <c r="M247" s="376">
        <f t="shared" si="25"/>
        <v>6156786.553909556</v>
      </c>
      <c r="N247" s="376">
        <f t="shared" si="26"/>
        <v>0</v>
      </c>
      <c r="O247" s="347">
        <f t="shared" ref="O247:O266" si="33">IF(M247&lt;0,M247*-1,0)</f>
        <v>0</v>
      </c>
      <c r="P247" s="347">
        <f t="shared" ref="P247:P266" si="34">P246+O247-Q247</f>
        <v>0</v>
      </c>
      <c r="Q247" s="347">
        <f t="shared" ref="Q247:Q266" si="35">IF(B247=$C$76+1,O247,IF(AND(M247&gt;0, P246&gt;0), MIN(M247,P246),0))</f>
        <v>0</v>
      </c>
      <c r="R247" s="376">
        <f t="shared" ref="R247:R266" si="36">IF(M247&gt;0,-1*(M247+N247-Q247)*$C$202,0)</f>
        <v>-1717743.448540766</v>
      </c>
      <c r="S247" s="376">
        <f t="shared" si="27"/>
        <v>3723225.2977233911</v>
      </c>
      <c r="T247" s="376">
        <f t="shared" ref="T247:T266" si="37">(S247-S246)</f>
        <v>80147.706996002235</v>
      </c>
      <c r="U247" s="376"/>
      <c r="V247" s="376">
        <f t="shared" ref="V247:V266" si="38">IF(B247=$C$76,$C$243*(1-1/$C$79*B247),0)</f>
        <v>0</v>
      </c>
      <c r="W247" s="347">
        <f>IF(B247&gt;$C$76,0,$C$243+SUM($J$246:J247))</f>
        <v>9670525.4646000024</v>
      </c>
      <c r="X247" s="378">
        <f t="shared" ref="X247:X266" si="39">M247+R247-1*(H247+J247)-T247+U247+V247</f>
        <v>12774419.207372788</v>
      </c>
    </row>
    <row r="248" spans="1:24" x14ac:dyDescent="0.45">
      <c r="A248" s="550"/>
      <c r="B248" s="344">
        <v>2</v>
      </c>
      <c r="C248" s="1038">
        <f t="shared" si="28"/>
        <v>9.0487050179159895E-2</v>
      </c>
      <c r="D248" s="376">
        <f t="shared" si="29"/>
        <v>50827178.273626313</v>
      </c>
      <c r="E248" s="1038">
        <f t="shared" si="30"/>
        <v>5.4472246489592778E-2</v>
      </c>
      <c r="F248" s="376">
        <f t="shared" si="31"/>
        <v>-30597423.364001986</v>
      </c>
      <c r="G248" s="345">
        <v>0.24490000000000001</v>
      </c>
      <c r="H248" s="376">
        <f t="shared" si="22"/>
        <v>-14188620.4416</v>
      </c>
      <c r="I248" s="345">
        <v>2.564E-2</v>
      </c>
      <c r="J248" s="376">
        <f t="shared" si="32"/>
        <v>-251449.94160000005</v>
      </c>
      <c r="K248" s="377">
        <f t="shared" si="23"/>
        <v>5789684.526424326</v>
      </c>
      <c r="L248" s="376">
        <f t="shared" si="24"/>
        <v>-5336853.7187307626</v>
      </c>
      <c r="M248" s="376">
        <f t="shared" si="25"/>
        <v>452830.8076935634</v>
      </c>
      <c r="N248" s="376">
        <f t="shared" si="26"/>
        <v>0</v>
      </c>
      <c r="O248" s="347">
        <f t="shared" si="33"/>
        <v>0</v>
      </c>
      <c r="P248" s="347">
        <f t="shared" si="34"/>
        <v>0</v>
      </c>
      <c r="Q248" s="347">
        <f t="shared" si="35"/>
        <v>0</v>
      </c>
      <c r="R248" s="376">
        <f t="shared" si="36"/>
        <v>-126339.79534650418</v>
      </c>
      <c r="S248" s="376">
        <f t="shared" si="27"/>
        <v>3805136.2542733038</v>
      </c>
      <c r="T248" s="376">
        <f t="shared" si="37"/>
        <v>81910.956549912691</v>
      </c>
      <c r="U248" s="376"/>
      <c r="V248" s="376">
        <f t="shared" si="38"/>
        <v>0</v>
      </c>
      <c r="W248" s="347">
        <f>IF(B248&gt;$C$76,0,$C$243+SUM($J$246:J248))</f>
        <v>9419075.5230000019</v>
      </c>
      <c r="X248" s="378">
        <f t="shared" si="39"/>
        <v>14684650.438997148</v>
      </c>
    </row>
    <row r="249" spans="1:24" x14ac:dyDescent="0.45">
      <c r="A249" s="550"/>
      <c r="B249" s="344">
        <v>3</v>
      </c>
      <c r="C249" s="1038">
        <f t="shared" si="28"/>
        <v>9.2477765283101407E-2</v>
      </c>
      <c r="D249" s="376">
        <f t="shared" si="29"/>
        <v>51945376.195646085</v>
      </c>
      <c r="E249" s="1038">
        <f t="shared" si="30"/>
        <v>5.5670635912363819E-2</v>
      </c>
      <c r="F249" s="376">
        <f t="shared" si="31"/>
        <v>-31270566.678010032</v>
      </c>
      <c r="G249" s="345">
        <v>0.1749</v>
      </c>
      <c r="H249" s="376">
        <f t="shared" si="22"/>
        <v>-10133073.5616</v>
      </c>
      <c r="I249" s="345">
        <v>2.564E-2</v>
      </c>
      <c r="J249" s="376">
        <f t="shared" si="32"/>
        <v>-251449.94160000005</v>
      </c>
      <c r="K249" s="377">
        <f t="shared" si="23"/>
        <v>10290286.014436053</v>
      </c>
      <c r="L249" s="376">
        <f t="shared" si="24"/>
        <v>-5454264.5005428391</v>
      </c>
      <c r="M249" s="376">
        <f t="shared" si="25"/>
        <v>4836021.5138932141</v>
      </c>
      <c r="N249" s="376">
        <f t="shared" si="26"/>
        <v>0</v>
      </c>
      <c r="O249" s="347">
        <f t="shared" si="33"/>
        <v>0</v>
      </c>
      <c r="P249" s="347">
        <f t="shared" si="34"/>
        <v>0</v>
      </c>
      <c r="Q249" s="347">
        <f t="shared" si="35"/>
        <v>0</v>
      </c>
      <c r="R249" s="376">
        <f t="shared" si="36"/>
        <v>-1349250.0023762067</v>
      </c>
      <c r="S249" s="376">
        <f t="shared" si="27"/>
        <v>3888849.2518673171</v>
      </c>
      <c r="T249" s="376">
        <f t="shared" si="37"/>
        <v>83712.997594013344</v>
      </c>
      <c r="U249" s="376"/>
      <c r="V249" s="376">
        <f t="shared" si="38"/>
        <v>0</v>
      </c>
      <c r="W249" s="347">
        <f>IF(B249&gt;$C$76,0,$C$243+SUM($J$246:J249))</f>
        <v>9167625.5814000014</v>
      </c>
      <c r="X249" s="378">
        <f t="shared" si="39"/>
        <v>13787582.017122993</v>
      </c>
    </row>
    <row r="250" spans="1:24" x14ac:dyDescent="0.45">
      <c r="A250" s="550"/>
      <c r="B250" s="344">
        <v>4</v>
      </c>
      <c r="C250" s="1038">
        <f t="shared" si="28"/>
        <v>9.451227611932965E-2</v>
      </c>
      <c r="D250" s="376">
        <f t="shared" si="29"/>
        <v>53088174.4719503</v>
      </c>
      <c r="E250" s="1038">
        <f t="shared" si="30"/>
        <v>5.6895389902435825E-2</v>
      </c>
      <c r="F250" s="376">
        <f t="shared" si="31"/>
        <v>-31958519.14492625</v>
      </c>
      <c r="G250" s="345">
        <v>0.1249</v>
      </c>
      <c r="H250" s="376">
        <f t="shared" si="22"/>
        <v>-7236254.3615999995</v>
      </c>
      <c r="I250" s="345">
        <v>2.564E-2</v>
      </c>
      <c r="J250" s="376">
        <f t="shared" si="32"/>
        <v>-251449.94160000005</v>
      </c>
      <c r="K250" s="377">
        <f t="shared" si="23"/>
        <v>13641951.023824049</v>
      </c>
      <c r="L250" s="376">
        <f t="shared" si="24"/>
        <v>-5574258.3195547815</v>
      </c>
      <c r="M250" s="376">
        <f t="shared" si="25"/>
        <v>8067692.7042692676</v>
      </c>
      <c r="N250" s="376">
        <f t="shared" si="26"/>
        <v>0</v>
      </c>
      <c r="O250" s="347">
        <f t="shared" si="33"/>
        <v>0</v>
      </c>
      <c r="P250" s="347">
        <f t="shared" si="34"/>
        <v>0</v>
      </c>
      <c r="Q250" s="347">
        <f t="shared" si="35"/>
        <v>0</v>
      </c>
      <c r="R250" s="376">
        <f t="shared" si="36"/>
        <v>-2250886.2644911255</v>
      </c>
      <c r="S250" s="376">
        <f t="shared" si="27"/>
        <v>3974403.9354083985</v>
      </c>
      <c r="T250" s="376">
        <f t="shared" si="37"/>
        <v>85554.68354108138</v>
      </c>
      <c r="U250" s="376"/>
      <c r="V250" s="376">
        <f t="shared" si="38"/>
        <v>0</v>
      </c>
      <c r="W250" s="347">
        <f>IF(B250&gt;$C$76,0,$C$243+SUM($J$246:J250))</f>
        <v>8916175.6398000009</v>
      </c>
      <c r="X250" s="378">
        <f t="shared" si="39"/>
        <v>13218956.059437059</v>
      </c>
    </row>
    <row r="251" spans="1:24" x14ac:dyDescent="0.45">
      <c r="A251" s="550"/>
      <c r="B251" s="344">
        <v>5</v>
      </c>
      <c r="C251" s="1038">
        <f t="shared" si="28"/>
        <v>9.6591546193954894E-2</v>
      </c>
      <c r="D251" s="376">
        <f t="shared" si="29"/>
        <v>54256114.310333207</v>
      </c>
      <c r="E251" s="1038">
        <f t="shared" si="30"/>
        <v>5.8147088480289412E-2</v>
      </c>
      <c r="F251" s="376">
        <f t="shared" si="31"/>
        <v>-32661606.566114627</v>
      </c>
      <c r="G251" s="345">
        <v>8.9300000000000004E-2</v>
      </c>
      <c r="H251" s="376">
        <f t="shared" si="22"/>
        <v>-5173719.0912000006</v>
      </c>
      <c r="I251" s="345">
        <v>2.564E-2</v>
      </c>
      <c r="J251" s="376">
        <f t="shared" si="32"/>
        <v>-251449.94160000005</v>
      </c>
      <c r="K251" s="377">
        <f t="shared" si="23"/>
        <v>16169338.711418578</v>
      </c>
      <c r="L251" s="376">
        <f t="shared" si="24"/>
        <v>-5696892.0025849864</v>
      </c>
      <c r="M251" s="376">
        <f t="shared" si="25"/>
        <v>10472446.708833592</v>
      </c>
      <c r="N251" s="376">
        <f t="shared" si="26"/>
        <v>0</v>
      </c>
      <c r="O251" s="347">
        <f t="shared" si="33"/>
        <v>0</v>
      </c>
      <c r="P251" s="347">
        <f t="shared" si="34"/>
        <v>0</v>
      </c>
      <c r="Q251" s="347">
        <f t="shared" si="35"/>
        <v>0</v>
      </c>
      <c r="R251" s="376">
        <f t="shared" si="36"/>
        <v>-2921812.6317645716</v>
      </c>
      <c r="S251" s="376">
        <f t="shared" si="27"/>
        <v>4061840.8219873821</v>
      </c>
      <c r="T251" s="376">
        <f t="shared" si="37"/>
        <v>87436.886578983627</v>
      </c>
      <c r="U251" s="376"/>
      <c r="V251" s="376">
        <f t="shared" si="38"/>
        <v>0</v>
      </c>
      <c r="W251" s="347">
        <f>IF(B251&gt;$C$76,0,$C$243+SUM($J$246:J251))</f>
        <v>8664725.6982000023</v>
      </c>
      <c r="X251" s="378">
        <f t="shared" si="39"/>
        <v>12888366.223290037</v>
      </c>
    </row>
    <row r="252" spans="1:24" x14ac:dyDescent="0.45">
      <c r="A252" s="550"/>
      <c r="B252" s="344">
        <v>6</v>
      </c>
      <c r="C252" s="1038">
        <f t="shared" si="28"/>
        <v>9.871656021022189E-2</v>
      </c>
      <c r="D252" s="376">
        <f t="shared" si="29"/>
        <v>55449748.825160533</v>
      </c>
      <c r="E252" s="1038">
        <f t="shared" si="30"/>
        <v>5.9426324426855776E-2</v>
      </c>
      <c r="F252" s="376">
        <f t="shared" si="31"/>
        <v>-33380161.91056915</v>
      </c>
      <c r="G252" s="345">
        <v>8.9200000000000002E-2</v>
      </c>
      <c r="H252" s="376">
        <f t="shared" si="22"/>
        <v>-5167925.4528000001</v>
      </c>
      <c r="I252" s="345">
        <v>2.564E-2</v>
      </c>
      <c r="J252" s="376">
        <f t="shared" si="32"/>
        <v>-251449.94160000005</v>
      </c>
      <c r="K252" s="377">
        <f t="shared" si="23"/>
        <v>16650211.520191381</v>
      </c>
      <c r="L252" s="376">
        <f t="shared" si="24"/>
        <v>-5822223.6266418556</v>
      </c>
      <c r="M252" s="376">
        <f t="shared" si="25"/>
        <v>10827987.893549524</v>
      </c>
      <c r="N252" s="376">
        <f t="shared" si="26"/>
        <v>0</v>
      </c>
      <c r="O252" s="347">
        <f t="shared" si="33"/>
        <v>0</v>
      </c>
      <c r="P252" s="347">
        <f t="shared" si="34"/>
        <v>0</v>
      </c>
      <c r="Q252" s="347">
        <f t="shared" si="35"/>
        <v>0</v>
      </c>
      <c r="R252" s="376">
        <f t="shared" si="36"/>
        <v>-3021008.622300317</v>
      </c>
      <c r="S252" s="376">
        <f t="shared" si="27"/>
        <v>4151201.3200711058</v>
      </c>
      <c r="T252" s="376">
        <f t="shared" si="37"/>
        <v>89360.498083723709</v>
      </c>
      <c r="U252" s="376"/>
      <c r="V252" s="376">
        <f t="shared" si="38"/>
        <v>0</v>
      </c>
      <c r="W252" s="347">
        <f>IF(B252&gt;$C$76,0,$C$243+SUM($J$246:J252))</f>
        <v>8413275.7566000018</v>
      </c>
      <c r="X252" s="378">
        <f t="shared" si="39"/>
        <v>13136994.167565484</v>
      </c>
    </row>
    <row r="253" spans="1:24" x14ac:dyDescent="0.45">
      <c r="A253" s="550"/>
      <c r="B253" s="344">
        <v>7</v>
      </c>
      <c r="C253" s="1038">
        <f t="shared" si="28"/>
        <v>0.10088832453484678</v>
      </c>
      <c r="D253" s="376">
        <f t="shared" si="29"/>
        <v>56669643.299314067</v>
      </c>
      <c r="E253" s="1038">
        <f t="shared" si="30"/>
        <v>6.0733703564246608E-2</v>
      </c>
      <c r="F253" s="376">
        <f t="shared" si="31"/>
        <v>-34114525.472601667</v>
      </c>
      <c r="G253" s="345">
        <v>8.9300000000000004E-2</v>
      </c>
      <c r="H253" s="376">
        <f t="shared" si="22"/>
        <v>-5173719.0912000006</v>
      </c>
      <c r="I253" s="345">
        <v>2.564E-2</v>
      </c>
      <c r="J253" s="376">
        <f t="shared" si="32"/>
        <v>-251449.94160000005</v>
      </c>
      <c r="K253" s="377">
        <f t="shared" si="23"/>
        <v>17129948.7939124</v>
      </c>
      <c r="L253" s="376">
        <f t="shared" si="24"/>
        <v>-5950312.5464279763</v>
      </c>
      <c r="M253" s="376">
        <f t="shared" si="25"/>
        <v>11179636.247484423</v>
      </c>
      <c r="N253" s="376">
        <f t="shared" si="26"/>
        <v>-1100829.0150000006</v>
      </c>
      <c r="O253" s="347">
        <f t="shared" si="33"/>
        <v>0</v>
      </c>
      <c r="P253" s="347">
        <f t="shared" si="34"/>
        <v>0</v>
      </c>
      <c r="Q253" s="347">
        <f t="shared" si="35"/>
        <v>0</v>
      </c>
      <c r="R253" s="376">
        <f t="shared" si="36"/>
        <v>-2811987.2178631537</v>
      </c>
      <c r="S253" s="376">
        <f t="shared" si="27"/>
        <v>0</v>
      </c>
      <c r="T253" s="376">
        <f t="shared" si="37"/>
        <v>-4151201.3200711058</v>
      </c>
      <c r="U253" s="376"/>
      <c r="V253" s="376">
        <f t="shared" si="38"/>
        <v>7060996.8000000007</v>
      </c>
      <c r="W253" s="347">
        <f>IF(B253&gt;$C$76,0,$C$243+SUM($J$246:J253))</f>
        <v>8161825.8150000013</v>
      </c>
      <c r="X253" s="378">
        <f t="shared" si="39"/>
        <v>25005016.182492375</v>
      </c>
    </row>
    <row r="254" spans="1:24" x14ac:dyDescent="0.45">
      <c r="A254" s="550"/>
      <c r="B254" s="344">
        <v>8</v>
      </c>
      <c r="C254" s="1038">
        <f t="shared" si="28"/>
        <v>0</v>
      </c>
      <c r="D254" s="376">
        <f t="shared" si="29"/>
        <v>0</v>
      </c>
      <c r="E254" s="1038">
        <f t="shared" si="30"/>
        <v>0</v>
      </c>
      <c r="F254" s="376">
        <f t="shared" si="31"/>
        <v>0</v>
      </c>
      <c r="G254" s="345">
        <v>4.4600000000000001E-2</v>
      </c>
      <c r="H254" s="376">
        <f t="shared" si="22"/>
        <v>0</v>
      </c>
      <c r="I254" s="345">
        <v>2.564E-2</v>
      </c>
      <c r="J254" s="376">
        <f t="shared" si="32"/>
        <v>0</v>
      </c>
      <c r="K254" s="377">
        <f t="shared" si="23"/>
        <v>0</v>
      </c>
      <c r="L254" s="376">
        <f t="shared" si="24"/>
        <v>0</v>
      </c>
      <c r="M254" s="376">
        <f t="shared" si="25"/>
        <v>0</v>
      </c>
      <c r="N254" s="376">
        <f t="shared" si="26"/>
        <v>0</v>
      </c>
      <c r="O254" s="347">
        <f t="shared" si="33"/>
        <v>0</v>
      </c>
      <c r="P254" s="347">
        <f t="shared" si="34"/>
        <v>0</v>
      </c>
      <c r="Q254" s="347">
        <f t="shared" si="35"/>
        <v>0</v>
      </c>
      <c r="R254" s="376">
        <f t="shared" si="36"/>
        <v>0</v>
      </c>
      <c r="S254" s="376">
        <f t="shared" si="27"/>
        <v>0</v>
      </c>
      <c r="T254" s="376">
        <f t="shared" si="37"/>
        <v>0</v>
      </c>
      <c r="U254" s="376"/>
      <c r="V254" s="376">
        <f t="shared" si="38"/>
        <v>0</v>
      </c>
      <c r="W254" s="347">
        <f>IF(B254&gt;$C$76,0,$C$243+SUM($J$246:J254))</f>
        <v>0</v>
      </c>
      <c r="X254" s="378">
        <f t="shared" si="39"/>
        <v>0</v>
      </c>
    </row>
    <row r="255" spans="1:24" x14ac:dyDescent="0.45">
      <c r="A255" s="550"/>
      <c r="B255" s="344">
        <v>9</v>
      </c>
      <c r="C255" s="1038">
        <f t="shared" si="28"/>
        <v>0</v>
      </c>
      <c r="D255" s="376">
        <f t="shared" si="29"/>
        <v>0</v>
      </c>
      <c r="E255" s="1038">
        <f t="shared" si="30"/>
        <v>0</v>
      </c>
      <c r="F255" s="376">
        <f t="shared" si="31"/>
        <v>0</v>
      </c>
      <c r="G255" s="345">
        <v>0</v>
      </c>
      <c r="H255" s="376">
        <f t="shared" si="22"/>
        <v>0</v>
      </c>
      <c r="I255" s="345">
        <v>2.564E-2</v>
      </c>
      <c r="J255" s="376">
        <f t="shared" si="32"/>
        <v>0</v>
      </c>
      <c r="K255" s="377">
        <f t="shared" si="23"/>
        <v>0</v>
      </c>
      <c r="L255" s="376">
        <f t="shared" si="24"/>
        <v>0</v>
      </c>
      <c r="M255" s="376">
        <f t="shared" si="25"/>
        <v>0</v>
      </c>
      <c r="N255" s="376">
        <f t="shared" si="26"/>
        <v>0</v>
      </c>
      <c r="O255" s="347">
        <f t="shared" si="33"/>
        <v>0</v>
      </c>
      <c r="P255" s="347">
        <f t="shared" si="34"/>
        <v>0</v>
      </c>
      <c r="Q255" s="347">
        <f t="shared" si="35"/>
        <v>0</v>
      </c>
      <c r="R255" s="376">
        <f t="shared" si="36"/>
        <v>0</v>
      </c>
      <c r="S255" s="376">
        <f t="shared" si="27"/>
        <v>0</v>
      </c>
      <c r="T255" s="376">
        <f t="shared" si="37"/>
        <v>0</v>
      </c>
      <c r="U255" s="376"/>
      <c r="V255" s="376">
        <f t="shared" si="38"/>
        <v>0</v>
      </c>
      <c r="W255" s="347">
        <f>IF(B255&gt;$C$76,0,$C$243+SUM($J$246:J255))</f>
        <v>0</v>
      </c>
      <c r="X255" s="378">
        <f t="shared" si="39"/>
        <v>0</v>
      </c>
    </row>
    <row r="256" spans="1:24" x14ac:dyDescent="0.45">
      <c r="A256" s="550"/>
      <c r="B256" s="344">
        <v>10</v>
      </c>
      <c r="C256" s="1038">
        <f t="shared" si="28"/>
        <v>0</v>
      </c>
      <c r="D256" s="376">
        <f t="shared" si="29"/>
        <v>0</v>
      </c>
      <c r="E256" s="1038">
        <f t="shared" si="30"/>
        <v>0</v>
      </c>
      <c r="F256" s="376">
        <f t="shared" si="31"/>
        <v>0</v>
      </c>
      <c r="G256" s="345">
        <v>0</v>
      </c>
      <c r="H256" s="376">
        <f t="shared" si="22"/>
        <v>0</v>
      </c>
      <c r="I256" s="345">
        <v>2.564E-2</v>
      </c>
      <c r="J256" s="376">
        <f t="shared" si="32"/>
        <v>0</v>
      </c>
      <c r="K256" s="377">
        <f t="shared" si="23"/>
        <v>0</v>
      </c>
      <c r="L256" s="376">
        <f t="shared" si="24"/>
        <v>0</v>
      </c>
      <c r="M256" s="376">
        <f t="shared" si="25"/>
        <v>0</v>
      </c>
      <c r="N256" s="376">
        <f t="shared" si="26"/>
        <v>0</v>
      </c>
      <c r="O256" s="347">
        <f t="shared" si="33"/>
        <v>0</v>
      </c>
      <c r="P256" s="347">
        <f t="shared" si="34"/>
        <v>0</v>
      </c>
      <c r="Q256" s="347">
        <f t="shared" si="35"/>
        <v>0</v>
      </c>
      <c r="R256" s="376">
        <f t="shared" si="36"/>
        <v>0</v>
      </c>
      <c r="S256" s="376">
        <f t="shared" si="27"/>
        <v>0</v>
      </c>
      <c r="T256" s="376">
        <f t="shared" si="37"/>
        <v>0</v>
      </c>
      <c r="U256" s="376"/>
      <c r="V256" s="376">
        <f t="shared" si="38"/>
        <v>0</v>
      </c>
      <c r="W256" s="347">
        <f>IF(B256&gt;$C$76,0,$C$243+SUM($J$246:J256))</f>
        <v>0</v>
      </c>
      <c r="X256" s="378">
        <f t="shared" si="39"/>
        <v>0</v>
      </c>
    </row>
    <row r="257" spans="1:24" x14ac:dyDescent="0.45">
      <c r="A257" s="550"/>
      <c r="B257" s="344">
        <v>11</v>
      </c>
      <c r="C257" s="1038">
        <f t="shared" si="28"/>
        <v>0</v>
      </c>
      <c r="D257" s="376">
        <f t="shared" si="29"/>
        <v>0</v>
      </c>
      <c r="E257" s="1038">
        <f t="shared" si="30"/>
        <v>0</v>
      </c>
      <c r="F257" s="376">
        <f t="shared" si="31"/>
        <v>0</v>
      </c>
      <c r="G257" s="345">
        <v>0</v>
      </c>
      <c r="H257" s="376">
        <f t="shared" si="22"/>
        <v>0</v>
      </c>
      <c r="I257" s="345">
        <v>2.564E-2</v>
      </c>
      <c r="J257" s="376">
        <f t="shared" si="32"/>
        <v>0</v>
      </c>
      <c r="K257" s="377">
        <f t="shared" si="23"/>
        <v>0</v>
      </c>
      <c r="L257" s="376">
        <f t="shared" si="24"/>
        <v>0</v>
      </c>
      <c r="M257" s="376">
        <f t="shared" si="25"/>
        <v>0</v>
      </c>
      <c r="N257" s="376">
        <f t="shared" si="26"/>
        <v>0</v>
      </c>
      <c r="O257" s="347">
        <f t="shared" si="33"/>
        <v>0</v>
      </c>
      <c r="P257" s="347">
        <f t="shared" si="34"/>
        <v>0</v>
      </c>
      <c r="Q257" s="347">
        <f t="shared" si="35"/>
        <v>0</v>
      </c>
      <c r="R257" s="376">
        <f t="shared" si="36"/>
        <v>0</v>
      </c>
      <c r="S257" s="376">
        <f t="shared" si="27"/>
        <v>0</v>
      </c>
      <c r="T257" s="376">
        <f t="shared" si="37"/>
        <v>0</v>
      </c>
      <c r="U257" s="376"/>
      <c r="V257" s="376">
        <f t="shared" si="38"/>
        <v>0</v>
      </c>
      <c r="W257" s="347">
        <f>IF(B257&gt;$C$76,0,$C$243+SUM($J$246:J257))</f>
        <v>0</v>
      </c>
      <c r="X257" s="378">
        <f t="shared" si="39"/>
        <v>0</v>
      </c>
    </row>
    <row r="258" spans="1:24" x14ac:dyDescent="0.45">
      <c r="A258" s="550"/>
      <c r="B258" s="344">
        <v>12</v>
      </c>
      <c r="C258" s="1038">
        <f t="shared" si="28"/>
        <v>0</v>
      </c>
      <c r="D258" s="376">
        <f t="shared" si="29"/>
        <v>0</v>
      </c>
      <c r="E258" s="1038">
        <f t="shared" si="30"/>
        <v>0</v>
      </c>
      <c r="F258" s="376">
        <f t="shared" si="31"/>
        <v>0</v>
      </c>
      <c r="G258" s="345">
        <v>0</v>
      </c>
      <c r="H258" s="376">
        <f t="shared" si="22"/>
        <v>0</v>
      </c>
      <c r="I258" s="345">
        <v>2.564E-2</v>
      </c>
      <c r="J258" s="376">
        <f t="shared" si="32"/>
        <v>0</v>
      </c>
      <c r="K258" s="377">
        <f t="shared" si="23"/>
        <v>0</v>
      </c>
      <c r="L258" s="376">
        <f t="shared" si="24"/>
        <v>0</v>
      </c>
      <c r="M258" s="376">
        <f t="shared" si="25"/>
        <v>0</v>
      </c>
      <c r="N258" s="376">
        <f t="shared" si="26"/>
        <v>0</v>
      </c>
      <c r="O258" s="347">
        <f t="shared" si="33"/>
        <v>0</v>
      </c>
      <c r="P258" s="347">
        <f t="shared" si="34"/>
        <v>0</v>
      </c>
      <c r="Q258" s="347">
        <f t="shared" si="35"/>
        <v>0</v>
      </c>
      <c r="R258" s="376">
        <f t="shared" si="36"/>
        <v>0</v>
      </c>
      <c r="S258" s="376">
        <f t="shared" si="27"/>
        <v>0</v>
      </c>
      <c r="T258" s="376">
        <f t="shared" si="37"/>
        <v>0</v>
      </c>
      <c r="U258" s="376"/>
      <c r="V258" s="376">
        <f t="shared" si="38"/>
        <v>0</v>
      </c>
      <c r="W258" s="347">
        <f>IF(B258&gt;$C$76,0,$C$243+SUM($J$246:J258))</f>
        <v>0</v>
      </c>
      <c r="X258" s="378">
        <f t="shared" si="39"/>
        <v>0</v>
      </c>
    </row>
    <row r="259" spans="1:24" x14ac:dyDescent="0.45">
      <c r="A259" s="550"/>
      <c r="B259" s="344">
        <v>13</v>
      </c>
      <c r="C259" s="1038">
        <f t="shared" si="28"/>
        <v>0</v>
      </c>
      <c r="D259" s="376">
        <f t="shared" si="29"/>
        <v>0</v>
      </c>
      <c r="E259" s="1038">
        <f t="shared" si="30"/>
        <v>0</v>
      </c>
      <c r="F259" s="376">
        <f t="shared" si="31"/>
        <v>0</v>
      </c>
      <c r="G259" s="345">
        <v>0</v>
      </c>
      <c r="H259" s="376">
        <f t="shared" si="22"/>
        <v>0</v>
      </c>
      <c r="I259" s="345">
        <v>2.564E-2</v>
      </c>
      <c r="J259" s="376">
        <f t="shared" si="32"/>
        <v>0</v>
      </c>
      <c r="K259" s="377">
        <f t="shared" si="23"/>
        <v>0</v>
      </c>
      <c r="L259" s="376">
        <f t="shared" si="24"/>
        <v>0</v>
      </c>
      <c r="M259" s="376">
        <f t="shared" si="25"/>
        <v>0</v>
      </c>
      <c r="N259" s="376">
        <f t="shared" si="26"/>
        <v>0</v>
      </c>
      <c r="O259" s="347">
        <f t="shared" si="33"/>
        <v>0</v>
      </c>
      <c r="P259" s="347">
        <f t="shared" si="34"/>
        <v>0</v>
      </c>
      <c r="Q259" s="347">
        <f t="shared" si="35"/>
        <v>0</v>
      </c>
      <c r="R259" s="376">
        <f t="shared" si="36"/>
        <v>0</v>
      </c>
      <c r="S259" s="376">
        <f t="shared" si="27"/>
        <v>0</v>
      </c>
      <c r="T259" s="376">
        <f t="shared" si="37"/>
        <v>0</v>
      </c>
      <c r="U259" s="376"/>
      <c r="V259" s="376">
        <f t="shared" si="38"/>
        <v>0</v>
      </c>
      <c r="W259" s="347">
        <f>IF(B259&gt;$C$76,0,$C$243+SUM($J$246:J259))</f>
        <v>0</v>
      </c>
      <c r="X259" s="378">
        <f t="shared" si="39"/>
        <v>0</v>
      </c>
    </row>
    <row r="260" spans="1:24" x14ac:dyDescent="0.45">
      <c r="A260" s="550"/>
      <c r="B260" s="344">
        <v>14</v>
      </c>
      <c r="C260" s="1038">
        <f t="shared" si="28"/>
        <v>0</v>
      </c>
      <c r="D260" s="376">
        <f t="shared" si="29"/>
        <v>0</v>
      </c>
      <c r="E260" s="1038">
        <f t="shared" si="30"/>
        <v>0</v>
      </c>
      <c r="F260" s="376">
        <f t="shared" si="31"/>
        <v>0</v>
      </c>
      <c r="G260" s="345">
        <v>0</v>
      </c>
      <c r="H260" s="376">
        <f t="shared" si="22"/>
        <v>0</v>
      </c>
      <c r="I260" s="345">
        <v>2.564E-2</v>
      </c>
      <c r="J260" s="376">
        <f t="shared" si="32"/>
        <v>0</v>
      </c>
      <c r="K260" s="377">
        <f t="shared" si="23"/>
        <v>0</v>
      </c>
      <c r="L260" s="376">
        <f t="shared" si="24"/>
        <v>0</v>
      </c>
      <c r="M260" s="376">
        <f t="shared" si="25"/>
        <v>0</v>
      </c>
      <c r="N260" s="376">
        <f t="shared" si="26"/>
        <v>0</v>
      </c>
      <c r="O260" s="347">
        <f t="shared" si="33"/>
        <v>0</v>
      </c>
      <c r="P260" s="347">
        <f t="shared" si="34"/>
        <v>0</v>
      </c>
      <c r="Q260" s="347">
        <f t="shared" si="35"/>
        <v>0</v>
      </c>
      <c r="R260" s="376">
        <f t="shared" si="36"/>
        <v>0</v>
      </c>
      <c r="S260" s="376">
        <f t="shared" si="27"/>
        <v>0</v>
      </c>
      <c r="T260" s="376">
        <f t="shared" si="37"/>
        <v>0</v>
      </c>
      <c r="U260" s="376"/>
      <c r="V260" s="376">
        <f t="shared" si="38"/>
        <v>0</v>
      </c>
      <c r="W260" s="347">
        <f>IF(B260&gt;$C$76,0,$C$243+SUM($J$246:J260))</f>
        <v>0</v>
      </c>
      <c r="X260" s="378">
        <f t="shared" si="39"/>
        <v>0</v>
      </c>
    </row>
    <row r="261" spans="1:24" x14ac:dyDescent="0.45">
      <c r="A261" s="550"/>
      <c r="B261" s="344">
        <v>15</v>
      </c>
      <c r="C261" s="1038">
        <f t="shared" si="28"/>
        <v>0</v>
      </c>
      <c r="D261" s="376">
        <f t="shared" si="29"/>
        <v>0</v>
      </c>
      <c r="E261" s="1038">
        <f t="shared" si="30"/>
        <v>0</v>
      </c>
      <c r="F261" s="376">
        <f t="shared" si="31"/>
        <v>0</v>
      </c>
      <c r="G261" s="345">
        <v>0</v>
      </c>
      <c r="H261" s="376">
        <f t="shared" si="22"/>
        <v>0</v>
      </c>
      <c r="I261" s="345">
        <v>2.564E-2</v>
      </c>
      <c r="J261" s="376">
        <f t="shared" si="32"/>
        <v>0</v>
      </c>
      <c r="K261" s="377">
        <f t="shared" si="23"/>
        <v>0</v>
      </c>
      <c r="L261" s="376">
        <f t="shared" si="24"/>
        <v>0</v>
      </c>
      <c r="M261" s="376">
        <f t="shared" si="25"/>
        <v>0</v>
      </c>
      <c r="N261" s="376">
        <f t="shared" si="26"/>
        <v>0</v>
      </c>
      <c r="O261" s="347">
        <f t="shared" si="33"/>
        <v>0</v>
      </c>
      <c r="P261" s="347">
        <f t="shared" si="34"/>
        <v>0</v>
      </c>
      <c r="Q261" s="347">
        <f t="shared" si="35"/>
        <v>0</v>
      </c>
      <c r="R261" s="376">
        <f t="shared" si="36"/>
        <v>0</v>
      </c>
      <c r="S261" s="376">
        <f t="shared" si="27"/>
        <v>0</v>
      </c>
      <c r="T261" s="376">
        <f t="shared" si="37"/>
        <v>0</v>
      </c>
      <c r="U261" s="376"/>
      <c r="V261" s="376">
        <f t="shared" si="38"/>
        <v>0</v>
      </c>
      <c r="W261" s="347">
        <f>IF(B261&gt;$C$76,0,$C$243+SUM($J$246:J261))</f>
        <v>0</v>
      </c>
      <c r="X261" s="378">
        <f t="shared" si="39"/>
        <v>0</v>
      </c>
    </row>
    <row r="262" spans="1:24" x14ac:dyDescent="0.45">
      <c r="A262" s="550"/>
      <c r="B262" s="344">
        <v>16</v>
      </c>
      <c r="C262" s="1038">
        <f t="shared" si="28"/>
        <v>0</v>
      </c>
      <c r="D262" s="376">
        <f t="shared" si="29"/>
        <v>0</v>
      </c>
      <c r="E262" s="1038">
        <f t="shared" si="30"/>
        <v>0</v>
      </c>
      <c r="F262" s="376">
        <f t="shared" si="31"/>
        <v>0</v>
      </c>
      <c r="G262" s="345">
        <v>0</v>
      </c>
      <c r="H262" s="376">
        <f t="shared" si="22"/>
        <v>0</v>
      </c>
      <c r="I262" s="345">
        <v>2.564E-2</v>
      </c>
      <c r="J262" s="376">
        <f t="shared" si="32"/>
        <v>0</v>
      </c>
      <c r="K262" s="377">
        <f t="shared" si="23"/>
        <v>0</v>
      </c>
      <c r="L262" s="376">
        <f t="shared" si="24"/>
        <v>0</v>
      </c>
      <c r="M262" s="376">
        <f t="shared" si="25"/>
        <v>0</v>
      </c>
      <c r="N262" s="376">
        <f t="shared" si="26"/>
        <v>0</v>
      </c>
      <c r="O262" s="347">
        <f t="shared" si="33"/>
        <v>0</v>
      </c>
      <c r="P262" s="347">
        <f t="shared" si="34"/>
        <v>0</v>
      </c>
      <c r="Q262" s="347">
        <f t="shared" si="35"/>
        <v>0</v>
      </c>
      <c r="R262" s="376">
        <f t="shared" si="36"/>
        <v>0</v>
      </c>
      <c r="S262" s="376">
        <f t="shared" si="27"/>
        <v>0</v>
      </c>
      <c r="T262" s="376">
        <f t="shared" si="37"/>
        <v>0</v>
      </c>
      <c r="U262" s="376"/>
      <c r="V262" s="376">
        <f t="shared" si="38"/>
        <v>0</v>
      </c>
      <c r="W262" s="347">
        <f>IF(B262&gt;$C$76,0,$C$243+SUM($J$246:J262))</f>
        <v>0</v>
      </c>
      <c r="X262" s="378">
        <f t="shared" si="39"/>
        <v>0</v>
      </c>
    </row>
    <row r="263" spans="1:24" x14ac:dyDescent="0.45">
      <c r="A263" s="550"/>
      <c r="B263" s="344">
        <v>17</v>
      </c>
      <c r="C263" s="1038">
        <f t="shared" si="28"/>
        <v>0</v>
      </c>
      <c r="D263" s="376">
        <f t="shared" si="29"/>
        <v>0</v>
      </c>
      <c r="E263" s="1038">
        <f t="shared" si="30"/>
        <v>0</v>
      </c>
      <c r="F263" s="376">
        <f t="shared" si="31"/>
        <v>0</v>
      </c>
      <c r="G263" s="345">
        <v>0</v>
      </c>
      <c r="H263" s="376">
        <f t="shared" si="22"/>
        <v>0</v>
      </c>
      <c r="I263" s="345">
        <v>2.564E-2</v>
      </c>
      <c r="J263" s="376">
        <f t="shared" si="32"/>
        <v>0</v>
      </c>
      <c r="K263" s="377">
        <f t="shared" si="23"/>
        <v>0</v>
      </c>
      <c r="L263" s="376">
        <f t="shared" si="24"/>
        <v>0</v>
      </c>
      <c r="M263" s="376">
        <f t="shared" si="25"/>
        <v>0</v>
      </c>
      <c r="N263" s="376">
        <f t="shared" si="26"/>
        <v>0</v>
      </c>
      <c r="O263" s="347">
        <f t="shared" si="33"/>
        <v>0</v>
      </c>
      <c r="P263" s="347">
        <f t="shared" si="34"/>
        <v>0</v>
      </c>
      <c r="Q263" s="347">
        <f t="shared" si="35"/>
        <v>0</v>
      </c>
      <c r="R263" s="376">
        <f t="shared" si="36"/>
        <v>0</v>
      </c>
      <c r="S263" s="376">
        <f t="shared" si="27"/>
        <v>0</v>
      </c>
      <c r="T263" s="376">
        <f t="shared" si="37"/>
        <v>0</v>
      </c>
      <c r="U263" s="376"/>
      <c r="V263" s="376">
        <f t="shared" si="38"/>
        <v>0</v>
      </c>
      <c r="W263" s="347">
        <f>IF(B263&gt;$C$76,0,$C$243+SUM($J$246:J263))</f>
        <v>0</v>
      </c>
      <c r="X263" s="378">
        <f t="shared" si="39"/>
        <v>0</v>
      </c>
    </row>
    <row r="264" spans="1:24" x14ac:dyDescent="0.45">
      <c r="A264" s="550"/>
      <c r="B264" s="344">
        <v>18</v>
      </c>
      <c r="C264" s="1038">
        <f t="shared" si="28"/>
        <v>0</v>
      </c>
      <c r="D264" s="376">
        <f t="shared" si="29"/>
        <v>0</v>
      </c>
      <c r="E264" s="1038">
        <f t="shared" si="30"/>
        <v>0</v>
      </c>
      <c r="F264" s="376">
        <f t="shared" si="31"/>
        <v>0</v>
      </c>
      <c r="G264" s="345">
        <v>0</v>
      </c>
      <c r="H264" s="376">
        <f t="shared" si="22"/>
        <v>0</v>
      </c>
      <c r="I264" s="345">
        <v>2.564E-2</v>
      </c>
      <c r="J264" s="376">
        <f t="shared" si="32"/>
        <v>0</v>
      </c>
      <c r="K264" s="377">
        <f t="shared" si="23"/>
        <v>0</v>
      </c>
      <c r="L264" s="376">
        <f t="shared" si="24"/>
        <v>0</v>
      </c>
      <c r="M264" s="376">
        <f t="shared" si="25"/>
        <v>0</v>
      </c>
      <c r="N264" s="376">
        <f t="shared" si="26"/>
        <v>0</v>
      </c>
      <c r="O264" s="347">
        <f t="shared" si="33"/>
        <v>0</v>
      </c>
      <c r="P264" s="347">
        <f t="shared" si="34"/>
        <v>0</v>
      </c>
      <c r="Q264" s="347">
        <f t="shared" si="35"/>
        <v>0</v>
      </c>
      <c r="R264" s="376">
        <f t="shared" si="36"/>
        <v>0</v>
      </c>
      <c r="S264" s="376">
        <f t="shared" si="27"/>
        <v>0</v>
      </c>
      <c r="T264" s="376">
        <f t="shared" si="37"/>
        <v>0</v>
      </c>
      <c r="U264" s="376"/>
      <c r="V264" s="376">
        <f t="shared" si="38"/>
        <v>0</v>
      </c>
      <c r="W264" s="347">
        <f>IF(B264&gt;$C$76,0,$C$243+SUM($J$246:J264))</f>
        <v>0</v>
      </c>
      <c r="X264" s="378">
        <f t="shared" si="39"/>
        <v>0</v>
      </c>
    </row>
    <row r="265" spans="1:24" x14ac:dyDescent="0.45">
      <c r="A265" s="550"/>
      <c r="B265" s="344">
        <v>19</v>
      </c>
      <c r="C265" s="1038">
        <f t="shared" si="28"/>
        <v>0</v>
      </c>
      <c r="D265" s="376">
        <f t="shared" si="29"/>
        <v>0</v>
      </c>
      <c r="E265" s="1038">
        <f t="shared" si="30"/>
        <v>0</v>
      </c>
      <c r="F265" s="376">
        <f t="shared" si="31"/>
        <v>0</v>
      </c>
      <c r="G265" s="345">
        <v>0</v>
      </c>
      <c r="H265" s="376">
        <f t="shared" si="22"/>
        <v>0</v>
      </c>
      <c r="I265" s="345">
        <v>2.564E-2</v>
      </c>
      <c r="J265" s="376">
        <f t="shared" si="32"/>
        <v>0</v>
      </c>
      <c r="K265" s="377">
        <f t="shared" si="23"/>
        <v>0</v>
      </c>
      <c r="L265" s="376">
        <f t="shared" si="24"/>
        <v>0</v>
      </c>
      <c r="M265" s="376">
        <f t="shared" si="25"/>
        <v>0</v>
      </c>
      <c r="N265" s="376">
        <f t="shared" si="26"/>
        <v>0</v>
      </c>
      <c r="O265" s="347">
        <f t="shared" si="33"/>
        <v>0</v>
      </c>
      <c r="P265" s="347">
        <f t="shared" si="34"/>
        <v>0</v>
      </c>
      <c r="Q265" s="347">
        <f t="shared" si="35"/>
        <v>0</v>
      </c>
      <c r="R265" s="376">
        <f t="shared" si="36"/>
        <v>0</v>
      </c>
      <c r="S265" s="376">
        <f t="shared" si="27"/>
        <v>0</v>
      </c>
      <c r="T265" s="376">
        <f t="shared" si="37"/>
        <v>0</v>
      </c>
      <c r="U265" s="376"/>
      <c r="V265" s="376">
        <f t="shared" si="38"/>
        <v>0</v>
      </c>
      <c r="W265" s="347">
        <f>IF(B265&gt;$C$76,0,$C$243+SUM($J$246:J265))</f>
        <v>0</v>
      </c>
      <c r="X265" s="378">
        <f t="shared" si="39"/>
        <v>0</v>
      </c>
    </row>
    <row r="266" spans="1:24" x14ac:dyDescent="0.45">
      <c r="A266" s="550"/>
      <c r="B266" s="344">
        <v>20</v>
      </c>
      <c r="C266" s="1038">
        <f t="shared" si="28"/>
        <v>0</v>
      </c>
      <c r="D266" s="376">
        <f t="shared" si="29"/>
        <v>0</v>
      </c>
      <c r="E266" s="1038">
        <f t="shared" si="30"/>
        <v>0</v>
      </c>
      <c r="F266" s="376">
        <f t="shared" si="31"/>
        <v>0</v>
      </c>
      <c r="G266" s="345">
        <v>0</v>
      </c>
      <c r="H266" s="376">
        <f t="shared" si="22"/>
        <v>0</v>
      </c>
      <c r="I266" s="345">
        <v>2.564E-2</v>
      </c>
      <c r="J266" s="376">
        <f t="shared" si="32"/>
        <v>0</v>
      </c>
      <c r="K266" s="377">
        <f t="shared" si="23"/>
        <v>0</v>
      </c>
      <c r="L266" s="376">
        <f t="shared" si="24"/>
        <v>0</v>
      </c>
      <c r="M266" s="376">
        <f t="shared" si="25"/>
        <v>0</v>
      </c>
      <c r="N266" s="376">
        <f t="shared" si="26"/>
        <v>0</v>
      </c>
      <c r="O266" s="347">
        <f t="shared" si="33"/>
        <v>0</v>
      </c>
      <c r="P266" s="347">
        <f t="shared" si="34"/>
        <v>0</v>
      </c>
      <c r="Q266" s="347">
        <f t="shared" si="35"/>
        <v>0</v>
      </c>
      <c r="R266" s="376">
        <f t="shared" si="36"/>
        <v>0</v>
      </c>
      <c r="S266" s="376">
        <f t="shared" si="27"/>
        <v>0</v>
      </c>
      <c r="T266" s="376">
        <f t="shared" si="37"/>
        <v>0</v>
      </c>
      <c r="U266" s="376"/>
      <c r="V266" s="376">
        <f t="shared" si="38"/>
        <v>0</v>
      </c>
      <c r="W266" s="347">
        <f>IF(B266&gt;$C$76,0,$C$243+SUM($J$246:J266))</f>
        <v>0</v>
      </c>
      <c r="X266" s="378">
        <f t="shared" si="39"/>
        <v>0</v>
      </c>
    </row>
    <row r="267" spans="1:24" x14ac:dyDescent="0.45">
      <c r="A267" s="550"/>
      <c r="B267" s="344"/>
      <c r="C267" s="1038"/>
      <c r="D267" s="349"/>
      <c r="E267" s="345"/>
      <c r="F267" s="349"/>
      <c r="G267" s="345"/>
      <c r="H267" s="349"/>
      <c r="I267" s="345"/>
      <c r="J267" s="349"/>
      <c r="K267" s="349"/>
      <c r="L267" s="349"/>
      <c r="M267" s="349"/>
      <c r="N267" s="345"/>
      <c r="O267" s="345"/>
      <c r="P267" s="345"/>
      <c r="Q267" s="345"/>
      <c r="R267" s="349"/>
      <c r="S267" s="349"/>
      <c r="T267" s="345"/>
      <c r="U267" s="345"/>
      <c r="V267" s="345"/>
      <c r="W267" s="348" t="s">
        <v>158</v>
      </c>
      <c r="X267" s="353">
        <f>NPV($C$201,X247:X266)+X246</f>
        <v>0</v>
      </c>
    </row>
    <row r="268" spans="1:24" x14ac:dyDescent="0.45">
      <c r="A268" s="550"/>
      <c r="B268" s="344"/>
      <c r="C268" s="1038"/>
      <c r="D268" s="360"/>
      <c r="E268" s="345"/>
      <c r="F268" s="360"/>
      <c r="G268" s="345"/>
      <c r="H268" s="360"/>
      <c r="I268" s="345"/>
      <c r="J268" s="360"/>
      <c r="K268" s="360"/>
      <c r="L268" s="360"/>
      <c r="M268" s="360"/>
      <c r="N268" s="345"/>
      <c r="O268" s="345"/>
      <c r="P268" s="345"/>
      <c r="Q268" s="345"/>
      <c r="R268" s="360"/>
      <c r="S268" s="360"/>
      <c r="T268" s="345"/>
      <c r="U268" s="345"/>
      <c r="V268" s="345"/>
      <c r="W268" s="348" t="s">
        <v>134</v>
      </c>
      <c r="X268" s="837">
        <f>IRR(X246:X266,0.1)</f>
        <v>0.10000000000000009</v>
      </c>
    </row>
    <row r="269" spans="1:24" x14ac:dyDescent="0.45">
      <c r="A269" s="550"/>
      <c r="B269" s="344"/>
      <c r="C269" s="1038"/>
      <c r="D269" s="828"/>
      <c r="E269" s="345"/>
      <c r="F269" s="345"/>
      <c r="G269" s="345"/>
      <c r="H269" s="345"/>
      <c r="I269" s="345"/>
      <c r="J269" s="348"/>
      <c r="K269" s="345"/>
      <c r="L269" s="345"/>
      <c r="M269" s="345"/>
      <c r="N269" s="345"/>
      <c r="O269" s="345"/>
      <c r="P269" s="345"/>
      <c r="Q269" s="345"/>
      <c r="R269" s="345"/>
      <c r="S269" s="345"/>
      <c r="T269" s="345"/>
      <c r="U269" s="345"/>
      <c r="V269" s="345"/>
      <c r="W269" s="345"/>
      <c r="X269" s="346"/>
    </row>
    <row r="270" spans="1:24" x14ac:dyDescent="0.45">
      <c r="A270" s="550"/>
      <c r="B270" s="357" t="s">
        <v>31</v>
      </c>
      <c r="C270" s="1038"/>
      <c r="D270" s="358"/>
      <c r="E270" s="345"/>
      <c r="F270" s="348"/>
      <c r="G270" s="345"/>
      <c r="H270" s="345"/>
      <c r="I270" s="345"/>
      <c r="J270" s="345"/>
      <c r="K270" s="345"/>
      <c r="L270" s="345"/>
      <c r="M270" s="345"/>
      <c r="N270" s="345"/>
      <c r="O270" s="345"/>
      <c r="P270" s="345"/>
      <c r="Q270" s="345"/>
      <c r="R270" s="345"/>
      <c r="S270" s="345"/>
      <c r="T270" s="345"/>
      <c r="U270" s="345"/>
      <c r="V270" s="345"/>
      <c r="W270" s="345"/>
      <c r="X270" s="346"/>
    </row>
    <row r="271" spans="1:24" x14ac:dyDescent="0.45">
      <c r="A271" s="550"/>
      <c r="B271" s="344" t="s">
        <v>272</v>
      </c>
      <c r="C271" s="832">
        <f>$D$84*$C$77</f>
        <v>82981800</v>
      </c>
      <c r="D271" s="345" t="s">
        <v>1</v>
      </c>
      <c r="E271" s="345"/>
      <c r="F271" s="345"/>
      <c r="G271" s="345"/>
      <c r="H271" s="345"/>
      <c r="I271" s="345"/>
      <c r="J271" s="345"/>
      <c r="K271" s="345"/>
      <c r="L271" s="345"/>
      <c r="M271" s="345"/>
      <c r="N271" s="345"/>
      <c r="O271" s="345"/>
      <c r="P271" s="345"/>
      <c r="Q271" s="345"/>
      <c r="R271" s="345"/>
      <c r="S271" s="345"/>
      <c r="T271" s="345"/>
      <c r="U271" s="345"/>
      <c r="V271" s="345"/>
      <c r="W271" s="345"/>
      <c r="X271" s="346"/>
    </row>
    <row r="272" spans="1:24" x14ac:dyDescent="0.45">
      <c r="A272" s="550"/>
      <c r="B272" s="344" t="s">
        <v>273</v>
      </c>
      <c r="C272" s="832">
        <f>$E$84*$C$79</f>
        <v>12296394</v>
      </c>
      <c r="D272" s="345" t="s">
        <v>1</v>
      </c>
      <c r="E272" s="345"/>
      <c r="F272" s="345"/>
      <c r="G272" s="347"/>
      <c r="H272" s="345"/>
      <c r="I272" s="345"/>
      <c r="J272" s="345"/>
      <c r="K272" s="345"/>
      <c r="L272" s="345"/>
      <c r="M272" s="345"/>
      <c r="N272" s="345"/>
      <c r="O272" s="345"/>
      <c r="P272" s="345"/>
      <c r="Q272" s="345"/>
      <c r="R272" s="345"/>
      <c r="S272" s="345"/>
      <c r="T272" s="345"/>
      <c r="U272" s="345"/>
      <c r="V272" s="345"/>
      <c r="W272" s="345"/>
      <c r="X272" s="346"/>
    </row>
    <row r="273" spans="1:24" x14ac:dyDescent="0.45">
      <c r="A273" s="550"/>
      <c r="B273" s="829"/>
      <c r="C273" s="1038"/>
      <c r="D273" s="358"/>
      <c r="E273" s="345"/>
      <c r="F273" s="348"/>
      <c r="G273" s="345"/>
      <c r="H273" s="345"/>
      <c r="I273" s="345"/>
      <c r="J273" s="345"/>
      <c r="K273" s="345"/>
      <c r="L273" s="345"/>
      <c r="M273" s="345"/>
      <c r="N273" s="345"/>
      <c r="O273" s="345"/>
      <c r="P273" s="345"/>
      <c r="Q273" s="345"/>
      <c r="R273" s="345"/>
      <c r="S273" s="345"/>
      <c r="T273" s="345"/>
      <c r="U273" s="345"/>
      <c r="V273" s="345"/>
      <c r="W273" s="345"/>
      <c r="X273" s="346"/>
    </row>
    <row r="274" spans="1:24" x14ac:dyDescent="0.45">
      <c r="A274" s="550"/>
      <c r="B274" s="354" t="s">
        <v>27</v>
      </c>
      <c r="C274" s="1040" t="s">
        <v>379</v>
      </c>
      <c r="D274" s="355" t="s">
        <v>128</v>
      </c>
      <c r="E274" s="355" t="s">
        <v>380</v>
      </c>
      <c r="F274" s="355" t="s">
        <v>245</v>
      </c>
      <c r="G274" s="355" t="s">
        <v>367</v>
      </c>
      <c r="H274" s="355" t="s">
        <v>368</v>
      </c>
      <c r="I274" s="355" t="s">
        <v>369</v>
      </c>
      <c r="J274" s="355" t="s">
        <v>370</v>
      </c>
      <c r="K274" s="355" t="s">
        <v>131</v>
      </c>
      <c r="L274" s="355" t="s">
        <v>130</v>
      </c>
      <c r="M274" s="355" t="s">
        <v>129</v>
      </c>
      <c r="N274" s="355" t="s">
        <v>374</v>
      </c>
      <c r="O274" s="355" t="s">
        <v>124</v>
      </c>
      <c r="P274" s="355" t="s">
        <v>125</v>
      </c>
      <c r="Q274" s="355" t="s">
        <v>126</v>
      </c>
      <c r="R274" s="355" t="s">
        <v>155</v>
      </c>
      <c r="S274" s="355" t="s">
        <v>157</v>
      </c>
      <c r="T274" s="355" t="s">
        <v>156</v>
      </c>
      <c r="U274" s="345" t="s">
        <v>280</v>
      </c>
      <c r="V274" s="355" t="s">
        <v>375</v>
      </c>
      <c r="W274" s="355" t="s">
        <v>373</v>
      </c>
      <c r="X274" s="835" t="s">
        <v>164</v>
      </c>
    </row>
    <row r="275" spans="1:24" x14ac:dyDescent="0.45">
      <c r="A275" s="550"/>
      <c r="B275" s="359">
        <v>0</v>
      </c>
      <c r="C275" s="1039">
        <v>0.13354180131566287</v>
      </c>
      <c r="D275" s="375">
        <v>0</v>
      </c>
      <c r="E275" s="833">
        <f>SUM(J32:J48)</f>
        <v>8.3656583687142252E-2</v>
      </c>
      <c r="F275" s="375">
        <v>0</v>
      </c>
      <c r="G275" s="345">
        <v>0</v>
      </c>
      <c r="H275" s="376">
        <f t="shared" ref="H275:H295" si="40">IF(D275&gt;0,-1*G275*$C$271,0)</f>
        <v>0</v>
      </c>
      <c r="I275" s="376">
        <v>0</v>
      </c>
      <c r="J275" s="376">
        <v>0</v>
      </c>
      <c r="K275" s="379">
        <f t="shared" ref="K275:K295" si="41">D275+F275+H275+J275</f>
        <v>0</v>
      </c>
      <c r="L275" s="375">
        <f t="shared" ref="L275:L295" si="42">IF(F275&lt;&gt;0,-1*($C$203+$C$204)*D275,0)</f>
        <v>0</v>
      </c>
      <c r="M275" s="375">
        <f t="shared" ref="M275:M295" si="43">K275+L275</f>
        <v>0</v>
      </c>
      <c r="N275" s="376">
        <f t="shared" ref="N275:N295" si="44">IF(V275&gt;0,V275-W275,0)</f>
        <v>0</v>
      </c>
      <c r="O275" s="347">
        <v>0</v>
      </c>
      <c r="P275" s="347">
        <v>0</v>
      </c>
      <c r="Q275" s="347">
        <v>0</v>
      </c>
      <c r="R275" s="376">
        <f>IF(M275&gt;0,-1*(M275+N275)*$C$202,0)</f>
        <v>0</v>
      </c>
      <c r="S275" s="375">
        <f t="shared" ref="S275:S295" si="45">IF(B275=$C$77,0,$C$205/12*(D276+F276+L276))</f>
        <v>5146963.2570961704</v>
      </c>
      <c r="T275" s="375">
        <f>S275</f>
        <v>5146963.2570961704</v>
      </c>
      <c r="U275" s="375">
        <f>-1*(C271+C272)</f>
        <v>-95278194</v>
      </c>
      <c r="V275" s="376">
        <f>IF(B275=$C$77+1,$C$272+SUM($J274:J$276)+$C$271+SUM($H274:H$276),0)</f>
        <v>0</v>
      </c>
      <c r="W275" s="347">
        <f>IF(B275&gt;$C$77,0,$C$272+SUM($J$275:J275))</f>
        <v>12296394</v>
      </c>
      <c r="X275" s="836">
        <f>-T275+U275</f>
        <v>-100425157.25709617</v>
      </c>
    </row>
    <row r="276" spans="1:24" x14ac:dyDescent="0.45">
      <c r="A276" s="550"/>
      <c r="B276" s="344">
        <v>1</v>
      </c>
      <c r="C276" s="1038">
        <f t="shared" ref="C276:C295" si="46">IF(B276&gt;$C$77,0,$C$275*(1+$C$199)^B276)</f>
        <v>0.13647972094460745</v>
      </c>
      <c r="D276" s="376">
        <f t="shared" ref="D276:D295" si="47">C276*$C$198*1000000</f>
        <v>76661567.522111222</v>
      </c>
      <c r="E276" s="1038">
        <f t="shared" ref="E276:E295" si="48">IF(B276&gt;$C$77,0,$E$275*(1+$C$200)^B276)</f>
        <v>8.5497028528259383E-2</v>
      </c>
      <c r="F276" s="376">
        <f t="shared" ref="F276:F295" si="49">-1*E276*$C$198*1000000</f>
        <v>-48024249.903904863</v>
      </c>
      <c r="G276" s="345">
        <v>0.1429</v>
      </c>
      <c r="H276" s="376">
        <f t="shared" si="40"/>
        <v>-11858099.220000001</v>
      </c>
      <c r="I276" s="345">
        <v>1.391E-2</v>
      </c>
      <c r="J276" s="376">
        <f t="shared" ref="J276:J295" si="50">IF(D276&gt;0,-1*$C$272*I276,0)</f>
        <v>-171042.84054</v>
      </c>
      <c r="K276" s="377">
        <f t="shared" si="41"/>
        <v>16608175.557666361</v>
      </c>
      <c r="L276" s="376">
        <f t="shared" si="42"/>
        <v>-8049464.5898216777</v>
      </c>
      <c r="M276" s="376">
        <f t="shared" si="43"/>
        <v>8558710.9678446837</v>
      </c>
      <c r="N276" s="376">
        <f t="shared" si="44"/>
        <v>0</v>
      </c>
      <c r="O276" s="347">
        <f t="shared" ref="O276:O295" si="51">IF(M276&lt;0,M276*-1,0)</f>
        <v>0</v>
      </c>
      <c r="P276" s="347">
        <f t="shared" ref="P276:P295" si="52">P275+O276-Q276</f>
        <v>0</v>
      </c>
      <c r="Q276" s="347">
        <f t="shared" ref="Q276:Q295" si="53">IF(B276=$C$77+1,O276,IF(AND(M276&gt;0, P275&gt;0), MIN(M276,P275),0))</f>
        <v>0</v>
      </c>
      <c r="R276" s="376">
        <f t="shared" ref="R276:R295" si="54">IF(M276&gt;0,-1*(M276+N276-Q276)*$C$202,0)</f>
        <v>-2387880.3600286664</v>
      </c>
      <c r="S276" s="376">
        <f t="shared" si="45"/>
        <v>5260196.4487522896</v>
      </c>
      <c r="T276" s="376">
        <f t="shared" ref="T276:T295" si="55">(S276-S275)</f>
        <v>113233.19165611919</v>
      </c>
      <c r="U276" s="376"/>
      <c r="V276" s="376">
        <f t="shared" ref="V276:V295" si="56">IF(B276=$C$77,$C$272*(1-1/$C$79*B276),0)</f>
        <v>0</v>
      </c>
      <c r="W276" s="347">
        <f>IF(B276&gt;$C$77,0,$C$272+SUM($J$275:J276))</f>
        <v>12125351.159460001</v>
      </c>
      <c r="X276" s="378">
        <f t="shared" ref="X276:X295" si="57">M276+R276-1*(H276+J276)-T276+U276+V276</f>
        <v>18086739.476699896</v>
      </c>
    </row>
    <row r="277" spans="1:24" x14ac:dyDescent="0.45">
      <c r="A277" s="550"/>
      <c r="B277" s="344">
        <v>2</v>
      </c>
      <c r="C277" s="1038">
        <f t="shared" si="46"/>
        <v>0.13948227480538883</v>
      </c>
      <c r="D277" s="376">
        <f t="shared" si="47"/>
        <v>78348122.007597685</v>
      </c>
      <c r="E277" s="1038">
        <f t="shared" si="48"/>
        <v>8.7377963155881089E-2</v>
      </c>
      <c r="F277" s="376">
        <f t="shared" si="49"/>
        <v>-49080783.401790768</v>
      </c>
      <c r="G277" s="345">
        <v>0.24490000000000001</v>
      </c>
      <c r="H277" s="376">
        <f t="shared" si="40"/>
        <v>-20322242.82</v>
      </c>
      <c r="I277" s="345">
        <v>2.564E-2</v>
      </c>
      <c r="J277" s="376">
        <f t="shared" si="50"/>
        <v>-315279.54216000001</v>
      </c>
      <c r="K277" s="377">
        <f t="shared" si="41"/>
        <v>8629816.243646916</v>
      </c>
      <c r="L277" s="376">
        <f t="shared" si="42"/>
        <v>-8226552.8107977565</v>
      </c>
      <c r="M277" s="376">
        <f t="shared" si="43"/>
        <v>403263.43284915946</v>
      </c>
      <c r="N277" s="376">
        <f t="shared" si="44"/>
        <v>0</v>
      </c>
      <c r="O277" s="347">
        <f t="shared" si="51"/>
        <v>0</v>
      </c>
      <c r="P277" s="347">
        <f t="shared" si="52"/>
        <v>0</v>
      </c>
      <c r="Q277" s="347">
        <f t="shared" si="53"/>
        <v>0</v>
      </c>
      <c r="R277" s="376">
        <f t="shared" si="54"/>
        <v>-112510.49776491548</v>
      </c>
      <c r="S277" s="376">
        <f t="shared" si="45"/>
        <v>5375920.7706248406</v>
      </c>
      <c r="T277" s="376">
        <f t="shared" si="55"/>
        <v>115724.32187255099</v>
      </c>
      <c r="U277" s="376"/>
      <c r="V277" s="376">
        <f t="shared" si="56"/>
        <v>0</v>
      </c>
      <c r="W277" s="347">
        <f>IF(B277&gt;$C$77,0,$C$272+SUM($J$275:J277))</f>
        <v>11810071.6173</v>
      </c>
      <c r="X277" s="378">
        <f t="shared" si="57"/>
        <v>20812550.975371692</v>
      </c>
    </row>
    <row r="278" spans="1:24" x14ac:dyDescent="0.45">
      <c r="A278" s="550"/>
      <c r="B278" s="344">
        <v>3</v>
      </c>
      <c r="C278" s="1038">
        <f t="shared" si="46"/>
        <v>0.14255088485110737</v>
      </c>
      <c r="D278" s="376">
        <f t="shared" si="47"/>
        <v>80071780.691764832</v>
      </c>
      <c r="E278" s="1038">
        <f t="shared" si="48"/>
        <v>8.9300278345310471E-2</v>
      </c>
      <c r="F278" s="376">
        <f t="shared" si="49"/>
        <v>-50160560.636630163</v>
      </c>
      <c r="G278" s="345">
        <v>0.1749</v>
      </c>
      <c r="H278" s="376">
        <f t="shared" si="40"/>
        <v>-14513516.82</v>
      </c>
      <c r="I278" s="345">
        <v>2.564E-2</v>
      </c>
      <c r="J278" s="376">
        <f t="shared" si="50"/>
        <v>-315279.54216000001</v>
      </c>
      <c r="K278" s="377">
        <f t="shared" si="41"/>
        <v>15082423.692974668</v>
      </c>
      <c r="L278" s="376">
        <f t="shared" si="42"/>
        <v>-8407536.9726353064</v>
      </c>
      <c r="M278" s="376">
        <f t="shared" si="43"/>
        <v>6674886.7203393616</v>
      </c>
      <c r="N278" s="376">
        <f t="shared" si="44"/>
        <v>0</v>
      </c>
      <c r="O278" s="347">
        <f t="shared" si="51"/>
        <v>0</v>
      </c>
      <c r="P278" s="347">
        <f t="shared" si="52"/>
        <v>0</v>
      </c>
      <c r="Q278" s="347">
        <f t="shared" si="53"/>
        <v>0</v>
      </c>
      <c r="R278" s="376">
        <f t="shared" si="54"/>
        <v>-1862293.3949746818</v>
      </c>
      <c r="S278" s="376">
        <f t="shared" si="45"/>
        <v>5494191.0275785858</v>
      </c>
      <c r="T278" s="376">
        <f t="shared" si="55"/>
        <v>118270.25695374515</v>
      </c>
      <c r="U278" s="376"/>
      <c r="V278" s="376">
        <f t="shared" si="56"/>
        <v>0</v>
      </c>
      <c r="W278" s="347">
        <f>IF(B278&gt;$C$77,0,$C$272+SUM($J$275:J278))</f>
        <v>11494792.075139999</v>
      </c>
      <c r="X278" s="378">
        <f t="shared" si="57"/>
        <v>19523119.430570934</v>
      </c>
    </row>
    <row r="279" spans="1:24" x14ac:dyDescent="0.45">
      <c r="A279" s="550"/>
      <c r="B279" s="344">
        <v>4</v>
      </c>
      <c r="C279" s="1038">
        <f t="shared" si="46"/>
        <v>0.14568700431783174</v>
      </c>
      <c r="D279" s="376">
        <f t="shared" si="47"/>
        <v>81833359.866983652</v>
      </c>
      <c r="E279" s="1038">
        <f t="shared" si="48"/>
        <v>9.1264884468907306E-2</v>
      </c>
      <c r="F279" s="376">
        <f t="shared" si="49"/>
        <v>-51264092.970636025</v>
      </c>
      <c r="G279" s="345">
        <v>0.1249</v>
      </c>
      <c r="H279" s="376">
        <f t="shared" si="40"/>
        <v>-10364426.82</v>
      </c>
      <c r="I279" s="345">
        <v>2.564E-2</v>
      </c>
      <c r="J279" s="376">
        <f t="shared" si="50"/>
        <v>-315279.54216000001</v>
      </c>
      <c r="K279" s="377">
        <f t="shared" si="41"/>
        <v>19889560.534187626</v>
      </c>
      <c r="L279" s="376">
        <f t="shared" si="42"/>
        <v>-8592502.7860332839</v>
      </c>
      <c r="M279" s="376">
        <f t="shared" si="43"/>
        <v>11297057.748154342</v>
      </c>
      <c r="N279" s="376">
        <f t="shared" si="44"/>
        <v>0</v>
      </c>
      <c r="O279" s="347">
        <f t="shared" si="51"/>
        <v>0</v>
      </c>
      <c r="P279" s="347">
        <f t="shared" si="52"/>
        <v>0</v>
      </c>
      <c r="Q279" s="347">
        <f t="shared" si="53"/>
        <v>0</v>
      </c>
      <c r="R279" s="376">
        <f t="shared" si="54"/>
        <v>-3151879.1117350613</v>
      </c>
      <c r="S279" s="376">
        <f t="shared" si="45"/>
        <v>5615063.230185315</v>
      </c>
      <c r="T279" s="376">
        <f t="shared" si="55"/>
        <v>120872.20260672923</v>
      </c>
      <c r="U279" s="376"/>
      <c r="V279" s="376">
        <f t="shared" si="56"/>
        <v>0</v>
      </c>
      <c r="W279" s="347">
        <f>IF(B279&gt;$C$77,0,$C$272+SUM($J$275:J279))</f>
        <v>11179512.532980001</v>
      </c>
      <c r="X279" s="378">
        <f t="shared" si="57"/>
        <v>18704012.795972552</v>
      </c>
    </row>
    <row r="280" spans="1:24" x14ac:dyDescent="0.45">
      <c r="A280" s="550"/>
      <c r="B280" s="344">
        <v>5</v>
      </c>
      <c r="C280" s="1038">
        <f t="shared" si="46"/>
        <v>0.14889211841282404</v>
      </c>
      <c r="D280" s="376">
        <f t="shared" si="47"/>
        <v>83633693.784057304</v>
      </c>
      <c r="E280" s="1038">
        <f t="shared" si="48"/>
        <v>9.3272711927223265E-2</v>
      </c>
      <c r="F280" s="376">
        <f t="shared" si="49"/>
        <v>-52391903.015990026</v>
      </c>
      <c r="G280" s="345">
        <v>8.9300000000000004E-2</v>
      </c>
      <c r="H280" s="376">
        <f t="shared" si="40"/>
        <v>-7410274.7400000002</v>
      </c>
      <c r="I280" s="345">
        <v>2.564E-2</v>
      </c>
      <c r="J280" s="376">
        <f t="shared" si="50"/>
        <v>-315279.54216000001</v>
      </c>
      <c r="K280" s="377">
        <f t="shared" si="41"/>
        <v>23516236.485907275</v>
      </c>
      <c r="L280" s="376">
        <f t="shared" si="42"/>
        <v>-8781537.8473260161</v>
      </c>
      <c r="M280" s="376">
        <f t="shared" si="43"/>
        <v>14734698.638581259</v>
      </c>
      <c r="N280" s="376">
        <f t="shared" si="44"/>
        <v>0</v>
      </c>
      <c r="O280" s="347">
        <f t="shared" si="51"/>
        <v>0</v>
      </c>
      <c r="P280" s="347">
        <f t="shared" si="52"/>
        <v>0</v>
      </c>
      <c r="Q280" s="347">
        <f t="shared" si="53"/>
        <v>0</v>
      </c>
      <c r="R280" s="376">
        <f t="shared" si="54"/>
        <v>-4110980.9201641707</v>
      </c>
      <c r="S280" s="376">
        <f t="shared" si="45"/>
        <v>5738594.6212493889</v>
      </c>
      <c r="T280" s="376">
        <f t="shared" si="55"/>
        <v>123531.39106407389</v>
      </c>
      <c r="U280" s="376"/>
      <c r="V280" s="376">
        <f t="shared" si="56"/>
        <v>0</v>
      </c>
      <c r="W280" s="347">
        <f>IF(B280&gt;$C$77,0,$C$272+SUM($J$275:J280))</f>
        <v>10864232.99082</v>
      </c>
      <c r="X280" s="378">
        <f t="shared" si="57"/>
        <v>18225740.609513015</v>
      </c>
    </row>
    <row r="281" spans="1:24" x14ac:dyDescent="0.45">
      <c r="A281" s="550"/>
      <c r="B281" s="344">
        <v>6</v>
      </c>
      <c r="C281" s="1038">
        <f t="shared" si="46"/>
        <v>0.15216774501790614</v>
      </c>
      <c r="D281" s="376">
        <f t="shared" si="47"/>
        <v>85473635.047306538</v>
      </c>
      <c r="E281" s="1038">
        <f t="shared" si="48"/>
        <v>9.5324711589622163E-2</v>
      </c>
      <c r="F281" s="376">
        <f t="shared" si="49"/>
        <v>-53544524.882341795</v>
      </c>
      <c r="G281" s="345">
        <v>8.9200000000000002E-2</v>
      </c>
      <c r="H281" s="376">
        <f t="shared" si="40"/>
        <v>-7401976.5600000005</v>
      </c>
      <c r="I281" s="345">
        <v>2.564E-2</v>
      </c>
      <c r="J281" s="376">
        <f t="shared" si="50"/>
        <v>-315279.54216000001</v>
      </c>
      <c r="K281" s="377">
        <f t="shared" si="41"/>
        <v>24211854.06280474</v>
      </c>
      <c r="L281" s="376">
        <f t="shared" si="42"/>
        <v>-8974731.6799671855</v>
      </c>
      <c r="M281" s="376">
        <f t="shared" si="43"/>
        <v>15237122.382837554</v>
      </c>
      <c r="N281" s="376">
        <f t="shared" si="44"/>
        <v>0</v>
      </c>
      <c r="O281" s="347">
        <f t="shared" si="51"/>
        <v>0</v>
      </c>
      <c r="P281" s="347">
        <f t="shared" si="52"/>
        <v>0</v>
      </c>
      <c r="Q281" s="347">
        <f t="shared" si="53"/>
        <v>0</v>
      </c>
      <c r="R281" s="376">
        <f t="shared" si="54"/>
        <v>-4251157.1448116768</v>
      </c>
      <c r="S281" s="376">
        <f t="shared" si="45"/>
        <v>5864843.7029168773</v>
      </c>
      <c r="T281" s="376">
        <f t="shared" si="55"/>
        <v>126249.08166748844</v>
      </c>
      <c r="U281" s="376"/>
      <c r="V281" s="376">
        <f t="shared" si="56"/>
        <v>0</v>
      </c>
      <c r="W281" s="347">
        <f>IF(B281&gt;$C$77,0,$C$272+SUM($J$275:J281))</f>
        <v>10548953.448659999</v>
      </c>
      <c r="X281" s="378">
        <f t="shared" si="57"/>
        <v>18576972.25851839</v>
      </c>
    </row>
    <row r="282" spans="1:24" x14ac:dyDescent="0.45">
      <c r="A282" s="550"/>
      <c r="B282" s="344">
        <v>7</v>
      </c>
      <c r="C282" s="1038">
        <f t="shared" si="46"/>
        <v>0.1555154354083001</v>
      </c>
      <c r="D282" s="376">
        <f t="shared" si="47"/>
        <v>87354055.018347293</v>
      </c>
      <c r="E282" s="1038">
        <f t="shared" si="48"/>
        <v>9.7421855244593861E-2</v>
      </c>
      <c r="F282" s="376">
        <f t="shared" si="49"/>
        <v>-54722504.429753318</v>
      </c>
      <c r="G282" s="345">
        <v>8.9300000000000004E-2</v>
      </c>
      <c r="H282" s="376">
        <f t="shared" si="40"/>
        <v>-7410274.7400000002</v>
      </c>
      <c r="I282" s="345">
        <v>2.564E-2</v>
      </c>
      <c r="J282" s="376">
        <f t="shared" si="50"/>
        <v>-315279.54216000001</v>
      </c>
      <c r="K282" s="377">
        <f t="shared" si="41"/>
        <v>24905996.306433972</v>
      </c>
      <c r="L282" s="376">
        <f t="shared" si="42"/>
        <v>-9172175.7769264653</v>
      </c>
      <c r="M282" s="376">
        <f t="shared" si="43"/>
        <v>15733820.529507507</v>
      </c>
      <c r="N282" s="376">
        <f t="shared" si="44"/>
        <v>-1380270.2265000008</v>
      </c>
      <c r="O282" s="347">
        <f t="shared" si="51"/>
        <v>0</v>
      </c>
      <c r="P282" s="347">
        <f t="shared" si="52"/>
        <v>0</v>
      </c>
      <c r="Q282" s="347">
        <f t="shared" si="53"/>
        <v>0</v>
      </c>
      <c r="R282" s="376">
        <f t="shared" si="54"/>
        <v>-4004640.5345390937</v>
      </c>
      <c r="S282" s="376">
        <f t="shared" si="45"/>
        <v>0</v>
      </c>
      <c r="T282" s="376">
        <f t="shared" si="55"/>
        <v>-5864843.7029168773</v>
      </c>
      <c r="U282" s="376"/>
      <c r="V282" s="376">
        <f t="shared" si="56"/>
        <v>8853403.6799999997</v>
      </c>
      <c r="W282" s="347">
        <f>IF(B282&gt;$C$77,0,$C$272+SUM($J$275:J282))</f>
        <v>10233673.906500001</v>
      </c>
      <c r="X282" s="378">
        <f t="shared" si="57"/>
        <v>34172981.660045289</v>
      </c>
    </row>
    <row r="283" spans="1:24" x14ac:dyDescent="0.45">
      <c r="A283" s="550"/>
      <c r="B283" s="344">
        <v>8</v>
      </c>
      <c r="C283" s="1038">
        <f t="shared" si="46"/>
        <v>0</v>
      </c>
      <c r="D283" s="376">
        <f t="shared" si="47"/>
        <v>0</v>
      </c>
      <c r="E283" s="1038">
        <f t="shared" si="48"/>
        <v>0</v>
      </c>
      <c r="F283" s="376">
        <f t="shared" si="49"/>
        <v>0</v>
      </c>
      <c r="G283" s="345">
        <v>4.4600000000000001E-2</v>
      </c>
      <c r="H283" s="376">
        <f t="shared" si="40"/>
        <v>0</v>
      </c>
      <c r="I283" s="345">
        <v>2.564E-2</v>
      </c>
      <c r="J283" s="376">
        <f t="shared" si="50"/>
        <v>0</v>
      </c>
      <c r="K283" s="377">
        <f t="shared" si="41"/>
        <v>0</v>
      </c>
      <c r="L283" s="376">
        <f t="shared" si="42"/>
        <v>0</v>
      </c>
      <c r="M283" s="376">
        <f t="shared" si="43"/>
        <v>0</v>
      </c>
      <c r="N283" s="376">
        <f t="shared" si="44"/>
        <v>0</v>
      </c>
      <c r="O283" s="347">
        <f t="shared" si="51"/>
        <v>0</v>
      </c>
      <c r="P283" s="347">
        <f t="shared" si="52"/>
        <v>0</v>
      </c>
      <c r="Q283" s="347">
        <f t="shared" si="53"/>
        <v>0</v>
      </c>
      <c r="R283" s="376">
        <f t="shared" si="54"/>
        <v>0</v>
      </c>
      <c r="S283" s="376">
        <f t="shared" si="45"/>
        <v>0</v>
      </c>
      <c r="T283" s="376">
        <f t="shared" si="55"/>
        <v>0</v>
      </c>
      <c r="U283" s="376"/>
      <c r="V283" s="376">
        <f t="shared" si="56"/>
        <v>0</v>
      </c>
      <c r="W283" s="347">
        <f>IF(B283&gt;$C$77,0,$C$272+SUM($J$275:J283))</f>
        <v>0</v>
      </c>
      <c r="X283" s="378">
        <f t="shared" si="57"/>
        <v>0</v>
      </c>
    </row>
    <row r="284" spans="1:24" x14ac:dyDescent="0.45">
      <c r="A284" s="550"/>
      <c r="B284" s="344">
        <v>9</v>
      </c>
      <c r="C284" s="1038">
        <f t="shared" si="46"/>
        <v>0</v>
      </c>
      <c r="D284" s="376">
        <f t="shared" si="47"/>
        <v>0</v>
      </c>
      <c r="E284" s="1038">
        <f t="shared" si="48"/>
        <v>0</v>
      </c>
      <c r="F284" s="376">
        <f t="shared" si="49"/>
        <v>0</v>
      </c>
      <c r="G284" s="345">
        <v>0</v>
      </c>
      <c r="H284" s="376">
        <f t="shared" si="40"/>
        <v>0</v>
      </c>
      <c r="I284" s="345">
        <v>2.564E-2</v>
      </c>
      <c r="J284" s="376">
        <f t="shared" si="50"/>
        <v>0</v>
      </c>
      <c r="K284" s="377">
        <f t="shared" si="41"/>
        <v>0</v>
      </c>
      <c r="L284" s="376">
        <f t="shared" si="42"/>
        <v>0</v>
      </c>
      <c r="M284" s="376">
        <f t="shared" si="43"/>
        <v>0</v>
      </c>
      <c r="N284" s="376">
        <f t="shared" si="44"/>
        <v>0</v>
      </c>
      <c r="O284" s="347">
        <f t="shared" si="51"/>
        <v>0</v>
      </c>
      <c r="P284" s="347">
        <f t="shared" si="52"/>
        <v>0</v>
      </c>
      <c r="Q284" s="347">
        <f t="shared" si="53"/>
        <v>0</v>
      </c>
      <c r="R284" s="376">
        <f t="shared" si="54"/>
        <v>0</v>
      </c>
      <c r="S284" s="376">
        <f t="shared" si="45"/>
        <v>0</v>
      </c>
      <c r="T284" s="376">
        <f t="shared" si="55"/>
        <v>0</v>
      </c>
      <c r="U284" s="376"/>
      <c r="V284" s="376">
        <f t="shared" si="56"/>
        <v>0</v>
      </c>
      <c r="W284" s="347">
        <f>IF(B284&gt;$C$77,0,$C$272+SUM($J$275:J284))</f>
        <v>0</v>
      </c>
      <c r="X284" s="378">
        <f t="shared" si="57"/>
        <v>0</v>
      </c>
    </row>
    <row r="285" spans="1:24" x14ac:dyDescent="0.45">
      <c r="A285" s="550"/>
      <c r="B285" s="344">
        <v>10</v>
      </c>
      <c r="C285" s="1038">
        <f t="shared" si="46"/>
        <v>0</v>
      </c>
      <c r="D285" s="376">
        <f t="shared" si="47"/>
        <v>0</v>
      </c>
      <c r="E285" s="1038">
        <f t="shared" si="48"/>
        <v>0</v>
      </c>
      <c r="F285" s="376">
        <f t="shared" si="49"/>
        <v>0</v>
      </c>
      <c r="G285" s="345">
        <v>0</v>
      </c>
      <c r="H285" s="376">
        <f t="shared" si="40"/>
        <v>0</v>
      </c>
      <c r="I285" s="345">
        <v>2.564E-2</v>
      </c>
      <c r="J285" s="376">
        <f t="shared" si="50"/>
        <v>0</v>
      </c>
      <c r="K285" s="377">
        <f t="shared" si="41"/>
        <v>0</v>
      </c>
      <c r="L285" s="376">
        <f t="shared" si="42"/>
        <v>0</v>
      </c>
      <c r="M285" s="376">
        <f t="shared" si="43"/>
        <v>0</v>
      </c>
      <c r="N285" s="376">
        <f t="shared" si="44"/>
        <v>0</v>
      </c>
      <c r="O285" s="347">
        <f t="shared" si="51"/>
        <v>0</v>
      </c>
      <c r="P285" s="347">
        <f t="shared" si="52"/>
        <v>0</v>
      </c>
      <c r="Q285" s="347">
        <f t="shared" si="53"/>
        <v>0</v>
      </c>
      <c r="R285" s="376">
        <f t="shared" si="54"/>
        <v>0</v>
      </c>
      <c r="S285" s="376">
        <f t="shared" si="45"/>
        <v>0</v>
      </c>
      <c r="T285" s="376">
        <f t="shared" si="55"/>
        <v>0</v>
      </c>
      <c r="U285" s="376"/>
      <c r="V285" s="376">
        <f t="shared" si="56"/>
        <v>0</v>
      </c>
      <c r="W285" s="347">
        <f>IF(B285&gt;$C$77,0,$C$272+SUM($J$275:J285))</f>
        <v>0</v>
      </c>
      <c r="X285" s="378">
        <f t="shared" si="57"/>
        <v>0</v>
      </c>
    </row>
    <row r="286" spans="1:24" x14ac:dyDescent="0.45">
      <c r="A286" s="550"/>
      <c r="B286" s="344">
        <v>11</v>
      </c>
      <c r="C286" s="1038">
        <f t="shared" si="46"/>
        <v>0</v>
      </c>
      <c r="D286" s="376">
        <f t="shared" si="47"/>
        <v>0</v>
      </c>
      <c r="E286" s="1038">
        <f t="shared" si="48"/>
        <v>0</v>
      </c>
      <c r="F286" s="376">
        <f t="shared" si="49"/>
        <v>0</v>
      </c>
      <c r="G286" s="345">
        <v>0</v>
      </c>
      <c r="H286" s="376">
        <f t="shared" si="40"/>
        <v>0</v>
      </c>
      <c r="I286" s="345">
        <v>2.564E-2</v>
      </c>
      <c r="J286" s="376">
        <f t="shared" si="50"/>
        <v>0</v>
      </c>
      <c r="K286" s="377">
        <f t="shared" si="41"/>
        <v>0</v>
      </c>
      <c r="L286" s="376">
        <f t="shared" si="42"/>
        <v>0</v>
      </c>
      <c r="M286" s="376">
        <f t="shared" si="43"/>
        <v>0</v>
      </c>
      <c r="N286" s="376">
        <f t="shared" si="44"/>
        <v>0</v>
      </c>
      <c r="O286" s="347">
        <f t="shared" si="51"/>
        <v>0</v>
      </c>
      <c r="P286" s="347">
        <f t="shared" si="52"/>
        <v>0</v>
      </c>
      <c r="Q286" s="347">
        <f t="shared" si="53"/>
        <v>0</v>
      </c>
      <c r="R286" s="376">
        <f t="shared" si="54"/>
        <v>0</v>
      </c>
      <c r="S286" s="376">
        <f t="shared" si="45"/>
        <v>0</v>
      </c>
      <c r="T286" s="376">
        <f t="shared" si="55"/>
        <v>0</v>
      </c>
      <c r="U286" s="376"/>
      <c r="V286" s="376">
        <f t="shared" si="56"/>
        <v>0</v>
      </c>
      <c r="W286" s="347">
        <f>IF(B286&gt;$C$77,0,$C$272+SUM($J$275:J286))</f>
        <v>0</v>
      </c>
      <c r="X286" s="378">
        <f t="shared" si="57"/>
        <v>0</v>
      </c>
    </row>
    <row r="287" spans="1:24" x14ac:dyDescent="0.45">
      <c r="A287" s="550"/>
      <c r="B287" s="344">
        <v>12</v>
      </c>
      <c r="C287" s="1038">
        <f t="shared" si="46"/>
        <v>0</v>
      </c>
      <c r="D287" s="376">
        <f t="shared" si="47"/>
        <v>0</v>
      </c>
      <c r="E287" s="1038">
        <f t="shared" si="48"/>
        <v>0</v>
      </c>
      <c r="F287" s="376">
        <f t="shared" si="49"/>
        <v>0</v>
      </c>
      <c r="G287" s="345">
        <v>0</v>
      </c>
      <c r="H287" s="376">
        <f t="shared" si="40"/>
        <v>0</v>
      </c>
      <c r="I287" s="345">
        <v>2.564E-2</v>
      </c>
      <c r="J287" s="376">
        <f t="shared" si="50"/>
        <v>0</v>
      </c>
      <c r="K287" s="377">
        <f t="shared" si="41"/>
        <v>0</v>
      </c>
      <c r="L287" s="376">
        <f t="shared" si="42"/>
        <v>0</v>
      </c>
      <c r="M287" s="376">
        <f t="shared" si="43"/>
        <v>0</v>
      </c>
      <c r="N287" s="376">
        <f t="shared" si="44"/>
        <v>0</v>
      </c>
      <c r="O287" s="347">
        <f t="shared" si="51"/>
        <v>0</v>
      </c>
      <c r="P287" s="347">
        <f t="shared" si="52"/>
        <v>0</v>
      </c>
      <c r="Q287" s="347">
        <f t="shared" si="53"/>
        <v>0</v>
      </c>
      <c r="R287" s="376">
        <f t="shared" si="54"/>
        <v>0</v>
      </c>
      <c r="S287" s="376">
        <f t="shared" si="45"/>
        <v>0</v>
      </c>
      <c r="T287" s="376">
        <f t="shared" si="55"/>
        <v>0</v>
      </c>
      <c r="U287" s="376"/>
      <c r="V287" s="376">
        <f t="shared" si="56"/>
        <v>0</v>
      </c>
      <c r="W287" s="347">
        <f>IF(B287&gt;$C$77,0,$C$272+SUM($J$275:J287))</f>
        <v>0</v>
      </c>
      <c r="X287" s="378">
        <f t="shared" si="57"/>
        <v>0</v>
      </c>
    </row>
    <row r="288" spans="1:24" x14ac:dyDescent="0.45">
      <c r="A288" s="550"/>
      <c r="B288" s="344">
        <v>13</v>
      </c>
      <c r="C288" s="1038">
        <f t="shared" si="46"/>
        <v>0</v>
      </c>
      <c r="D288" s="376">
        <f t="shared" si="47"/>
        <v>0</v>
      </c>
      <c r="E288" s="1038">
        <f t="shared" si="48"/>
        <v>0</v>
      </c>
      <c r="F288" s="376">
        <f t="shared" si="49"/>
        <v>0</v>
      </c>
      <c r="G288" s="345">
        <v>0</v>
      </c>
      <c r="H288" s="376">
        <f t="shared" si="40"/>
        <v>0</v>
      </c>
      <c r="I288" s="345">
        <v>2.564E-2</v>
      </c>
      <c r="J288" s="376">
        <f t="shared" si="50"/>
        <v>0</v>
      </c>
      <c r="K288" s="377">
        <f t="shared" si="41"/>
        <v>0</v>
      </c>
      <c r="L288" s="376">
        <f t="shared" si="42"/>
        <v>0</v>
      </c>
      <c r="M288" s="376">
        <f t="shared" si="43"/>
        <v>0</v>
      </c>
      <c r="N288" s="376">
        <f t="shared" si="44"/>
        <v>0</v>
      </c>
      <c r="O288" s="347">
        <f t="shared" si="51"/>
        <v>0</v>
      </c>
      <c r="P288" s="347">
        <f t="shared" si="52"/>
        <v>0</v>
      </c>
      <c r="Q288" s="347">
        <f t="shared" si="53"/>
        <v>0</v>
      </c>
      <c r="R288" s="376">
        <f t="shared" si="54"/>
        <v>0</v>
      </c>
      <c r="S288" s="376">
        <f t="shared" si="45"/>
        <v>0</v>
      </c>
      <c r="T288" s="376">
        <f t="shared" si="55"/>
        <v>0</v>
      </c>
      <c r="U288" s="376"/>
      <c r="V288" s="376">
        <f t="shared" si="56"/>
        <v>0</v>
      </c>
      <c r="W288" s="347">
        <f>IF(B288&gt;$C$77,0,$C$272+SUM($J$275:J288))</f>
        <v>0</v>
      </c>
      <c r="X288" s="378">
        <f t="shared" si="57"/>
        <v>0</v>
      </c>
    </row>
    <row r="289" spans="1:24" x14ac:dyDescent="0.45">
      <c r="A289" s="550"/>
      <c r="B289" s="344">
        <v>14</v>
      </c>
      <c r="C289" s="1038">
        <f t="shared" si="46"/>
        <v>0</v>
      </c>
      <c r="D289" s="376">
        <f t="shared" si="47"/>
        <v>0</v>
      </c>
      <c r="E289" s="1038">
        <f t="shared" si="48"/>
        <v>0</v>
      </c>
      <c r="F289" s="376">
        <f t="shared" si="49"/>
        <v>0</v>
      </c>
      <c r="G289" s="345">
        <v>0</v>
      </c>
      <c r="H289" s="376">
        <f t="shared" si="40"/>
        <v>0</v>
      </c>
      <c r="I289" s="345">
        <v>2.564E-2</v>
      </c>
      <c r="J289" s="376">
        <f t="shared" si="50"/>
        <v>0</v>
      </c>
      <c r="K289" s="377">
        <f t="shared" si="41"/>
        <v>0</v>
      </c>
      <c r="L289" s="376">
        <f t="shared" si="42"/>
        <v>0</v>
      </c>
      <c r="M289" s="376">
        <f t="shared" si="43"/>
        <v>0</v>
      </c>
      <c r="N289" s="376">
        <f t="shared" si="44"/>
        <v>0</v>
      </c>
      <c r="O289" s="347">
        <f t="shared" si="51"/>
        <v>0</v>
      </c>
      <c r="P289" s="347">
        <f t="shared" si="52"/>
        <v>0</v>
      </c>
      <c r="Q289" s="347">
        <f t="shared" si="53"/>
        <v>0</v>
      </c>
      <c r="R289" s="376">
        <f t="shared" si="54"/>
        <v>0</v>
      </c>
      <c r="S289" s="376">
        <f t="shared" si="45"/>
        <v>0</v>
      </c>
      <c r="T289" s="376">
        <f t="shared" si="55"/>
        <v>0</v>
      </c>
      <c r="U289" s="376"/>
      <c r="V289" s="376">
        <f t="shared" si="56"/>
        <v>0</v>
      </c>
      <c r="W289" s="347">
        <f>IF(B289&gt;$C$77,0,$C$272+SUM($J$275:J289))</f>
        <v>0</v>
      </c>
      <c r="X289" s="378">
        <f t="shared" si="57"/>
        <v>0</v>
      </c>
    </row>
    <row r="290" spans="1:24" x14ac:dyDescent="0.45">
      <c r="A290" s="550"/>
      <c r="B290" s="344">
        <v>15</v>
      </c>
      <c r="C290" s="1038">
        <f t="shared" si="46"/>
        <v>0</v>
      </c>
      <c r="D290" s="376">
        <f t="shared" si="47"/>
        <v>0</v>
      </c>
      <c r="E290" s="1038">
        <f t="shared" si="48"/>
        <v>0</v>
      </c>
      <c r="F290" s="376">
        <f t="shared" si="49"/>
        <v>0</v>
      </c>
      <c r="G290" s="345">
        <v>0</v>
      </c>
      <c r="H290" s="376">
        <f t="shared" si="40"/>
        <v>0</v>
      </c>
      <c r="I290" s="345">
        <v>2.564E-2</v>
      </c>
      <c r="J290" s="376">
        <f t="shared" si="50"/>
        <v>0</v>
      </c>
      <c r="K290" s="377">
        <f t="shared" si="41"/>
        <v>0</v>
      </c>
      <c r="L290" s="376">
        <f t="shared" si="42"/>
        <v>0</v>
      </c>
      <c r="M290" s="376">
        <f t="shared" si="43"/>
        <v>0</v>
      </c>
      <c r="N290" s="376">
        <f t="shared" si="44"/>
        <v>0</v>
      </c>
      <c r="O290" s="347">
        <f t="shared" si="51"/>
        <v>0</v>
      </c>
      <c r="P290" s="347">
        <f t="shared" si="52"/>
        <v>0</v>
      </c>
      <c r="Q290" s="347">
        <f t="shared" si="53"/>
        <v>0</v>
      </c>
      <c r="R290" s="376">
        <f t="shared" si="54"/>
        <v>0</v>
      </c>
      <c r="S290" s="376">
        <f t="shared" si="45"/>
        <v>0</v>
      </c>
      <c r="T290" s="376">
        <f t="shared" si="55"/>
        <v>0</v>
      </c>
      <c r="U290" s="376"/>
      <c r="V290" s="376">
        <f t="shared" si="56"/>
        <v>0</v>
      </c>
      <c r="W290" s="347">
        <f>IF(B290&gt;$C$77,0,$C$272+SUM($J$275:J290))</f>
        <v>0</v>
      </c>
      <c r="X290" s="378">
        <f t="shared" si="57"/>
        <v>0</v>
      </c>
    </row>
    <row r="291" spans="1:24" x14ac:dyDescent="0.45">
      <c r="A291" s="550"/>
      <c r="B291" s="344">
        <v>16</v>
      </c>
      <c r="C291" s="1038">
        <f t="shared" si="46"/>
        <v>0</v>
      </c>
      <c r="D291" s="376">
        <f t="shared" si="47"/>
        <v>0</v>
      </c>
      <c r="E291" s="1038">
        <f t="shared" si="48"/>
        <v>0</v>
      </c>
      <c r="F291" s="376">
        <f t="shared" si="49"/>
        <v>0</v>
      </c>
      <c r="G291" s="345">
        <v>0</v>
      </c>
      <c r="H291" s="376">
        <f t="shared" si="40"/>
        <v>0</v>
      </c>
      <c r="I291" s="345">
        <v>2.564E-2</v>
      </c>
      <c r="J291" s="376">
        <f t="shared" si="50"/>
        <v>0</v>
      </c>
      <c r="K291" s="377">
        <f t="shared" si="41"/>
        <v>0</v>
      </c>
      <c r="L291" s="376">
        <f t="shared" si="42"/>
        <v>0</v>
      </c>
      <c r="M291" s="376">
        <f t="shared" si="43"/>
        <v>0</v>
      </c>
      <c r="N291" s="376">
        <f t="shared" si="44"/>
        <v>0</v>
      </c>
      <c r="O291" s="347">
        <f t="shared" si="51"/>
        <v>0</v>
      </c>
      <c r="P291" s="347">
        <f t="shared" si="52"/>
        <v>0</v>
      </c>
      <c r="Q291" s="347">
        <f t="shared" si="53"/>
        <v>0</v>
      </c>
      <c r="R291" s="376">
        <f t="shared" si="54"/>
        <v>0</v>
      </c>
      <c r="S291" s="376">
        <f t="shared" si="45"/>
        <v>0</v>
      </c>
      <c r="T291" s="376">
        <f t="shared" si="55"/>
        <v>0</v>
      </c>
      <c r="U291" s="376"/>
      <c r="V291" s="376">
        <f t="shared" si="56"/>
        <v>0</v>
      </c>
      <c r="W291" s="347">
        <f>IF(B291&gt;$C$77,0,$C$272+SUM($J$275:J291))</f>
        <v>0</v>
      </c>
      <c r="X291" s="378">
        <f t="shared" si="57"/>
        <v>0</v>
      </c>
    </row>
    <row r="292" spans="1:24" x14ac:dyDescent="0.45">
      <c r="A292" s="550"/>
      <c r="B292" s="344">
        <v>17</v>
      </c>
      <c r="C292" s="1038">
        <f t="shared" si="46"/>
        <v>0</v>
      </c>
      <c r="D292" s="376">
        <f t="shared" si="47"/>
        <v>0</v>
      </c>
      <c r="E292" s="1038">
        <f t="shared" si="48"/>
        <v>0</v>
      </c>
      <c r="F292" s="376">
        <f t="shared" si="49"/>
        <v>0</v>
      </c>
      <c r="G292" s="345">
        <v>0</v>
      </c>
      <c r="H292" s="376">
        <f t="shared" si="40"/>
        <v>0</v>
      </c>
      <c r="I292" s="345">
        <v>2.564E-2</v>
      </c>
      <c r="J292" s="376">
        <f t="shared" si="50"/>
        <v>0</v>
      </c>
      <c r="K292" s="377">
        <f t="shared" si="41"/>
        <v>0</v>
      </c>
      <c r="L292" s="376">
        <f t="shared" si="42"/>
        <v>0</v>
      </c>
      <c r="M292" s="376">
        <f t="shared" si="43"/>
        <v>0</v>
      </c>
      <c r="N292" s="376">
        <f t="shared" si="44"/>
        <v>0</v>
      </c>
      <c r="O292" s="347">
        <f t="shared" si="51"/>
        <v>0</v>
      </c>
      <c r="P292" s="347">
        <f t="shared" si="52"/>
        <v>0</v>
      </c>
      <c r="Q292" s="347">
        <f t="shared" si="53"/>
        <v>0</v>
      </c>
      <c r="R292" s="376">
        <f t="shared" si="54"/>
        <v>0</v>
      </c>
      <c r="S292" s="376">
        <f t="shared" si="45"/>
        <v>0</v>
      </c>
      <c r="T292" s="376">
        <f t="shared" si="55"/>
        <v>0</v>
      </c>
      <c r="U292" s="376"/>
      <c r="V292" s="376">
        <f t="shared" si="56"/>
        <v>0</v>
      </c>
      <c r="W292" s="347">
        <f>IF(B292&gt;$C$77,0,$C$272+SUM($J$275:J292))</f>
        <v>0</v>
      </c>
      <c r="X292" s="378">
        <f t="shared" si="57"/>
        <v>0</v>
      </c>
    </row>
    <row r="293" spans="1:24" x14ac:dyDescent="0.45">
      <c r="A293" s="550"/>
      <c r="B293" s="344">
        <v>18</v>
      </c>
      <c r="C293" s="1038">
        <f t="shared" si="46"/>
        <v>0</v>
      </c>
      <c r="D293" s="376">
        <f t="shared" si="47"/>
        <v>0</v>
      </c>
      <c r="E293" s="1038">
        <f t="shared" si="48"/>
        <v>0</v>
      </c>
      <c r="F293" s="376">
        <f t="shared" si="49"/>
        <v>0</v>
      </c>
      <c r="G293" s="345">
        <v>0</v>
      </c>
      <c r="H293" s="376">
        <f t="shared" si="40"/>
        <v>0</v>
      </c>
      <c r="I293" s="345">
        <v>2.564E-2</v>
      </c>
      <c r="J293" s="376">
        <f t="shared" si="50"/>
        <v>0</v>
      </c>
      <c r="K293" s="377">
        <f t="shared" si="41"/>
        <v>0</v>
      </c>
      <c r="L293" s="376">
        <f t="shared" si="42"/>
        <v>0</v>
      </c>
      <c r="M293" s="376">
        <f t="shared" si="43"/>
        <v>0</v>
      </c>
      <c r="N293" s="376">
        <f t="shared" si="44"/>
        <v>0</v>
      </c>
      <c r="O293" s="347">
        <f t="shared" si="51"/>
        <v>0</v>
      </c>
      <c r="P293" s="347">
        <f t="shared" si="52"/>
        <v>0</v>
      </c>
      <c r="Q293" s="347">
        <f t="shared" si="53"/>
        <v>0</v>
      </c>
      <c r="R293" s="376">
        <f t="shared" si="54"/>
        <v>0</v>
      </c>
      <c r="S293" s="376">
        <f t="shared" si="45"/>
        <v>0</v>
      </c>
      <c r="T293" s="376">
        <f t="shared" si="55"/>
        <v>0</v>
      </c>
      <c r="U293" s="376"/>
      <c r="V293" s="376">
        <f t="shared" si="56"/>
        <v>0</v>
      </c>
      <c r="W293" s="347">
        <f>IF(B293&gt;$C$77,0,$C$272+SUM($J$275:J293))</f>
        <v>0</v>
      </c>
      <c r="X293" s="378">
        <f t="shared" si="57"/>
        <v>0</v>
      </c>
    </row>
    <row r="294" spans="1:24" x14ac:dyDescent="0.45">
      <c r="A294" s="550"/>
      <c r="B294" s="344">
        <v>19</v>
      </c>
      <c r="C294" s="1038">
        <f t="shared" si="46"/>
        <v>0</v>
      </c>
      <c r="D294" s="376">
        <f t="shared" si="47"/>
        <v>0</v>
      </c>
      <c r="E294" s="1038">
        <f t="shared" si="48"/>
        <v>0</v>
      </c>
      <c r="F294" s="376">
        <f t="shared" si="49"/>
        <v>0</v>
      </c>
      <c r="G294" s="345">
        <v>0</v>
      </c>
      <c r="H294" s="376">
        <f t="shared" si="40"/>
        <v>0</v>
      </c>
      <c r="I294" s="345">
        <v>2.564E-2</v>
      </c>
      <c r="J294" s="376">
        <f t="shared" si="50"/>
        <v>0</v>
      </c>
      <c r="K294" s="377">
        <f t="shared" si="41"/>
        <v>0</v>
      </c>
      <c r="L294" s="376">
        <f t="shared" si="42"/>
        <v>0</v>
      </c>
      <c r="M294" s="376">
        <f t="shared" si="43"/>
        <v>0</v>
      </c>
      <c r="N294" s="376">
        <f t="shared" si="44"/>
        <v>0</v>
      </c>
      <c r="O294" s="347">
        <f t="shared" si="51"/>
        <v>0</v>
      </c>
      <c r="P294" s="347">
        <f t="shared" si="52"/>
        <v>0</v>
      </c>
      <c r="Q294" s="347">
        <f t="shared" si="53"/>
        <v>0</v>
      </c>
      <c r="R294" s="376">
        <f t="shared" si="54"/>
        <v>0</v>
      </c>
      <c r="S294" s="376">
        <f t="shared" si="45"/>
        <v>0</v>
      </c>
      <c r="T294" s="376">
        <f t="shared" si="55"/>
        <v>0</v>
      </c>
      <c r="U294" s="376"/>
      <c r="V294" s="376">
        <f t="shared" si="56"/>
        <v>0</v>
      </c>
      <c r="W294" s="347">
        <f>IF(B294&gt;$C$77,0,$C$272+SUM($J$275:J294))</f>
        <v>0</v>
      </c>
      <c r="X294" s="378">
        <f t="shared" si="57"/>
        <v>0</v>
      </c>
    </row>
    <row r="295" spans="1:24" x14ac:dyDescent="0.45">
      <c r="A295" s="550"/>
      <c r="B295" s="344">
        <v>20</v>
      </c>
      <c r="C295" s="1038">
        <f t="shared" si="46"/>
        <v>0</v>
      </c>
      <c r="D295" s="376">
        <f t="shared" si="47"/>
        <v>0</v>
      </c>
      <c r="E295" s="1038">
        <f t="shared" si="48"/>
        <v>0</v>
      </c>
      <c r="F295" s="376">
        <f t="shared" si="49"/>
        <v>0</v>
      </c>
      <c r="G295" s="345">
        <v>0</v>
      </c>
      <c r="H295" s="376">
        <f t="shared" si="40"/>
        <v>0</v>
      </c>
      <c r="I295" s="345">
        <v>2.564E-2</v>
      </c>
      <c r="J295" s="376">
        <f t="shared" si="50"/>
        <v>0</v>
      </c>
      <c r="K295" s="377">
        <f t="shared" si="41"/>
        <v>0</v>
      </c>
      <c r="L295" s="376">
        <f t="shared" si="42"/>
        <v>0</v>
      </c>
      <c r="M295" s="376">
        <f t="shared" si="43"/>
        <v>0</v>
      </c>
      <c r="N295" s="376">
        <f t="shared" si="44"/>
        <v>0</v>
      </c>
      <c r="O295" s="347">
        <f t="shared" si="51"/>
        <v>0</v>
      </c>
      <c r="P295" s="347">
        <f t="shared" si="52"/>
        <v>0</v>
      </c>
      <c r="Q295" s="347">
        <f t="shared" si="53"/>
        <v>0</v>
      </c>
      <c r="R295" s="376">
        <f t="shared" si="54"/>
        <v>0</v>
      </c>
      <c r="S295" s="376">
        <f t="shared" si="45"/>
        <v>0</v>
      </c>
      <c r="T295" s="376">
        <f t="shared" si="55"/>
        <v>0</v>
      </c>
      <c r="U295" s="376"/>
      <c r="V295" s="376">
        <f t="shared" si="56"/>
        <v>0</v>
      </c>
      <c r="W295" s="347">
        <f>IF(B295&gt;$C$77,0,$C$272+SUM($J$275:J295))</f>
        <v>0</v>
      </c>
      <c r="X295" s="378">
        <f t="shared" si="57"/>
        <v>0</v>
      </c>
    </row>
    <row r="296" spans="1:24" x14ac:dyDescent="0.45">
      <c r="A296" s="550"/>
      <c r="B296" s="344"/>
      <c r="C296" s="1038"/>
      <c r="D296" s="349"/>
      <c r="E296" s="345"/>
      <c r="F296" s="349"/>
      <c r="G296" s="345"/>
      <c r="H296" s="349"/>
      <c r="I296" s="345"/>
      <c r="J296" s="349"/>
      <c r="K296" s="349"/>
      <c r="L296" s="349"/>
      <c r="M296" s="349"/>
      <c r="N296" s="345"/>
      <c r="O296" s="345"/>
      <c r="P296" s="345"/>
      <c r="Q296" s="345"/>
      <c r="R296" s="349"/>
      <c r="S296" s="349"/>
      <c r="T296" s="345"/>
      <c r="U296" s="345"/>
      <c r="V296" s="345"/>
      <c r="W296" s="348" t="s">
        <v>158</v>
      </c>
      <c r="X296" s="353">
        <f>NPV($C$201,X276:X295)+X275</f>
        <v>0</v>
      </c>
    </row>
    <row r="297" spans="1:24" x14ac:dyDescent="0.45">
      <c r="A297" s="550"/>
      <c r="B297" s="344"/>
      <c r="C297" s="1038"/>
      <c r="D297" s="360"/>
      <c r="E297" s="345"/>
      <c r="F297" s="360"/>
      <c r="G297" s="345"/>
      <c r="H297" s="360"/>
      <c r="I297" s="345"/>
      <c r="J297" s="360"/>
      <c r="K297" s="360"/>
      <c r="L297" s="360"/>
      <c r="M297" s="360"/>
      <c r="N297" s="345"/>
      <c r="O297" s="345"/>
      <c r="P297" s="345"/>
      <c r="Q297" s="345"/>
      <c r="R297" s="360"/>
      <c r="S297" s="360"/>
      <c r="T297" s="345"/>
      <c r="U297" s="345"/>
      <c r="V297" s="345"/>
      <c r="W297" s="348" t="s">
        <v>134</v>
      </c>
      <c r="X297" s="837">
        <f>IRR(X275:X295,0.1)</f>
        <v>0.10000000000000009</v>
      </c>
    </row>
    <row r="298" spans="1:24" x14ac:dyDescent="0.45">
      <c r="A298" s="550"/>
      <c r="B298" s="344"/>
      <c r="C298" s="1038"/>
      <c r="D298" s="828"/>
      <c r="E298" s="345"/>
      <c r="F298" s="345"/>
      <c r="G298" s="345"/>
      <c r="H298" s="345"/>
      <c r="I298" s="345"/>
      <c r="J298" s="348"/>
      <c r="K298" s="345"/>
      <c r="L298" s="345"/>
      <c r="M298" s="345"/>
      <c r="N298" s="345"/>
      <c r="O298" s="345"/>
      <c r="P298" s="345"/>
      <c r="Q298" s="345"/>
      <c r="R298" s="345"/>
      <c r="S298" s="345"/>
      <c r="T298" s="345"/>
      <c r="U298" s="345"/>
      <c r="V298" s="345"/>
      <c r="W298" s="345"/>
      <c r="X298" s="346"/>
    </row>
    <row r="299" spans="1:24" x14ac:dyDescent="0.45">
      <c r="A299" s="550"/>
      <c r="B299" s="357" t="s">
        <v>32</v>
      </c>
      <c r="C299" s="1038"/>
      <c r="D299" s="358"/>
      <c r="E299" s="345"/>
      <c r="F299" s="348"/>
      <c r="G299" s="345"/>
      <c r="H299" s="345"/>
      <c r="I299" s="345"/>
      <c r="J299" s="345"/>
      <c r="K299" s="345"/>
      <c r="L299" s="345"/>
      <c r="M299" s="345"/>
      <c r="N299" s="345"/>
      <c r="O299" s="345"/>
      <c r="P299" s="345"/>
      <c r="Q299" s="345"/>
      <c r="R299" s="345"/>
      <c r="S299" s="345"/>
      <c r="T299" s="345"/>
      <c r="U299" s="345"/>
      <c r="V299" s="345"/>
      <c r="W299" s="345"/>
      <c r="X299" s="346"/>
    </row>
    <row r="300" spans="1:24" x14ac:dyDescent="0.45">
      <c r="A300" s="550"/>
      <c r="B300" s="344" t="s">
        <v>274</v>
      </c>
      <c r="C300" s="832">
        <f>$D$85*$C$78</f>
        <v>33268158</v>
      </c>
      <c r="D300" s="345" t="s">
        <v>1</v>
      </c>
      <c r="E300" s="345"/>
      <c r="F300" s="345"/>
      <c r="G300" s="345"/>
      <c r="H300" s="345"/>
      <c r="I300" s="345"/>
      <c r="J300" s="345"/>
      <c r="K300" s="345"/>
      <c r="L300" s="345"/>
      <c r="M300" s="345"/>
      <c r="N300" s="345"/>
      <c r="O300" s="345"/>
      <c r="P300" s="345"/>
      <c r="Q300" s="345"/>
      <c r="R300" s="345"/>
      <c r="S300" s="345"/>
      <c r="T300" s="345"/>
      <c r="U300" s="345"/>
      <c r="V300" s="345"/>
      <c r="W300" s="345"/>
      <c r="X300" s="346"/>
    </row>
    <row r="301" spans="1:24" x14ac:dyDescent="0.45">
      <c r="A301" s="550"/>
      <c r="B301" s="344" t="s">
        <v>275</v>
      </c>
      <c r="C301" s="832">
        <f>$E$85*$C$79</f>
        <v>9052560</v>
      </c>
      <c r="D301" s="345" t="s">
        <v>1</v>
      </c>
      <c r="E301" s="345"/>
      <c r="F301" s="345"/>
      <c r="G301" s="347"/>
      <c r="H301" s="345"/>
      <c r="I301" s="345"/>
      <c r="J301" s="345"/>
      <c r="K301" s="345"/>
      <c r="L301" s="345"/>
      <c r="M301" s="345"/>
      <c r="N301" s="345"/>
      <c r="O301" s="345"/>
      <c r="P301" s="345"/>
      <c r="Q301" s="345"/>
      <c r="R301" s="345"/>
      <c r="S301" s="345"/>
      <c r="T301" s="345"/>
      <c r="U301" s="345"/>
      <c r="V301" s="345"/>
      <c r="W301" s="345"/>
      <c r="X301" s="346"/>
    </row>
    <row r="302" spans="1:24" x14ac:dyDescent="0.45">
      <c r="A302" s="550"/>
      <c r="B302" s="829"/>
      <c r="C302" s="1038"/>
      <c r="D302" s="358"/>
      <c r="E302" s="345"/>
      <c r="F302" s="348"/>
      <c r="G302" s="345"/>
      <c r="H302" s="345"/>
      <c r="I302" s="345"/>
      <c r="J302" s="345"/>
      <c r="K302" s="345"/>
      <c r="L302" s="345"/>
      <c r="M302" s="345"/>
      <c r="N302" s="345"/>
      <c r="O302" s="345"/>
      <c r="P302" s="345"/>
      <c r="Q302" s="345"/>
      <c r="R302" s="345"/>
      <c r="S302" s="345"/>
      <c r="T302" s="345"/>
      <c r="U302" s="345"/>
      <c r="V302" s="345"/>
      <c r="W302" s="345"/>
      <c r="X302" s="346"/>
    </row>
    <row r="303" spans="1:24" x14ac:dyDescent="0.45">
      <c r="A303" s="550"/>
      <c r="B303" s="354" t="s">
        <v>27</v>
      </c>
      <c r="C303" s="1040" t="s">
        <v>379</v>
      </c>
      <c r="D303" s="355" t="s">
        <v>128</v>
      </c>
      <c r="E303" s="355" t="s">
        <v>380</v>
      </c>
      <c r="F303" s="355" t="s">
        <v>245</v>
      </c>
      <c r="G303" s="355" t="s">
        <v>367</v>
      </c>
      <c r="H303" s="355" t="s">
        <v>368</v>
      </c>
      <c r="I303" s="355" t="s">
        <v>369</v>
      </c>
      <c r="J303" s="355" t="s">
        <v>370</v>
      </c>
      <c r="K303" s="355" t="s">
        <v>131</v>
      </c>
      <c r="L303" s="355" t="s">
        <v>130</v>
      </c>
      <c r="M303" s="355" t="s">
        <v>129</v>
      </c>
      <c r="N303" s="355" t="s">
        <v>374</v>
      </c>
      <c r="O303" s="355" t="s">
        <v>124</v>
      </c>
      <c r="P303" s="355" t="s">
        <v>125</v>
      </c>
      <c r="Q303" s="355" t="s">
        <v>126</v>
      </c>
      <c r="R303" s="355" t="s">
        <v>155</v>
      </c>
      <c r="S303" s="355" t="s">
        <v>157</v>
      </c>
      <c r="T303" s="355" t="s">
        <v>156</v>
      </c>
      <c r="U303" s="345" t="s">
        <v>280</v>
      </c>
      <c r="V303" s="355" t="s">
        <v>375</v>
      </c>
      <c r="W303" s="355" t="s">
        <v>373</v>
      </c>
      <c r="X303" s="835" t="s">
        <v>164</v>
      </c>
    </row>
    <row r="304" spans="1:24" x14ac:dyDescent="0.45">
      <c r="A304" s="550"/>
      <c r="B304" s="359">
        <v>0</v>
      </c>
      <c r="C304" s="1039">
        <v>0.23535824540322278</v>
      </c>
      <c r="D304" s="375">
        <v>0</v>
      </c>
      <c r="E304" s="833">
        <f>SUM(K32:K48)</f>
        <v>0.19510241488878799</v>
      </c>
      <c r="F304" s="375">
        <v>0</v>
      </c>
      <c r="G304" s="345">
        <v>0</v>
      </c>
      <c r="H304" s="376">
        <f t="shared" ref="H304:H324" si="58">IF(D304&gt;0,-1*G304*$C$300,0)</f>
        <v>0</v>
      </c>
      <c r="I304" s="376">
        <v>0</v>
      </c>
      <c r="J304" s="376">
        <v>0</v>
      </c>
      <c r="K304" s="379">
        <f t="shared" ref="K304:K324" si="59">D304+F304+H304+J304</f>
        <v>0</v>
      </c>
      <c r="L304" s="375">
        <f t="shared" ref="L304:L324" si="60">IF(F304&lt;&gt;0,-1*($C$203+$C$204)*D304,0)</f>
        <v>0</v>
      </c>
      <c r="M304" s="375">
        <f t="shared" ref="M304:M324" si="61">K304+L304</f>
        <v>0</v>
      </c>
      <c r="N304" s="376">
        <f t="shared" ref="N304:N324" si="62">IF(V304&gt;0,V304-W304,0)</f>
        <v>0</v>
      </c>
      <c r="O304" s="347">
        <v>0</v>
      </c>
      <c r="P304" s="347">
        <v>0</v>
      </c>
      <c r="Q304" s="347">
        <v>0</v>
      </c>
      <c r="R304" s="376">
        <f>IF(M304&gt;0,-1*(M304+N304)*$C$202,0)</f>
        <v>0</v>
      </c>
      <c r="S304" s="375">
        <f t="shared" ref="S304:S324" si="63">IF(B304=$C$78,0,$C$205/12*(D305+F305+L305))</f>
        <v>2230700.790137996</v>
      </c>
      <c r="T304" s="375">
        <f>S304</f>
        <v>2230700.790137996</v>
      </c>
      <c r="U304" s="375">
        <f>-1*(C300+C301)</f>
        <v>-42320718</v>
      </c>
      <c r="V304" s="376">
        <v>0</v>
      </c>
      <c r="W304" s="347">
        <f>IF(B304&gt;$C$78,0,$C$301+SUM($J$304:J304))</f>
        <v>9052560</v>
      </c>
      <c r="X304" s="836">
        <f>-T304+U304</f>
        <v>-44551418.790137999</v>
      </c>
    </row>
    <row r="305" spans="1:24" x14ac:dyDescent="0.45">
      <c r="A305" s="550"/>
      <c r="B305" s="344">
        <v>1</v>
      </c>
      <c r="C305" s="1038">
        <f t="shared" ref="C305:C324" si="64">IF(B305&gt;$C$78,0,$C$304*(1+$C$199)^B305)</f>
        <v>0.24053612680209369</v>
      </c>
      <c r="D305" s="376">
        <f t="shared" ref="D305:D324" si="65">C305*$C$198*1000000</f>
        <v>135110743.18381658</v>
      </c>
      <c r="E305" s="1038">
        <f t="shared" ref="E305:E324" si="66">IF(B305&gt;$C$78,0,$E$304*(1+$C$200)^B305)</f>
        <v>0.19939466801634134</v>
      </c>
      <c r="F305" s="376">
        <f t="shared" ref="F305:F324" si="67">-1*E305*$C$198*1000000</f>
        <v>-112001311.98896386</v>
      </c>
      <c r="G305" s="345">
        <v>0.1429</v>
      </c>
      <c r="H305" s="376">
        <f t="shared" si="58"/>
        <v>-4754019.7781999996</v>
      </c>
      <c r="I305" s="345">
        <v>1.391E-2</v>
      </c>
      <c r="J305" s="376">
        <f t="shared" ref="J305:J324" si="68">IF(D305&gt;0,-1*$C$301*I305,0)</f>
        <v>-125921.10960000001</v>
      </c>
      <c r="K305" s="377">
        <f t="shared" si="59"/>
        <v>18229490.307052724</v>
      </c>
      <c r="L305" s="376">
        <f t="shared" si="60"/>
        <v>-14186628.034300741</v>
      </c>
      <c r="M305" s="376">
        <f t="shared" si="61"/>
        <v>4042862.2727519833</v>
      </c>
      <c r="N305" s="376">
        <f t="shared" si="62"/>
        <v>0</v>
      </c>
      <c r="O305" s="347">
        <f t="shared" ref="O305:O324" si="69">IF(M305&lt;0,M305*-1,0)</f>
        <v>0</v>
      </c>
      <c r="P305" s="347">
        <f t="shared" ref="P305:P324" si="70">P304+O305-Q305</f>
        <v>0</v>
      </c>
      <c r="Q305" s="347">
        <f t="shared" ref="Q305:Q324" si="71">IF(B305=$C$78+1,O305,IF(AND(M305&gt;0, P304&gt;0), MIN(M305,P304),0))</f>
        <v>0</v>
      </c>
      <c r="R305" s="376">
        <f t="shared" ref="R305:R324" si="72">IF(M305&gt;0,-1*(M305+N305-Q305)*$C$202,0)</f>
        <v>-1127958.5740978031</v>
      </c>
      <c r="S305" s="376">
        <f t="shared" si="63"/>
        <v>2279776.2075210423</v>
      </c>
      <c r="T305" s="376">
        <f t="shared" ref="T305:T324" si="73">(S305-S304)</f>
        <v>49075.417383046355</v>
      </c>
      <c r="U305" s="376"/>
      <c r="V305" s="376">
        <f t="shared" ref="V305:V324" si="74">IF(B305=$C$78,$C$301*(1-1/$C$79*B305),0)</f>
        <v>0</v>
      </c>
      <c r="W305" s="347">
        <f>IF(B305&gt;$C$78,0,$C$301+SUM($J$304:J305))</f>
        <v>8926638.8903999999</v>
      </c>
      <c r="X305" s="378">
        <f t="shared" ref="X305:X324" si="75">M305+R305-1*(H305+J305)-T305+U305+V305</f>
        <v>7745769.1690711342</v>
      </c>
    </row>
    <row r="306" spans="1:24" x14ac:dyDescent="0.45">
      <c r="A306" s="550"/>
      <c r="B306" s="344">
        <v>2</v>
      </c>
      <c r="C306" s="1038">
        <f t="shared" si="64"/>
        <v>0.24582792159173975</v>
      </c>
      <c r="D306" s="376">
        <f t="shared" si="65"/>
        <v>138083179.53386056</v>
      </c>
      <c r="E306" s="1038">
        <f t="shared" si="66"/>
        <v>0.20378135071270082</v>
      </c>
      <c r="F306" s="376">
        <f t="shared" si="67"/>
        <v>-114465340.85272104</v>
      </c>
      <c r="G306" s="345">
        <v>0.24490000000000001</v>
      </c>
      <c r="H306" s="376">
        <f t="shared" si="58"/>
        <v>-8147371.8942</v>
      </c>
      <c r="I306" s="345">
        <v>2.564E-2</v>
      </c>
      <c r="J306" s="376">
        <f t="shared" si="68"/>
        <v>-232107.6384</v>
      </c>
      <c r="K306" s="377">
        <f t="shared" si="59"/>
        <v>15238359.148539528</v>
      </c>
      <c r="L306" s="376">
        <f t="shared" si="60"/>
        <v>-14498733.851055359</v>
      </c>
      <c r="M306" s="376">
        <f t="shared" si="61"/>
        <v>739625.29748416878</v>
      </c>
      <c r="N306" s="376">
        <f t="shared" si="62"/>
        <v>0</v>
      </c>
      <c r="O306" s="347">
        <f t="shared" si="69"/>
        <v>0</v>
      </c>
      <c r="P306" s="347">
        <f t="shared" si="70"/>
        <v>0</v>
      </c>
      <c r="Q306" s="347">
        <f t="shared" si="71"/>
        <v>0</v>
      </c>
      <c r="R306" s="376">
        <f t="shared" si="72"/>
        <v>-206355.45799808306</v>
      </c>
      <c r="S306" s="376">
        <f t="shared" si="63"/>
        <v>2329931.2840865091</v>
      </c>
      <c r="T306" s="376">
        <f t="shared" si="73"/>
        <v>50155.076565466821</v>
      </c>
      <c r="U306" s="376"/>
      <c r="V306" s="376">
        <f t="shared" si="74"/>
        <v>0</v>
      </c>
      <c r="W306" s="347">
        <f>IF(B306&gt;$C$78,0,$C$301+SUM($J$304:J306))</f>
        <v>8694531.2520000003</v>
      </c>
      <c r="X306" s="378">
        <f t="shared" si="75"/>
        <v>8862594.2955206186</v>
      </c>
    </row>
    <row r="307" spans="1:24" x14ac:dyDescent="0.45">
      <c r="A307" s="550"/>
      <c r="B307" s="344">
        <v>3</v>
      </c>
      <c r="C307" s="1038">
        <f t="shared" si="64"/>
        <v>0.25123613586675803</v>
      </c>
      <c r="D307" s="376">
        <f t="shared" si="65"/>
        <v>141121009.48360553</v>
      </c>
      <c r="E307" s="1038">
        <f t="shared" si="66"/>
        <v>0.20826454042838025</v>
      </c>
      <c r="F307" s="376">
        <f t="shared" si="67"/>
        <v>-116983578.35148092</v>
      </c>
      <c r="G307" s="345">
        <v>0.1749</v>
      </c>
      <c r="H307" s="376">
        <f t="shared" si="58"/>
        <v>-5818600.8342000004</v>
      </c>
      <c r="I307" s="345">
        <v>2.564E-2</v>
      </c>
      <c r="J307" s="376">
        <f t="shared" si="68"/>
        <v>-232107.6384</v>
      </c>
      <c r="K307" s="377">
        <f t="shared" si="59"/>
        <v>18086722.659524616</v>
      </c>
      <c r="L307" s="376">
        <f t="shared" si="60"/>
        <v>-14817705.995778581</v>
      </c>
      <c r="M307" s="376">
        <f t="shared" si="61"/>
        <v>3269016.6637460347</v>
      </c>
      <c r="N307" s="376">
        <f t="shared" si="62"/>
        <v>0</v>
      </c>
      <c r="O307" s="347">
        <f t="shared" si="69"/>
        <v>0</v>
      </c>
      <c r="P307" s="347">
        <f t="shared" si="70"/>
        <v>0</v>
      </c>
      <c r="Q307" s="347">
        <f t="shared" si="71"/>
        <v>0</v>
      </c>
      <c r="R307" s="376">
        <f t="shared" si="72"/>
        <v>-912055.64918514364</v>
      </c>
      <c r="S307" s="376">
        <f t="shared" si="63"/>
        <v>2381189.7723364038</v>
      </c>
      <c r="T307" s="376">
        <f t="shared" si="73"/>
        <v>51258.488249894697</v>
      </c>
      <c r="U307" s="376"/>
      <c r="V307" s="376">
        <f t="shared" si="74"/>
        <v>0</v>
      </c>
      <c r="W307" s="347">
        <f>IF(B307&gt;$C$78,0,$C$301+SUM($J$304:J307))</f>
        <v>8462423.6136000007</v>
      </c>
      <c r="X307" s="378">
        <f t="shared" si="75"/>
        <v>8356410.9989109971</v>
      </c>
    </row>
    <row r="308" spans="1:24" x14ac:dyDescent="0.45">
      <c r="A308" s="550"/>
      <c r="B308" s="344">
        <v>4</v>
      </c>
      <c r="C308" s="1038">
        <f t="shared" si="64"/>
        <v>0.2567633308558267</v>
      </c>
      <c r="D308" s="376">
        <f t="shared" si="65"/>
        <v>144225671.69224483</v>
      </c>
      <c r="E308" s="1038">
        <f t="shared" si="66"/>
        <v>0.21284636031780463</v>
      </c>
      <c r="F308" s="376">
        <f t="shared" si="67"/>
        <v>-119557217.07521351</v>
      </c>
      <c r="G308" s="345">
        <v>0.1249</v>
      </c>
      <c r="H308" s="376">
        <f t="shared" si="58"/>
        <v>-4155192.9342</v>
      </c>
      <c r="I308" s="345">
        <v>2.564E-2</v>
      </c>
      <c r="J308" s="376">
        <f t="shared" si="68"/>
        <v>-232107.6384</v>
      </c>
      <c r="K308" s="377">
        <f t="shared" si="59"/>
        <v>20281154.044431321</v>
      </c>
      <c r="L308" s="376">
        <f t="shared" si="60"/>
        <v>-15143695.527685706</v>
      </c>
      <c r="M308" s="376">
        <f t="shared" si="61"/>
        <v>5137458.5167456158</v>
      </c>
      <c r="N308" s="376">
        <f t="shared" si="62"/>
        <v>0</v>
      </c>
      <c r="O308" s="347">
        <f t="shared" si="69"/>
        <v>0</v>
      </c>
      <c r="P308" s="347">
        <f t="shared" si="70"/>
        <v>0</v>
      </c>
      <c r="Q308" s="347">
        <f t="shared" si="71"/>
        <v>0</v>
      </c>
      <c r="R308" s="376">
        <f t="shared" si="72"/>
        <v>-1433350.9261720267</v>
      </c>
      <c r="S308" s="376">
        <f t="shared" si="63"/>
        <v>2433575.9473278094</v>
      </c>
      <c r="T308" s="376">
        <f t="shared" si="73"/>
        <v>52386.174991405569</v>
      </c>
      <c r="U308" s="376"/>
      <c r="V308" s="376">
        <f t="shared" si="74"/>
        <v>0</v>
      </c>
      <c r="W308" s="347">
        <f>IF(B308&gt;$C$78,0,$C$301+SUM($J$304:J308))</f>
        <v>8230315.9752000002</v>
      </c>
      <c r="X308" s="378">
        <f t="shared" si="75"/>
        <v>8039021.9881821834</v>
      </c>
    </row>
    <row r="309" spans="1:24" x14ac:dyDescent="0.45">
      <c r="A309" s="550"/>
      <c r="B309" s="344">
        <v>5</v>
      </c>
      <c r="C309" s="1038">
        <f t="shared" si="64"/>
        <v>0.26241212413465487</v>
      </c>
      <c r="D309" s="376">
        <f t="shared" si="65"/>
        <v>147398636.46947423</v>
      </c>
      <c r="E309" s="1038">
        <f t="shared" si="66"/>
        <v>0.21752898024479633</v>
      </c>
      <c r="F309" s="376">
        <f t="shared" si="67"/>
        <v>-122187475.8508682</v>
      </c>
      <c r="G309" s="345">
        <v>8.9300000000000004E-2</v>
      </c>
      <c r="H309" s="376">
        <f t="shared" si="58"/>
        <v>-2970846.5094000003</v>
      </c>
      <c r="I309" s="345">
        <v>2.564E-2</v>
      </c>
      <c r="J309" s="376">
        <f t="shared" si="68"/>
        <v>-232107.6384</v>
      </c>
      <c r="K309" s="377">
        <f t="shared" si="59"/>
        <v>22008206.470806032</v>
      </c>
      <c r="L309" s="376">
        <f t="shared" si="60"/>
        <v>-15476856.829294793</v>
      </c>
      <c r="M309" s="376">
        <f t="shared" si="61"/>
        <v>6531349.6415112391</v>
      </c>
      <c r="N309" s="376">
        <f t="shared" si="62"/>
        <v>0</v>
      </c>
      <c r="O309" s="347">
        <f t="shared" si="69"/>
        <v>0</v>
      </c>
      <c r="P309" s="347">
        <f t="shared" si="70"/>
        <v>0</v>
      </c>
      <c r="Q309" s="347">
        <f t="shared" si="71"/>
        <v>0</v>
      </c>
      <c r="R309" s="376">
        <f t="shared" si="72"/>
        <v>-1822246.5499816355</v>
      </c>
      <c r="S309" s="376">
        <f t="shared" si="63"/>
        <v>2487114.6181690209</v>
      </c>
      <c r="T309" s="376">
        <f t="shared" si="73"/>
        <v>53538.670841211453</v>
      </c>
      <c r="U309" s="376"/>
      <c r="V309" s="376">
        <f t="shared" si="74"/>
        <v>0</v>
      </c>
      <c r="W309" s="347">
        <f>IF(B309&gt;$C$78,0,$C$301+SUM($J$304:J309))</f>
        <v>7998208.3367999997</v>
      </c>
      <c r="X309" s="378">
        <f t="shared" si="75"/>
        <v>7858518.568488393</v>
      </c>
    </row>
    <row r="310" spans="1:24" x14ac:dyDescent="0.45">
      <c r="A310" s="550"/>
      <c r="B310" s="344">
        <v>6</v>
      </c>
      <c r="C310" s="1038">
        <f t="shared" si="64"/>
        <v>0.26818519086561726</v>
      </c>
      <c r="D310" s="376">
        <f t="shared" si="65"/>
        <v>150641406.47180265</v>
      </c>
      <c r="E310" s="1038">
        <f t="shared" si="66"/>
        <v>0.22231461781018183</v>
      </c>
      <c r="F310" s="376">
        <f t="shared" si="67"/>
        <v>-124875600.31958729</v>
      </c>
      <c r="G310" s="345">
        <v>8.9200000000000002E-2</v>
      </c>
      <c r="H310" s="376">
        <f t="shared" si="58"/>
        <v>-2967519.6935999999</v>
      </c>
      <c r="I310" s="345">
        <v>2.564E-2</v>
      </c>
      <c r="J310" s="376">
        <f t="shared" si="68"/>
        <v>-232107.6384</v>
      </c>
      <c r="K310" s="377">
        <f t="shared" si="59"/>
        <v>22566178.820215363</v>
      </c>
      <c r="L310" s="376">
        <f t="shared" si="60"/>
        <v>-15817347.679539278</v>
      </c>
      <c r="M310" s="376">
        <f t="shared" si="61"/>
        <v>6748831.1406760849</v>
      </c>
      <c r="N310" s="376">
        <f t="shared" si="62"/>
        <v>0</v>
      </c>
      <c r="O310" s="347">
        <f t="shared" si="69"/>
        <v>0</v>
      </c>
      <c r="P310" s="347">
        <f t="shared" si="70"/>
        <v>0</v>
      </c>
      <c r="Q310" s="347">
        <f t="shared" si="71"/>
        <v>0</v>
      </c>
      <c r="R310" s="376">
        <f t="shared" si="72"/>
        <v>-1882923.8882486275</v>
      </c>
      <c r="S310" s="376">
        <f t="shared" si="63"/>
        <v>2541831.139768735</v>
      </c>
      <c r="T310" s="376">
        <f t="shared" si="73"/>
        <v>54716.521599714179</v>
      </c>
      <c r="U310" s="376"/>
      <c r="V310" s="376">
        <f t="shared" si="74"/>
        <v>0</v>
      </c>
      <c r="W310" s="347">
        <f>IF(B310&gt;$C$78,0,$C$301+SUM($J$304:J310))</f>
        <v>7766100.6984000001</v>
      </c>
      <c r="X310" s="378">
        <f t="shared" si="75"/>
        <v>8010818.0628277436</v>
      </c>
    </row>
    <row r="311" spans="1:24" x14ac:dyDescent="0.45">
      <c r="A311" s="550"/>
      <c r="B311" s="344">
        <v>7</v>
      </c>
      <c r="C311" s="1038">
        <f t="shared" si="64"/>
        <v>0.27408526506466085</v>
      </c>
      <c r="D311" s="376">
        <f t="shared" si="65"/>
        <v>153955517.41418228</v>
      </c>
      <c r="E311" s="1038">
        <f t="shared" si="66"/>
        <v>0.22720553940200583</v>
      </c>
      <c r="F311" s="376">
        <f t="shared" si="67"/>
        <v>-127622863.5266182</v>
      </c>
      <c r="G311" s="345">
        <v>8.9300000000000004E-2</v>
      </c>
      <c r="H311" s="376">
        <f t="shared" si="58"/>
        <v>-2970846.5094000003</v>
      </c>
      <c r="I311" s="345">
        <v>2.564E-2</v>
      </c>
      <c r="J311" s="376">
        <f t="shared" si="68"/>
        <v>-232107.6384</v>
      </c>
      <c r="K311" s="377">
        <f t="shared" si="59"/>
        <v>23129699.739764079</v>
      </c>
      <c r="L311" s="376">
        <f t="shared" si="60"/>
        <v>-16165329.328489138</v>
      </c>
      <c r="M311" s="376">
        <f t="shared" si="61"/>
        <v>6964370.4112749416</v>
      </c>
      <c r="N311" s="376">
        <f t="shared" si="62"/>
        <v>-1016149.8599999994</v>
      </c>
      <c r="O311" s="347">
        <f t="shared" si="69"/>
        <v>0</v>
      </c>
      <c r="P311" s="347">
        <f t="shared" si="70"/>
        <v>0</v>
      </c>
      <c r="Q311" s="347">
        <f t="shared" si="71"/>
        <v>0</v>
      </c>
      <c r="R311" s="376">
        <f t="shared" si="72"/>
        <v>-1659553.5338057086</v>
      </c>
      <c r="S311" s="376">
        <f t="shared" si="63"/>
        <v>0</v>
      </c>
      <c r="T311" s="376">
        <f t="shared" si="73"/>
        <v>-2541831.139768735</v>
      </c>
      <c r="U311" s="376"/>
      <c r="V311" s="376">
        <f t="shared" si="74"/>
        <v>6517843.2000000002</v>
      </c>
      <c r="W311" s="347">
        <f>IF(B311&gt;$C$78,0,$C$301+SUM($J$304:J311))</f>
        <v>7533993.0599999996</v>
      </c>
      <c r="X311" s="378">
        <f t="shared" si="75"/>
        <v>17567445.365037967</v>
      </c>
    </row>
    <row r="312" spans="1:24" x14ac:dyDescent="0.45">
      <c r="A312" s="550"/>
      <c r="B312" s="344">
        <v>8</v>
      </c>
      <c r="C312" s="1038">
        <f t="shared" si="64"/>
        <v>0</v>
      </c>
      <c r="D312" s="376">
        <f t="shared" si="65"/>
        <v>0</v>
      </c>
      <c r="E312" s="1038">
        <f t="shared" si="66"/>
        <v>0</v>
      </c>
      <c r="F312" s="376">
        <f t="shared" si="67"/>
        <v>0</v>
      </c>
      <c r="G312" s="345">
        <v>4.4600000000000001E-2</v>
      </c>
      <c r="H312" s="376">
        <f t="shared" si="58"/>
        <v>0</v>
      </c>
      <c r="I312" s="345">
        <v>2.564E-2</v>
      </c>
      <c r="J312" s="376">
        <f t="shared" si="68"/>
        <v>0</v>
      </c>
      <c r="K312" s="377">
        <f t="shared" si="59"/>
        <v>0</v>
      </c>
      <c r="L312" s="376">
        <f t="shared" si="60"/>
        <v>0</v>
      </c>
      <c r="M312" s="376">
        <f t="shared" si="61"/>
        <v>0</v>
      </c>
      <c r="N312" s="376">
        <f t="shared" si="62"/>
        <v>0</v>
      </c>
      <c r="O312" s="347">
        <f t="shared" si="69"/>
        <v>0</v>
      </c>
      <c r="P312" s="347">
        <f t="shared" si="70"/>
        <v>0</v>
      </c>
      <c r="Q312" s="347">
        <f t="shared" si="71"/>
        <v>0</v>
      </c>
      <c r="R312" s="376">
        <f t="shared" si="72"/>
        <v>0</v>
      </c>
      <c r="S312" s="376">
        <f t="shared" si="63"/>
        <v>0</v>
      </c>
      <c r="T312" s="376">
        <f t="shared" si="73"/>
        <v>0</v>
      </c>
      <c r="U312" s="376"/>
      <c r="V312" s="376">
        <f t="shared" si="74"/>
        <v>0</v>
      </c>
      <c r="W312" s="347">
        <f>IF(B312&gt;$C$78,0,$C$301+SUM($J$304:J312))</f>
        <v>0</v>
      </c>
      <c r="X312" s="378">
        <f t="shared" si="75"/>
        <v>0</v>
      </c>
    </row>
    <row r="313" spans="1:24" x14ac:dyDescent="0.45">
      <c r="A313" s="550"/>
      <c r="B313" s="344">
        <v>9</v>
      </c>
      <c r="C313" s="1038">
        <f t="shared" si="64"/>
        <v>0</v>
      </c>
      <c r="D313" s="376">
        <f t="shared" si="65"/>
        <v>0</v>
      </c>
      <c r="E313" s="1038">
        <f t="shared" si="66"/>
        <v>0</v>
      </c>
      <c r="F313" s="376">
        <f t="shared" si="67"/>
        <v>0</v>
      </c>
      <c r="G313" s="345">
        <v>0</v>
      </c>
      <c r="H313" s="376">
        <f t="shared" si="58"/>
        <v>0</v>
      </c>
      <c r="I313" s="345">
        <v>2.564E-2</v>
      </c>
      <c r="J313" s="376">
        <f t="shared" si="68"/>
        <v>0</v>
      </c>
      <c r="K313" s="377">
        <f t="shared" si="59"/>
        <v>0</v>
      </c>
      <c r="L313" s="376">
        <f t="shared" si="60"/>
        <v>0</v>
      </c>
      <c r="M313" s="376">
        <f t="shared" si="61"/>
        <v>0</v>
      </c>
      <c r="N313" s="376">
        <f t="shared" si="62"/>
        <v>0</v>
      </c>
      <c r="O313" s="347">
        <f t="shared" si="69"/>
        <v>0</v>
      </c>
      <c r="P313" s="347">
        <f t="shared" si="70"/>
        <v>0</v>
      </c>
      <c r="Q313" s="347">
        <f t="shared" si="71"/>
        <v>0</v>
      </c>
      <c r="R313" s="376">
        <f t="shared" si="72"/>
        <v>0</v>
      </c>
      <c r="S313" s="376">
        <f t="shared" si="63"/>
        <v>0</v>
      </c>
      <c r="T313" s="376">
        <f t="shared" si="73"/>
        <v>0</v>
      </c>
      <c r="U313" s="376"/>
      <c r="V313" s="376">
        <f t="shared" si="74"/>
        <v>0</v>
      </c>
      <c r="W313" s="347">
        <f>IF(B313&gt;$C$78,0,$C$301+SUM($J$304:J313))</f>
        <v>0</v>
      </c>
      <c r="X313" s="378">
        <f t="shared" si="75"/>
        <v>0</v>
      </c>
    </row>
    <row r="314" spans="1:24" x14ac:dyDescent="0.45">
      <c r="A314" s="550"/>
      <c r="B314" s="344">
        <v>10</v>
      </c>
      <c r="C314" s="1038">
        <f t="shared" si="64"/>
        <v>0</v>
      </c>
      <c r="D314" s="376">
        <f t="shared" si="65"/>
        <v>0</v>
      </c>
      <c r="E314" s="1038">
        <f t="shared" si="66"/>
        <v>0</v>
      </c>
      <c r="F314" s="376">
        <f t="shared" si="67"/>
        <v>0</v>
      </c>
      <c r="G314" s="345">
        <v>0</v>
      </c>
      <c r="H314" s="376">
        <f t="shared" si="58"/>
        <v>0</v>
      </c>
      <c r="I314" s="345">
        <v>2.564E-2</v>
      </c>
      <c r="J314" s="376">
        <f t="shared" si="68"/>
        <v>0</v>
      </c>
      <c r="K314" s="377">
        <f t="shared" si="59"/>
        <v>0</v>
      </c>
      <c r="L314" s="376">
        <f t="shared" si="60"/>
        <v>0</v>
      </c>
      <c r="M314" s="376">
        <f t="shared" si="61"/>
        <v>0</v>
      </c>
      <c r="N314" s="376">
        <f t="shared" si="62"/>
        <v>0</v>
      </c>
      <c r="O314" s="347">
        <f t="shared" si="69"/>
        <v>0</v>
      </c>
      <c r="P314" s="347">
        <f t="shared" si="70"/>
        <v>0</v>
      </c>
      <c r="Q314" s="347">
        <f t="shared" si="71"/>
        <v>0</v>
      </c>
      <c r="R314" s="376">
        <f t="shared" si="72"/>
        <v>0</v>
      </c>
      <c r="S314" s="376">
        <f t="shared" si="63"/>
        <v>0</v>
      </c>
      <c r="T314" s="376">
        <f t="shared" si="73"/>
        <v>0</v>
      </c>
      <c r="U314" s="376"/>
      <c r="V314" s="376">
        <f t="shared" si="74"/>
        <v>0</v>
      </c>
      <c r="W314" s="347">
        <f>IF(B314&gt;$C$78,0,$C$301+SUM($J$304:J314))</f>
        <v>0</v>
      </c>
      <c r="X314" s="378">
        <f t="shared" si="75"/>
        <v>0</v>
      </c>
    </row>
    <row r="315" spans="1:24" x14ac:dyDescent="0.45">
      <c r="A315" s="550"/>
      <c r="B315" s="344">
        <v>11</v>
      </c>
      <c r="C315" s="1038">
        <f t="shared" si="64"/>
        <v>0</v>
      </c>
      <c r="D315" s="376">
        <f t="shared" si="65"/>
        <v>0</v>
      </c>
      <c r="E315" s="1038">
        <f t="shared" si="66"/>
        <v>0</v>
      </c>
      <c r="F315" s="376">
        <f t="shared" si="67"/>
        <v>0</v>
      </c>
      <c r="G315" s="345">
        <v>0</v>
      </c>
      <c r="H315" s="376">
        <f t="shared" si="58"/>
        <v>0</v>
      </c>
      <c r="I315" s="345">
        <v>2.564E-2</v>
      </c>
      <c r="J315" s="376">
        <f t="shared" si="68"/>
        <v>0</v>
      </c>
      <c r="K315" s="377">
        <f t="shared" si="59"/>
        <v>0</v>
      </c>
      <c r="L315" s="376">
        <f t="shared" si="60"/>
        <v>0</v>
      </c>
      <c r="M315" s="376">
        <f t="shared" si="61"/>
        <v>0</v>
      </c>
      <c r="N315" s="376">
        <f t="shared" si="62"/>
        <v>0</v>
      </c>
      <c r="O315" s="347">
        <f t="shared" si="69"/>
        <v>0</v>
      </c>
      <c r="P315" s="347">
        <f t="shared" si="70"/>
        <v>0</v>
      </c>
      <c r="Q315" s="347">
        <f t="shared" si="71"/>
        <v>0</v>
      </c>
      <c r="R315" s="376">
        <f t="shared" si="72"/>
        <v>0</v>
      </c>
      <c r="S315" s="376">
        <f t="shared" si="63"/>
        <v>0</v>
      </c>
      <c r="T315" s="376">
        <f t="shared" si="73"/>
        <v>0</v>
      </c>
      <c r="U315" s="376"/>
      <c r="V315" s="376">
        <f t="shared" si="74"/>
        <v>0</v>
      </c>
      <c r="W315" s="347">
        <f>IF(B315&gt;$C$78,0,$C$301+SUM($J$304:J315))</f>
        <v>0</v>
      </c>
      <c r="X315" s="378">
        <f t="shared" si="75"/>
        <v>0</v>
      </c>
    </row>
    <row r="316" spans="1:24" x14ac:dyDescent="0.45">
      <c r="A316" s="550"/>
      <c r="B316" s="344">
        <v>12</v>
      </c>
      <c r="C316" s="1038">
        <f t="shared" si="64"/>
        <v>0</v>
      </c>
      <c r="D316" s="376">
        <f t="shared" si="65"/>
        <v>0</v>
      </c>
      <c r="E316" s="1038">
        <f t="shared" si="66"/>
        <v>0</v>
      </c>
      <c r="F316" s="376">
        <f t="shared" si="67"/>
        <v>0</v>
      </c>
      <c r="G316" s="345">
        <v>0</v>
      </c>
      <c r="H316" s="376">
        <f t="shared" si="58"/>
        <v>0</v>
      </c>
      <c r="I316" s="345">
        <v>2.564E-2</v>
      </c>
      <c r="J316" s="376">
        <f t="shared" si="68"/>
        <v>0</v>
      </c>
      <c r="K316" s="377">
        <f t="shared" si="59"/>
        <v>0</v>
      </c>
      <c r="L316" s="376">
        <f t="shared" si="60"/>
        <v>0</v>
      </c>
      <c r="M316" s="376">
        <f t="shared" si="61"/>
        <v>0</v>
      </c>
      <c r="N316" s="376">
        <f t="shared" si="62"/>
        <v>0</v>
      </c>
      <c r="O316" s="347">
        <f t="shared" si="69"/>
        <v>0</v>
      </c>
      <c r="P316" s="347">
        <f t="shared" si="70"/>
        <v>0</v>
      </c>
      <c r="Q316" s="347">
        <f t="shared" si="71"/>
        <v>0</v>
      </c>
      <c r="R316" s="376">
        <f t="shared" si="72"/>
        <v>0</v>
      </c>
      <c r="S316" s="376">
        <f t="shared" si="63"/>
        <v>0</v>
      </c>
      <c r="T316" s="376">
        <f t="shared" si="73"/>
        <v>0</v>
      </c>
      <c r="U316" s="376"/>
      <c r="V316" s="376">
        <f t="shared" si="74"/>
        <v>0</v>
      </c>
      <c r="W316" s="347">
        <f>IF(B316&gt;$C$78,0,$C$301+SUM($J$304:J316))</f>
        <v>0</v>
      </c>
      <c r="X316" s="378">
        <f t="shared" si="75"/>
        <v>0</v>
      </c>
    </row>
    <row r="317" spans="1:24" x14ac:dyDescent="0.45">
      <c r="A317" s="550"/>
      <c r="B317" s="344">
        <v>13</v>
      </c>
      <c r="C317" s="1038">
        <f t="shared" si="64"/>
        <v>0</v>
      </c>
      <c r="D317" s="376">
        <f t="shared" si="65"/>
        <v>0</v>
      </c>
      <c r="E317" s="1038">
        <f t="shared" si="66"/>
        <v>0</v>
      </c>
      <c r="F317" s="376">
        <f t="shared" si="67"/>
        <v>0</v>
      </c>
      <c r="G317" s="345">
        <v>0</v>
      </c>
      <c r="H317" s="376">
        <f t="shared" si="58"/>
        <v>0</v>
      </c>
      <c r="I317" s="345">
        <v>2.564E-2</v>
      </c>
      <c r="J317" s="376">
        <f t="shared" si="68"/>
        <v>0</v>
      </c>
      <c r="K317" s="377">
        <f t="shared" si="59"/>
        <v>0</v>
      </c>
      <c r="L317" s="376">
        <f t="shared" si="60"/>
        <v>0</v>
      </c>
      <c r="M317" s="376">
        <f t="shared" si="61"/>
        <v>0</v>
      </c>
      <c r="N317" s="376">
        <f t="shared" si="62"/>
        <v>0</v>
      </c>
      <c r="O317" s="347">
        <f t="shared" si="69"/>
        <v>0</v>
      </c>
      <c r="P317" s="347">
        <f t="shared" si="70"/>
        <v>0</v>
      </c>
      <c r="Q317" s="347">
        <f t="shared" si="71"/>
        <v>0</v>
      </c>
      <c r="R317" s="376">
        <f t="shared" si="72"/>
        <v>0</v>
      </c>
      <c r="S317" s="376">
        <f t="shared" si="63"/>
        <v>0</v>
      </c>
      <c r="T317" s="376">
        <f t="shared" si="73"/>
        <v>0</v>
      </c>
      <c r="U317" s="376"/>
      <c r="V317" s="376">
        <f t="shared" si="74"/>
        <v>0</v>
      </c>
      <c r="W317" s="347">
        <f>IF(B317&gt;$C$78,0,$C$301+SUM($J$304:J317))</f>
        <v>0</v>
      </c>
      <c r="X317" s="378">
        <f t="shared" si="75"/>
        <v>0</v>
      </c>
    </row>
    <row r="318" spans="1:24" x14ac:dyDescent="0.45">
      <c r="A318" s="550"/>
      <c r="B318" s="344">
        <v>14</v>
      </c>
      <c r="C318" s="1038">
        <f t="shared" si="64"/>
        <v>0</v>
      </c>
      <c r="D318" s="376">
        <f t="shared" si="65"/>
        <v>0</v>
      </c>
      <c r="E318" s="1038">
        <f t="shared" si="66"/>
        <v>0</v>
      </c>
      <c r="F318" s="376">
        <f t="shared" si="67"/>
        <v>0</v>
      </c>
      <c r="G318" s="345">
        <v>0</v>
      </c>
      <c r="H318" s="376">
        <f t="shared" si="58"/>
        <v>0</v>
      </c>
      <c r="I318" s="345">
        <v>2.564E-2</v>
      </c>
      <c r="J318" s="376">
        <f t="shared" si="68"/>
        <v>0</v>
      </c>
      <c r="K318" s="377">
        <f t="shared" si="59"/>
        <v>0</v>
      </c>
      <c r="L318" s="376">
        <f t="shared" si="60"/>
        <v>0</v>
      </c>
      <c r="M318" s="376">
        <f t="shared" si="61"/>
        <v>0</v>
      </c>
      <c r="N318" s="376">
        <f t="shared" si="62"/>
        <v>0</v>
      </c>
      <c r="O318" s="347">
        <f t="shared" si="69"/>
        <v>0</v>
      </c>
      <c r="P318" s="347">
        <f t="shared" si="70"/>
        <v>0</v>
      </c>
      <c r="Q318" s="347">
        <f t="shared" si="71"/>
        <v>0</v>
      </c>
      <c r="R318" s="376">
        <f t="shared" si="72"/>
        <v>0</v>
      </c>
      <c r="S318" s="376">
        <f t="shared" si="63"/>
        <v>0</v>
      </c>
      <c r="T318" s="376">
        <f t="shared" si="73"/>
        <v>0</v>
      </c>
      <c r="U318" s="376"/>
      <c r="V318" s="376">
        <f t="shared" si="74"/>
        <v>0</v>
      </c>
      <c r="W318" s="347">
        <f>IF(B318&gt;$C$78,0,$C$301+SUM($J$304:J318))</f>
        <v>0</v>
      </c>
      <c r="X318" s="378">
        <f t="shared" si="75"/>
        <v>0</v>
      </c>
    </row>
    <row r="319" spans="1:24" x14ac:dyDescent="0.45">
      <c r="A319" s="550"/>
      <c r="B319" s="344">
        <v>15</v>
      </c>
      <c r="C319" s="1038">
        <f t="shared" si="64"/>
        <v>0</v>
      </c>
      <c r="D319" s="376">
        <f t="shared" si="65"/>
        <v>0</v>
      </c>
      <c r="E319" s="1038">
        <f t="shared" si="66"/>
        <v>0</v>
      </c>
      <c r="F319" s="376">
        <f t="shared" si="67"/>
        <v>0</v>
      </c>
      <c r="G319" s="345">
        <v>0</v>
      </c>
      <c r="H319" s="376">
        <f t="shared" si="58"/>
        <v>0</v>
      </c>
      <c r="I319" s="345">
        <v>2.564E-2</v>
      </c>
      <c r="J319" s="376">
        <f t="shared" si="68"/>
        <v>0</v>
      </c>
      <c r="K319" s="377">
        <f t="shared" si="59"/>
        <v>0</v>
      </c>
      <c r="L319" s="376">
        <f t="shared" si="60"/>
        <v>0</v>
      </c>
      <c r="M319" s="376">
        <f t="shared" si="61"/>
        <v>0</v>
      </c>
      <c r="N319" s="376">
        <f t="shared" si="62"/>
        <v>0</v>
      </c>
      <c r="O319" s="347">
        <f t="shared" si="69"/>
        <v>0</v>
      </c>
      <c r="P319" s="347">
        <f t="shared" si="70"/>
        <v>0</v>
      </c>
      <c r="Q319" s="347">
        <f t="shared" si="71"/>
        <v>0</v>
      </c>
      <c r="R319" s="376">
        <f t="shared" si="72"/>
        <v>0</v>
      </c>
      <c r="S319" s="376">
        <f t="shared" si="63"/>
        <v>0</v>
      </c>
      <c r="T319" s="376">
        <f t="shared" si="73"/>
        <v>0</v>
      </c>
      <c r="U319" s="376"/>
      <c r="V319" s="376">
        <f t="shared" si="74"/>
        <v>0</v>
      </c>
      <c r="W319" s="347">
        <f>IF(B319&gt;$C$78,0,$C$301+SUM($J$304:J319))</f>
        <v>0</v>
      </c>
      <c r="X319" s="378">
        <f t="shared" si="75"/>
        <v>0</v>
      </c>
    </row>
    <row r="320" spans="1:24" x14ac:dyDescent="0.45">
      <c r="A320" s="550"/>
      <c r="B320" s="344">
        <v>16</v>
      </c>
      <c r="C320" s="1038">
        <f t="shared" si="64"/>
        <v>0</v>
      </c>
      <c r="D320" s="376">
        <f t="shared" si="65"/>
        <v>0</v>
      </c>
      <c r="E320" s="1038">
        <f t="shared" si="66"/>
        <v>0</v>
      </c>
      <c r="F320" s="376">
        <f t="shared" si="67"/>
        <v>0</v>
      </c>
      <c r="G320" s="345">
        <v>0</v>
      </c>
      <c r="H320" s="376">
        <f t="shared" si="58"/>
        <v>0</v>
      </c>
      <c r="I320" s="345">
        <v>2.564E-2</v>
      </c>
      <c r="J320" s="376">
        <f t="shared" si="68"/>
        <v>0</v>
      </c>
      <c r="K320" s="377">
        <f t="shared" si="59"/>
        <v>0</v>
      </c>
      <c r="L320" s="376">
        <f t="shared" si="60"/>
        <v>0</v>
      </c>
      <c r="M320" s="376">
        <f t="shared" si="61"/>
        <v>0</v>
      </c>
      <c r="N320" s="376">
        <f t="shared" si="62"/>
        <v>0</v>
      </c>
      <c r="O320" s="347">
        <f t="shared" si="69"/>
        <v>0</v>
      </c>
      <c r="P320" s="347">
        <f t="shared" si="70"/>
        <v>0</v>
      </c>
      <c r="Q320" s="347">
        <f t="shared" si="71"/>
        <v>0</v>
      </c>
      <c r="R320" s="376">
        <f t="shared" si="72"/>
        <v>0</v>
      </c>
      <c r="S320" s="376">
        <f t="shared" si="63"/>
        <v>0</v>
      </c>
      <c r="T320" s="376">
        <f t="shared" si="73"/>
        <v>0</v>
      </c>
      <c r="U320" s="376"/>
      <c r="V320" s="376">
        <f t="shared" si="74"/>
        <v>0</v>
      </c>
      <c r="W320" s="347">
        <f>IF(B320&gt;$C$78,0,$C$301+SUM($J$304:J320))</f>
        <v>0</v>
      </c>
      <c r="X320" s="378">
        <f t="shared" si="75"/>
        <v>0</v>
      </c>
    </row>
    <row r="321" spans="1:24" x14ac:dyDescent="0.45">
      <c r="A321" s="550"/>
      <c r="B321" s="344">
        <v>17</v>
      </c>
      <c r="C321" s="1038">
        <f t="shared" si="64"/>
        <v>0</v>
      </c>
      <c r="D321" s="376">
        <f t="shared" si="65"/>
        <v>0</v>
      </c>
      <c r="E321" s="1038">
        <f t="shared" si="66"/>
        <v>0</v>
      </c>
      <c r="F321" s="376">
        <f t="shared" si="67"/>
        <v>0</v>
      </c>
      <c r="G321" s="345">
        <v>0</v>
      </c>
      <c r="H321" s="376">
        <f t="shared" si="58"/>
        <v>0</v>
      </c>
      <c r="I321" s="345">
        <v>2.564E-2</v>
      </c>
      <c r="J321" s="376">
        <f t="shared" si="68"/>
        <v>0</v>
      </c>
      <c r="K321" s="377">
        <f t="shared" si="59"/>
        <v>0</v>
      </c>
      <c r="L321" s="376">
        <f t="shared" si="60"/>
        <v>0</v>
      </c>
      <c r="M321" s="376">
        <f t="shared" si="61"/>
        <v>0</v>
      </c>
      <c r="N321" s="376">
        <f t="shared" si="62"/>
        <v>0</v>
      </c>
      <c r="O321" s="347">
        <f t="shared" si="69"/>
        <v>0</v>
      </c>
      <c r="P321" s="347">
        <f t="shared" si="70"/>
        <v>0</v>
      </c>
      <c r="Q321" s="347">
        <f t="shared" si="71"/>
        <v>0</v>
      </c>
      <c r="R321" s="376">
        <f t="shared" si="72"/>
        <v>0</v>
      </c>
      <c r="S321" s="376">
        <f t="shared" si="63"/>
        <v>0</v>
      </c>
      <c r="T321" s="376">
        <f t="shared" si="73"/>
        <v>0</v>
      </c>
      <c r="U321" s="376"/>
      <c r="V321" s="376">
        <f t="shared" si="74"/>
        <v>0</v>
      </c>
      <c r="W321" s="347">
        <f>IF(B321&gt;$C$78,0,$C$301+SUM($J$304:J321))</f>
        <v>0</v>
      </c>
      <c r="X321" s="378">
        <f t="shared" si="75"/>
        <v>0</v>
      </c>
    </row>
    <row r="322" spans="1:24" x14ac:dyDescent="0.45">
      <c r="A322" s="550"/>
      <c r="B322" s="344">
        <v>18</v>
      </c>
      <c r="C322" s="1038">
        <f t="shared" si="64"/>
        <v>0</v>
      </c>
      <c r="D322" s="376">
        <f t="shared" si="65"/>
        <v>0</v>
      </c>
      <c r="E322" s="1038">
        <f t="shared" si="66"/>
        <v>0</v>
      </c>
      <c r="F322" s="376">
        <f t="shared" si="67"/>
        <v>0</v>
      </c>
      <c r="G322" s="345">
        <v>0</v>
      </c>
      <c r="H322" s="376">
        <f t="shared" si="58"/>
        <v>0</v>
      </c>
      <c r="I322" s="345">
        <v>2.564E-2</v>
      </c>
      <c r="J322" s="376">
        <f t="shared" si="68"/>
        <v>0</v>
      </c>
      <c r="K322" s="377">
        <f t="shared" si="59"/>
        <v>0</v>
      </c>
      <c r="L322" s="376">
        <f t="shared" si="60"/>
        <v>0</v>
      </c>
      <c r="M322" s="376">
        <f t="shared" si="61"/>
        <v>0</v>
      </c>
      <c r="N322" s="376">
        <f t="shared" si="62"/>
        <v>0</v>
      </c>
      <c r="O322" s="347">
        <f t="shared" si="69"/>
        <v>0</v>
      </c>
      <c r="P322" s="347">
        <f t="shared" si="70"/>
        <v>0</v>
      </c>
      <c r="Q322" s="347">
        <f t="shared" si="71"/>
        <v>0</v>
      </c>
      <c r="R322" s="376">
        <f t="shared" si="72"/>
        <v>0</v>
      </c>
      <c r="S322" s="376">
        <f t="shared" si="63"/>
        <v>0</v>
      </c>
      <c r="T322" s="376">
        <f t="shared" si="73"/>
        <v>0</v>
      </c>
      <c r="U322" s="376"/>
      <c r="V322" s="376">
        <f t="shared" si="74"/>
        <v>0</v>
      </c>
      <c r="W322" s="347">
        <f>IF(B322&gt;$C$78,0,$C$301+SUM($J$304:J322))</f>
        <v>0</v>
      </c>
      <c r="X322" s="378">
        <f t="shared" si="75"/>
        <v>0</v>
      </c>
    </row>
    <row r="323" spans="1:24" x14ac:dyDescent="0.45">
      <c r="A323" s="550"/>
      <c r="B323" s="344">
        <v>19</v>
      </c>
      <c r="C323" s="1038">
        <f t="shared" si="64"/>
        <v>0</v>
      </c>
      <c r="D323" s="376">
        <f t="shared" si="65"/>
        <v>0</v>
      </c>
      <c r="E323" s="1038">
        <f t="shared" si="66"/>
        <v>0</v>
      </c>
      <c r="F323" s="376">
        <f t="shared" si="67"/>
        <v>0</v>
      </c>
      <c r="G323" s="345">
        <v>0</v>
      </c>
      <c r="H323" s="376">
        <f t="shared" si="58"/>
        <v>0</v>
      </c>
      <c r="I323" s="345">
        <v>2.564E-2</v>
      </c>
      <c r="J323" s="376">
        <f t="shared" si="68"/>
        <v>0</v>
      </c>
      <c r="K323" s="377">
        <f t="shared" si="59"/>
        <v>0</v>
      </c>
      <c r="L323" s="376">
        <f t="shared" si="60"/>
        <v>0</v>
      </c>
      <c r="M323" s="376">
        <f t="shared" si="61"/>
        <v>0</v>
      </c>
      <c r="N323" s="376">
        <f t="shared" si="62"/>
        <v>0</v>
      </c>
      <c r="O323" s="347">
        <f t="shared" si="69"/>
        <v>0</v>
      </c>
      <c r="P323" s="347">
        <f t="shared" si="70"/>
        <v>0</v>
      </c>
      <c r="Q323" s="347">
        <f t="shared" si="71"/>
        <v>0</v>
      </c>
      <c r="R323" s="376">
        <f t="shared" si="72"/>
        <v>0</v>
      </c>
      <c r="S323" s="376">
        <f t="shared" si="63"/>
        <v>0</v>
      </c>
      <c r="T323" s="376">
        <f t="shared" si="73"/>
        <v>0</v>
      </c>
      <c r="U323" s="376"/>
      <c r="V323" s="376">
        <f t="shared" si="74"/>
        <v>0</v>
      </c>
      <c r="W323" s="347">
        <f>IF(B323&gt;$C$78,0,$C$301+SUM($J$304:J323))</f>
        <v>0</v>
      </c>
      <c r="X323" s="378">
        <f t="shared" si="75"/>
        <v>0</v>
      </c>
    </row>
    <row r="324" spans="1:24" x14ac:dyDescent="0.45">
      <c r="A324" s="550"/>
      <c r="B324" s="344">
        <v>20</v>
      </c>
      <c r="C324" s="1038">
        <f t="shared" si="64"/>
        <v>0</v>
      </c>
      <c r="D324" s="376">
        <f t="shared" si="65"/>
        <v>0</v>
      </c>
      <c r="E324" s="1038">
        <f t="shared" si="66"/>
        <v>0</v>
      </c>
      <c r="F324" s="376">
        <f t="shared" si="67"/>
        <v>0</v>
      </c>
      <c r="G324" s="345">
        <v>0</v>
      </c>
      <c r="H324" s="376">
        <f t="shared" si="58"/>
        <v>0</v>
      </c>
      <c r="I324" s="345">
        <v>2.564E-2</v>
      </c>
      <c r="J324" s="376">
        <f t="shared" si="68"/>
        <v>0</v>
      </c>
      <c r="K324" s="377">
        <f t="shared" si="59"/>
        <v>0</v>
      </c>
      <c r="L324" s="376">
        <f t="shared" si="60"/>
        <v>0</v>
      </c>
      <c r="M324" s="376">
        <f t="shared" si="61"/>
        <v>0</v>
      </c>
      <c r="N324" s="376">
        <f t="shared" si="62"/>
        <v>0</v>
      </c>
      <c r="O324" s="347">
        <f t="shared" si="69"/>
        <v>0</v>
      </c>
      <c r="P324" s="347">
        <f t="shared" si="70"/>
        <v>0</v>
      </c>
      <c r="Q324" s="347">
        <f t="shared" si="71"/>
        <v>0</v>
      </c>
      <c r="R324" s="376">
        <f t="shared" si="72"/>
        <v>0</v>
      </c>
      <c r="S324" s="376">
        <f t="shared" si="63"/>
        <v>0</v>
      </c>
      <c r="T324" s="376">
        <f t="shared" si="73"/>
        <v>0</v>
      </c>
      <c r="U324" s="376"/>
      <c r="V324" s="376">
        <f t="shared" si="74"/>
        <v>0</v>
      </c>
      <c r="W324" s="347">
        <f>IF(B324&gt;$C$78,0,$C$301+SUM($J$304:J324))</f>
        <v>0</v>
      </c>
      <c r="X324" s="378">
        <f t="shared" si="75"/>
        <v>0</v>
      </c>
    </row>
    <row r="325" spans="1:24" x14ac:dyDescent="0.45">
      <c r="A325" s="550"/>
      <c r="B325" s="344"/>
      <c r="C325" s="345"/>
      <c r="D325" s="349"/>
      <c r="E325" s="345"/>
      <c r="F325" s="349"/>
      <c r="G325" s="345"/>
      <c r="H325" s="349"/>
      <c r="I325" s="345"/>
      <c r="J325" s="349"/>
      <c r="K325" s="349"/>
      <c r="L325" s="349"/>
      <c r="M325" s="349"/>
      <c r="N325" s="345"/>
      <c r="O325" s="345"/>
      <c r="P325" s="345"/>
      <c r="Q325" s="345"/>
      <c r="R325" s="349"/>
      <c r="S325" s="349"/>
      <c r="T325" s="345"/>
      <c r="U325" s="345"/>
      <c r="V325" s="345"/>
      <c r="W325" s="348" t="s">
        <v>158</v>
      </c>
      <c r="X325" s="353">
        <f>NPV($C$201,X305:X324)+X304</f>
        <v>0</v>
      </c>
    </row>
    <row r="326" spans="1:24" x14ac:dyDescent="0.45">
      <c r="A326" s="550"/>
      <c r="B326" s="354"/>
      <c r="C326" s="355"/>
      <c r="D326" s="834"/>
      <c r="E326" s="355"/>
      <c r="F326" s="834"/>
      <c r="G326" s="355"/>
      <c r="H326" s="834"/>
      <c r="I326" s="355"/>
      <c r="J326" s="834"/>
      <c r="K326" s="834"/>
      <c r="L326" s="834"/>
      <c r="M326" s="834"/>
      <c r="N326" s="355"/>
      <c r="O326" s="355"/>
      <c r="P326" s="355"/>
      <c r="Q326" s="355"/>
      <c r="R326" s="834"/>
      <c r="S326" s="834"/>
      <c r="T326" s="355"/>
      <c r="U326" s="355"/>
      <c r="V326" s="355"/>
      <c r="W326" s="356" t="s">
        <v>134</v>
      </c>
      <c r="X326" s="838">
        <f>IRR(X304:X324,0.1)</f>
        <v>9.9999999999999867E-2</v>
      </c>
    </row>
    <row r="327" spans="1:24" x14ac:dyDescent="0.45">
      <c r="A327" s="550"/>
      <c r="B327" s="631"/>
      <c r="C327" s="631"/>
      <c r="D327" s="631"/>
      <c r="E327" s="631"/>
      <c r="F327" s="631"/>
      <c r="G327" s="631"/>
      <c r="H327" s="631"/>
      <c r="I327" s="631"/>
      <c r="J327" s="631"/>
      <c r="K327" s="631"/>
      <c r="L327" s="631"/>
      <c r="M327" s="631"/>
      <c r="N327" s="631"/>
      <c r="O327" s="631"/>
      <c r="P327" s="631"/>
      <c r="Q327" s="631"/>
      <c r="R327" s="631"/>
    </row>
    <row r="328" spans="1:24" x14ac:dyDescent="0.45">
      <c r="B328" s="605" t="s">
        <v>243</v>
      </c>
      <c r="C328" s="522"/>
      <c r="D328" s="522"/>
      <c r="E328" s="522"/>
      <c r="F328" s="522"/>
      <c r="G328" s="522"/>
      <c r="H328" s="522"/>
      <c r="I328" s="606"/>
      <c r="J328" s="631"/>
      <c r="K328" s="631"/>
      <c r="L328" s="631"/>
      <c r="M328" s="631"/>
      <c r="N328" s="631"/>
      <c r="O328" s="631"/>
      <c r="P328" s="631"/>
      <c r="Q328" s="631"/>
      <c r="R328" s="631"/>
    </row>
    <row r="329" spans="1:24" x14ac:dyDescent="0.45">
      <c r="B329" s="810" t="s">
        <v>385</v>
      </c>
      <c r="C329" s="214"/>
      <c r="D329" s="214"/>
      <c r="E329" s="214"/>
      <c r="F329" s="214"/>
      <c r="G329" s="214"/>
      <c r="H329" s="214"/>
      <c r="I329" s="368"/>
      <c r="J329" s="631"/>
      <c r="K329" s="631"/>
      <c r="L329" s="631"/>
      <c r="M329" s="631"/>
      <c r="N329" s="631"/>
      <c r="O329" s="631"/>
      <c r="P329" s="631"/>
      <c r="Q329" s="631"/>
      <c r="R329" s="631"/>
    </row>
    <row r="330" spans="1:24" x14ac:dyDescent="0.45">
      <c r="B330" s="580" t="s">
        <v>364</v>
      </c>
      <c r="C330" s="527">
        <f>4.6%*1</f>
        <v>4.5999999999999999E-2</v>
      </c>
      <c r="D330" s="734" t="s">
        <v>0</v>
      </c>
      <c r="E330" s="734"/>
      <c r="F330" s="734"/>
      <c r="G330" s="734"/>
      <c r="H330" s="734"/>
      <c r="I330" s="595"/>
      <c r="L330" s="631"/>
      <c r="M330" s="631"/>
      <c r="N330" s="631"/>
      <c r="O330" s="631"/>
      <c r="P330" s="631"/>
      <c r="Q330" s="631"/>
      <c r="R330" s="631"/>
    </row>
    <row r="331" spans="1:24" x14ac:dyDescent="0.45">
      <c r="B331" s="580" t="s">
        <v>365</v>
      </c>
      <c r="C331" s="527">
        <v>0.5</v>
      </c>
      <c r="D331" s="734" t="s">
        <v>0</v>
      </c>
      <c r="E331" s="734"/>
      <c r="F331" s="734"/>
      <c r="G331" s="734"/>
      <c r="H331" s="734"/>
      <c r="I331" s="595"/>
      <c r="L331" s="631"/>
      <c r="P331" s="631"/>
      <c r="Q331" s="631"/>
      <c r="R331" s="631"/>
    </row>
    <row r="332" spans="1:24" x14ac:dyDescent="0.45">
      <c r="B332" s="580" t="s">
        <v>110</v>
      </c>
      <c r="C332" s="734">
        <v>5</v>
      </c>
      <c r="D332" s="734" t="s">
        <v>111</v>
      </c>
      <c r="E332" s="734"/>
      <c r="F332" s="734"/>
      <c r="G332" s="734"/>
      <c r="H332" s="734"/>
      <c r="I332" s="595"/>
      <c r="L332" s="631"/>
      <c r="N332" s="546"/>
      <c r="P332" s="631"/>
      <c r="Q332" s="631"/>
      <c r="R332" s="631"/>
    </row>
    <row r="333" spans="1:24" x14ac:dyDescent="0.45">
      <c r="B333" s="580" t="s">
        <v>398</v>
      </c>
      <c r="C333" s="734" t="s">
        <v>138</v>
      </c>
      <c r="D333" s="734"/>
      <c r="E333" s="734"/>
      <c r="F333" s="734"/>
      <c r="G333" s="734"/>
      <c r="H333" s="734"/>
      <c r="I333" s="595"/>
      <c r="L333" s="631"/>
      <c r="N333" s="546"/>
      <c r="P333" s="631"/>
      <c r="Q333" s="631"/>
      <c r="R333" s="631"/>
    </row>
    <row r="334" spans="1:24" x14ac:dyDescent="0.45">
      <c r="B334" s="580" t="str">
        <f t="shared" ref="B334:B350" si="76">B30</f>
        <v>Silicon Feedstock</v>
      </c>
      <c r="C334" s="578">
        <f>G30*(1+$C$200)</f>
        <v>1.7932563959609765E-2</v>
      </c>
      <c r="D334" s="723"/>
      <c r="E334" s="734"/>
      <c r="F334" s="734"/>
      <c r="G334" s="734"/>
      <c r="H334" s="734"/>
      <c r="I334" s="595"/>
      <c r="L334" s="631"/>
      <c r="N334" s="546"/>
      <c r="P334" s="631"/>
      <c r="Q334" s="631"/>
      <c r="R334" s="631"/>
    </row>
    <row r="335" spans="1:24" x14ac:dyDescent="0.45">
      <c r="B335" s="580" t="str">
        <f t="shared" si="76"/>
        <v>Depreciation</v>
      </c>
      <c r="C335" s="578">
        <f>-1*SUM(H218,J218,H247,J247,H276,J276,H305,J305)/(C198*1000000)</f>
        <v>5.7333708938961857E-2</v>
      </c>
      <c r="D335" s="723"/>
      <c r="E335" s="734"/>
      <c r="F335" s="734"/>
      <c r="G335" s="734"/>
      <c r="H335" s="734"/>
      <c r="I335" s="595"/>
      <c r="L335" s="631"/>
      <c r="N335" s="543"/>
      <c r="P335" s="631"/>
      <c r="Q335" s="631"/>
      <c r="R335" s="631"/>
    </row>
    <row r="336" spans="1:24" x14ac:dyDescent="0.45">
      <c r="B336" s="580" t="str">
        <f t="shared" si="76"/>
        <v>Maintenance</v>
      </c>
      <c r="C336" s="578">
        <f t="shared" ref="C336:C352" si="77">G32*(1+$C$200)</f>
        <v>2.2356112708798014E-2</v>
      </c>
      <c r="D336" s="723"/>
      <c r="E336" s="734"/>
      <c r="F336" s="734"/>
      <c r="G336" s="734"/>
      <c r="H336" s="734"/>
      <c r="I336" s="595"/>
      <c r="L336" s="631"/>
      <c r="N336" s="543"/>
      <c r="P336" s="631"/>
      <c r="Q336" s="631"/>
      <c r="R336" s="631"/>
    </row>
    <row r="337" spans="2:18" x14ac:dyDescent="0.45">
      <c r="B337" s="580" t="str">
        <f t="shared" si="76"/>
        <v>Labor</v>
      </c>
      <c r="C337" s="578">
        <f t="shared" si="77"/>
        <v>5.8003041744234513E-2</v>
      </c>
      <c r="D337" s="723"/>
      <c r="E337" s="734"/>
      <c r="F337" s="578"/>
      <c r="G337" s="734"/>
      <c r="H337" s="734"/>
      <c r="I337" s="595"/>
      <c r="L337" s="631"/>
      <c r="N337" s="546"/>
      <c r="P337" s="631"/>
      <c r="Q337" s="631"/>
      <c r="R337" s="631"/>
    </row>
    <row r="338" spans="2:18" x14ac:dyDescent="0.45">
      <c r="B338" s="580" t="str">
        <f t="shared" si="76"/>
        <v>Input Electricity</v>
      </c>
      <c r="C338" s="578">
        <f t="shared" si="77"/>
        <v>2.9310214109216377E-2</v>
      </c>
      <c r="D338" s="723"/>
      <c r="E338" s="734"/>
      <c r="F338" s="578"/>
      <c r="G338" s="734"/>
      <c r="H338" s="734"/>
      <c r="I338" s="595"/>
      <c r="J338" s="631"/>
      <c r="K338" s="631"/>
      <c r="L338" s="631"/>
      <c r="M338" s="631"/>
      <c r="N338" s="631"/>
      <c r="O338" s="631"/>
      <c r="P338" s="631"/>
      <c r="Q338" s="631"/>
      <c r="R338" s="631"/>
    </row>
    <row r="339" spans="2:18" x14ac:dyDescent="0.45">
      <c r="B339" s="580" t="str">
        <f t="shared" si="76"/>
        <v>Metal Paste</v>
      </c>
      <c r="C339" s="578">
        <f t="shared" si="77"/>
        <v>2.440855344169602E-2</v>
      </c>
      <c r="D339" s="723"/>
      <c r="E339" s="734"/>
      <c r="F339" s="734"/>
      <c r="G339" s="734"/>
      <c r="H339" s="734"/>
      <c r="I339" s="595"/>
      <c r="J339" s="631"/>
      <c r="K339" s="631"/>
      <c r="L339" s="631"/>
      <c r="M339" s="631"/>
      <c r="N339" s="631"/>
      <c r="O339" s="631"/>
      <c r="P339" s="631"/>
      <c r="Q339" s="631"/>
      <c r="R339" s="631"/>
    </row>
    <row r="340" spans="2:18" x14ac:dyDescent="0.45">
      <c r="B340" s="580" t="str">
        <f t="shared" si="76"/>
        <v>Crucible</v>
      </c>
      <c r="C340" s="578">
        <f t="shared" si="77"/>
        <v>1.0380551796820359E-3</v>
      </c>
      <c r="D340" s="723"/>
      <c r="E340" s="734"/>
      <c r="F340" s="734"/>
      <c r="G340" s="734"/>
      <c r="H340" s="734"/>
      <c r="I340" s="595"/>
      <c r="J340" s="631"/>
      <c r="K340" s="631"/>
      <c r="L340" s="631"/>
      <c r="M340" s="631"/>
      <c r="N340" s="631"/>
      <c r="O340" s="631"/>
      <c r="P340" s="631"/>
      <c r="Q340" s="631"/>
      <c r="R340" s="631"/>
    </row>
    <row r="341" spans="2:18" x14ac:dyDescent="0.45">
      <c r="B341" s="580" t="str">
        <f t="shared" si="76"/>
        <v>Wire</v>
      </c>
      <c r="C341" s="578">
        <f t="shared" si="77"/>
        <v>9.5078356299546501E-3</v>
      </c>
      <c r="D341" s="723"/>
      <c r="E341" s="734"/>
      <c r="F341" s="734"/>
      <c r="G341" s="734"/>
      <c r="H341" s="734"/>
      <c r="I341" s="595"/>
      <c r="J341" s="631"/>
      <c r="K341" s="631"/>
      <c r="L341" s="631"/>
      <c r="M341" s="631"/>
      <c r="N341" s="631"/>
      <c r="O341" s="631"/>
      <c r="P341" s="631"/>
      <c r="Q341" s="631"/>
      <c r="R341" s="631"/>
    </row>
    <row r="342" spans="2:18" x14ac:dyDescent="0.45">
      <c r="B342" s="580" t="str">
        <f t="shared" si="76"/>
        <v>Slurry</v>
      </c>
      <c r="C342" s="578">
        <f t="shared" si="77"/>
        <v>1.554743877992391E-2</v>
      </c>
      <c r="D342" s="723"/>
      <c r="E342" s="734"/>
      <c r="F342" s="734"/>
      <c r="G342" s="734"/>
      <c r="H342" s="734"/>
      <c r="I342" s="595"/>
      <c r="J342" s="631"/>
      <c r="K342" s="631"/>
      <c r="L342" s="631"/>
      <c r="M342" s="631"/>
      <c r="N342" s="631"/>
      <c r="O342" s="631"/>
      <c r="P342" s="631"/>
      <c r="Q342" s="631"/>
      <c r="R342" s="631"/>
    </row>
    <row r="343" spans="2:18" x14ac:dyDescent="0.45">
      <c r="B343" s="580" t="str">
        <f t="shared" si="76"/>
        <v>Glass</v>
      </c>
      <c r="C343" s="578">
        <f t="shared" si="77"/>
        <v>3.6576050986640525E-2</v>
      </c>
      <c r="D343" s="723"/>
      <c r="E343" s="734"/>
      <c r="F343" s="734"/>
      <c r="G343" s="734"/>
      <c r="H343" s="734"/>
      <c r="I343" s="595"/>
      <c r="J343" s="631"/>
      <c r="K343" s="631"/>
      <c r="L343" s="631"/>
      <c r="M343" s="631"/>
      <c r="N343" s="631"/>
      <c r="O343" s="631"/>
      <c r="P343" s="631"/>
      <c r="Q343" s="631"/>
      <c r="R343" s="631"/>
    </row>
    <row r="344" spans="2:18" x14ac:dyDescent="0.45">
      <c r="B344" s="580" t="str">
        <f t="shared" si="76"/>
        <v>Frame</v>
      </c>
      <c r="C344" s="578">
        <f t="shared" si="77"/>
        <v>4.2310159364499236E-2</v>
      </c>
      <c r="D344" s="723"/>
      <c r="E344" s="734"/>
      <c r="F344" s="734"/>
      <c r="G344" s="734"/>
      <c r="H344" s="578"/>
      <c r="I344" s="595"/>
      <c r="J344" s="631"/>
      <c r="K344" s="631"/>
      <c r="L344" s="631"/>
      <c r="M344" s="631"/>
      <c r="N344" s="631"/>
      <c r="O344" s="631"/>
      <c r="P344" s="631"/>
      <c r="Q344" s="631"/>
      <c r="R344" s="631"/>
    </row>
    <row r="345" spans="2:18" x14ac:dyDescent="0.45">
      <c r="B345" s="580" t="str">
        <f t="shared" si="76"/>
        <v>Encapsulant</v>
      </c>
      <c r="C345" s="578">
        <f t="shared" si="77"/>
        <v>2.5052089716877071E-2</v>
      </c>
      <c r="D345" s="723"/>
      <c r="E345" s="734"/>
      <c r="F345" s="734"/>
      <c r="G345" s="734"/>
      <c r="H345" s="734"/>
      <c r="I345" s="595"/>
      <c r="J345" s="631"/>
      <c r="K345" s="631"/>
      <c r="L345" s="631"/>
      <c r="M345" s="631"/>
      <c r="N345" s="631"/>
      <c r="O345" s="631"/>
      <c r="P345" s="631"/>
      <c r="Q345" s="631"/>
      <c r="R345" s="631"/>
    </row>
    <row r="346" spans="2:18" x14ac:dyDescent="0.45">
      <c r="B346" s="580" t="str">
        <f t="shared" si="76"/>
        <v>JB and Cable</v>
      </c>
      <c r="C346" s="578">
        <f t="shared" si="77"/>
        <v>1.8323767133481751E-2</v>
      </c>
      <c r="D346" s="723"/>
      <c r="E346" s="734"/>
      <c r="F346" s="734"/>
      <c r="G346" s="734"/>
      <c r="H346" s="734"/>
      <c r="I346" s="595"/>
      <c r="J346" s="631"/>
      <c r="K346" s="631"/>
      <c r="L346" s="631"/>
      <c r="M346" s="631"/>
      <c r="N346" s="631"/>
      <c r="O346" s="631"/>
      <c r="P346" s="631"/>
      <c r="Q346" s="631"/>
      <c r="R346" s="631"/>
    </row>
    <row r="347" spans="2:18" x14ac:dyDescent="0.45">
      <c r="B347" s="580" t="str">
        <f t="shared" si="76"/>
        <v>Chemicals</v>
      </c>
      <c r="C347" s="578">
        <f t="shared" si="77"/>
        <v>1.8232148297814343E-2</v>
      </c>
      <c r="D347" s="723"/>
      <c r="E347" s="734"/>
      <c r="F347" s="734"/>
      <c r="G347" s="734"/>
      <c r="H347" s="734"/>
      <c r="I347" s="595"/>
      <c r="J347" s="631"/>
      <c r="K347" s="631"/>
      <c r="L347" s="631"/>
      <c r="M347" s="631"/>
      <c r="N347" s="631"/>
      <c r="O347" s="631"/>
      <c r="P347" s="631"/>
      <c r="Q347" s="631"/>
      <c r="R347" s="631"/>
    </row>
    <row r="348" spans="2:18" x14ac:dyDescent="0.45">
      <c r="B348" s="580" t="str">
        <f t="shared" si="76"/>
        <v>Backsheet</v>
      </c>
      <c r="C348" s="578">
        <f t="shared" si="77"/>
        <v>3.5072925603627902E-2</v>
      </c>
      <c r="D348" s="723"/>
      <c r="E348" s="734"/>
      <c r="F348" s="734"/>
      <c r="G348" s="734"/>
      <c r="H348" s="734"/>
      <c r="I348" s="595"/>
      <c r="J348" s="631"/>
      <c r="K348" s="631"/>
      <c r="L348" s="631"/>
      <c r="M348" s="631"/>
      <c r="N348" s="631"/>
      <c r="O348" s="631"/>
      <c r="P348" s="631"/>
      <c r="Q348" s="631"/>
      <c r="R348" s="631"/>
    </row>
    <row r="349" spans="2:18" x14ac:dyDescent="0.45">
      <c r="B349" s="580" t="str">
        <f t="shared" si="76"/>
        <v>Ribbon</v>
      </c>
      <c r="C349" s="578">
        <f t="shared" si="77"/>
        <v>2.3548964333864445E-2</v>
      </c>
      <c r="D349" s="723"/>
      <c r="E349" s="734"/>
      <c r="F349" s="734"/>
      <c r="G349" s="734"/>
      <c r="H349" s="734"/>
      <c r="I349" s="595"/>
      <c r="J349" s="631"/>
      <c r="K349" s="631"/>
      <c r="L349" s="631"/>
      <c r="M349" s="631"/>
      <c r="N349" s="631"/>
      <c r="O349" s="631"/>
      <c r="P349" s="631"/>
      <c r="Q349" s="631"/>
      <c r="R349" s="631"/>
    </row>
    <row r="350" spans="2:18" x14ac:dyDescent="0.45">
      <c r="B350" s="580" t="str">
        <f t="shared" si="76"/>
        <v>Packaging</v>
      </c>
      <c r="C350" s="578">
        <f t="shared" si="77"/>
        <v>2.2546880745189365E-3</v>
      </c>
      <c r="D350" s="723"/>
      <c r="E350" s="734"/>
      <c r="F350" s="734"/>
      <c r="G350" s="734"/>
      <c r="H350" s="734"/>
      <c r="I350" s="595"/>
      <c r="J350" s="631"/>
      <c r="K350" s="631"/>
      <c r="L350" s="631"/>
      <c r="M350" s="631"/>
      <c r="N350" s="631"/>
      <c r="O350" s="631"/>
      <c r="P350" s="631"/>
      <c r="Q350" s="631"/>
      <c r="R350" s="631"/>
    </row>
    <row r="351" spans="2:18" x14ac:dyDescent="0.45">
      <c r="B351" s="580" t="str">
        <f>B47</f>
        <v>Screens</v>
      </c>
      <c r="C351" s="578">
        <f t="shared" si="77"/>
        <v>6.4780994916349638E-3</v>
      </c>
      <c r="D351" s="723"/>
      <c r="E351" s="734"/>
      <c r="F351" s="734"/>
      <c r="G351" s="734"/>
      <c r="H351" s="734"/>
      <c r="I351" s="595"/>
      <c r="J351" s="631"/>
      <c r="K351" s="631"/>
      <c r="L351" s="631"/>
      <c r="M351" s="631"/>
      <c r="N351" s="631"/>
      <c r="O351" s="631"/>
      <c r="P351" s="631"/>
      <c r="Q351" s="631"/>
      <c r="R351" s="631"/>
    </row>
    <row r="352" spans="2:18" x14ac:dyDescent="0.45">
      <c r="B352" s="580" t="str">
        <f>B48</f>
        <v>Shipping costs</v>
      </c>
      <c r="C352" s="578">
        <f t="shared" si="77"/>
        <v>0</v>
      </c>
      <c r="D352" s="723"/>
      <c r="E352" s="734"/>
      <c r="F352" s="734"/>
      <c r="G352" s="734"/>
      <c r="H352" s="734"/>
      <c r="I352" s="595"/>
      <c r="J352" s="631"/>
      <c r="K352" s="631"/>
      <c r="L352" s="631"/>
      <c r="M352" s="631"/>
      <c r="N352" s="631"/>
      <c r="O352" s="631"/>
      <c r="P352" s="631"/>
      <c r="Q352" s="631"/>
      <c r="R352" s="631"/>
    </row>
    <row r="353" spans="2:18" x14ac:dyDescent="0.45">
      <c r="B353" s="580"/>
      <c r="C353" s="578"/>
      <c r="D353" s="723"/>
      <c r="E353" s="734"/>
      <c r="F353" s="734"/>
      <c r="G353" s="734"/>
      <c r="H353" s="734"/>
      <c r="I353" s="595"/>
      <c r="J353" s="631"/>
      <c r="K353" s="631"/>
      <c r="L353" s="631"/>
      <c r="M353" s="631"/>
      <c r="N353" s="631"/>
      <c r="O353" s="631"/>
      <c r="P353" s="631"/>
      <c r="Q353" s="631"/>
      <c r="R353" s="631"/>
    </row>
    <row r="354" spans="2:18" x14ac:dyDescent="0.45">
      <c r="B354" s="504" t="s">
        <v>354</v>
      </c>
      <c r="C354" s="734"/>
      <c r="D354" s="936" t="s">
        <v>356</v>
      </c>
      <c r="E354" s="734"/>
      <c r="F354" s="734"/>
      <c r="G354" s="936" t="s">
        <v>384</v>
      </c>
      <c r="H354" s="734"/>
      <c r="I354" s="595"/>
      <c r="J354" s="631"/>
      <c r="K354" s="631"/>
      <c r="L354" s="631"/>
      <c r="M354" s="631"/>
      <c r="N354" s="631"/>
      <c r="O354" s="631"/>
      <c r="P354" s="631"/>
      <c r="Q354" s="631"/>
      <c r="R354" s="631"/>
    </row>
    <row r="355" spans="2:18" x14ac:dyDescent="0.45">
      <c r="B355" s="580" t="s">
        <v>247</v>
      </c>
      <c r="C355" s="734"/>
      <c r="D355" s="523" t="s">
        <v>250</v>
      </c>
      <c r="E355" s="523" t="s">
        <v>249</v>
      </c>
      <c r="F355" s="523" t="s">
        <v>284</v>
      </c>
      <c r="G355" s="523" t="s">
        <v>250</v>
      </c>
      <c r="H355" s="523" t="s">
        <v>249</v>
      </c>
      <c r="I355" s="524" t="s">
        <v>284</v>
      </c>
      <c r="J355" s="631"/>
      <c r="K355" s="631"/>
      <c r="L355" s="631"/>
      <c r="M355" s="631"/>
      <c r="N355" s="631"/>
      <c r="O355" s="631"/>
      <c r="P355" s="631"/>
      <c r="Q355" s="631"/>
      <c r="R355" s="631"/>
    </row>
    <row r="356" spans="2:18" x14ac:dyDescent="0.45">
      <c r="B356" s="580"/>
      <c r="C356" s="734" t="s">
        <v>238</v>
      </c>
      <c r="D356" s="369">
        <f>SUM(C218,C247,C276,C305)</f>
        <v>0.53794979989204927</v>
      </c>
      <c r="E356" s="369">
        <f t="shared" ref="E356:E361" si="78">D356</f>
        <v>0.53794979989204927</v>
      </c>
      <c r="F356" s="369">
        <f>D356</f>
        <v>0.53794979989204927</v>
      </c>
      <c r="G356" s="369">
        <f>SUM(C224,C253,C282,C311)</f>
        <v>0.61298115777929041</v>
      </c>
      <c r="H356" s="369">
        <f t="shared" ref="H356:H361" si="79">G356</f>
        <v>0.61298115777929041</v>
      </c>
      <c r="I356" s="525">
        <f>G356</f>
        <v>0.61298115777929041</v>
      </c>
      <c r="J356" s="631"/>
      <c r="K356" s="631"/>
      <c r="L356" s="631"/>
      <c r="M356" s="631"/>
      <c r="N356" s="631"/>
      <c r="O356" s="631"/>
      <c r="P356" s="631"/>
      <c r="Q356" s="631"/>
      <c r="R356" s="631"/>
    </row>
    <row r="357" spans="2:18" x14ac:dyDescent="0.45">
      <c r="B357" s="530"/>
      <c r="C357" s="734" t="s">
        <v>239</v>
      </c>
      <c r="D357" s="369">
        <f>SUM(C334,C339:C352)</f>
        <v>0.27628333999382559</v>
      </c>
      <c r="E357" s="369">
        <f t="shared" si="78"/>
        <v>0.27628333999382559</v>
      </c>
      <c r="F357" s="369">
        <f>D357</f>
        <v>0.27628333999382559</v>
      </c>
      <c r="G357" s="369">
        <f>D357*(1+$C$200)^(7-1)</f>
        <v>0.31481837461140316</v>
      </c>
      <c r="H357" s="369">
        <f t="shared" si="79"/>
        <v>0.31481837461140316</v>
      </c>
      <c r="I357" s="525">
        <f>G357</f>
        <v>0.31481837461140316</v>
      </c>
      <c r="J357" s="631"/>
      <c r="K357" s="631"/>
      <c r="L357" s="631"/>
      <c r="M357" s="631"/>
      <c r="N357" s="631"/>
      <c r="O357" s="631"/>
      <c r="P357" s="631"/>
      <c r="Q357" s="631"/>
      <c r="R357" s="631"/>
    </row>
    <row r="358" spans="2:18" x14ac:dyDescent="0.45">
      <c r="B358" s="530"/>
      <c r="C358" s="734" t="s">
        <v>240</v>
      </c>
      <c r="D358" s="369">
        <f>$C$337</f>
        <v>5.8003041744234513E-2</v>
      </c>
      <c r="E358" s="369">
        <f t="shared" si="78"/>
        <v>5.8003041744234513E-2</v>
      </c>
      <c r="F358" s="369">
        <f>D358</f>
        <v>5.8003041744234513E-2</v>
      </c>
      <c r="G358" s="369">
        <f>D358*(1+$C$200)^(7-1)</f>
        <v>6.6093103278849027E-2</v>
      </c>
      <c r="H358" s="369">
        <f t="shared" si="79"/>
        <v>6.6093103278849027E-2</v>
      </c>
      <c r="I358" s="525">
        <f>G358</f>
        <v>6.6093103278849027E-2</v>
      </c>
      <c r="J358" s="631"/>
      <c r="K358" s="631"/>
      <c r="L358" s="631"/>
      <c r="M358" s="631"/>
      <c r="N358" s="631"/>
      <c r="O358" s="631"/>
      <c r="P358" s="631"/>
      <c r="Q358" s="631"/>
      <c r="R358" s="631"/>
    </row>
    <row r="359" spans="2:18" x14ac:dyDescent="0.45">
      <c r="B359" s="530"/>
      <c r="C359" s="734" t="s">
        <v>20</v>
      </c>
      <c r="D359" s="369">
        <f>$C$338</f>
        <v>2.9310214109216377E-2</v>
      </c>
      <c r="E359" s="369">
        <f t="shared" si="78"/>
        <v>2.9310214109216377E-2</v>
      </c>
      <c r="F359" s="369">
        <f>D359</f>
        <v>2.9310214109216377E-2</v>
      </c>
      <c r="G359" s="369">
        <f>D359*(1+$C$200)^(7-1)</f>
        <v>3.3398300330312825E-2</v>
      </c>
      <c r="H359" s="369">
        <f t="shared" si="79"/>
        <v>3.3398300330312825E-2</v>
      </c>
      <c r="I359" s="525">
        <f>G359</f>
        <v>3.3398300330312825E-2</v>
      </c>
      <c r="J359" s="631"/>
      <c r="K359" s="631"/>
      <c r="L359" s="631"/>
      <c r="M359" s="631"/>
      <c r="N359" s="631"/>
      <c r="O359" s="631"/>
      <c r="P359" s="631"/>
      <c r="Q359" s="631"/>
      <c r="R359" s="631"/>
    </row>
    <row r="360" spans="2:18" x14ac:dyDescent="0.45">
      <c r="B360" s="530"/>
      <c r="C360" s="734" t="s">
        <v>61</v>
      </c>
      <c r="D360" s="369">
        <f>$C$336</f>
        <v>2.2356112708798014E-2</v>
      </c>
      <c r="E360" s="369">
        <f t="shared" si="78"/>
        <v>2.2356112708798014E-2</v>
      </c>
      <c r="F360" s="369">
        <f>D360</f>
        <v>2.2356112708798014E-2</v>
      </c>
      <c r="G360" s="369">
        <f>D360*(1+$C$200)^(7-1)</f>
        <v>2.5474265172016571E-2</v>
      </c>
      <c r="H360" s="369">
        <f t="shared" si="79"/>
        <v>2.5474265172016571E-2</v>
      </c>
      <c r="I360" s="525">
        <f>G360</f>
        <v>2.5474265172016571E-2</v>
      </c>
      <c r="J360" s="631"/>
      <c r="K360" s="631"/>
      <c r="L360" s="631"/>
      <c r="M360" s="631"/>
      <c r="N360" s="631"/>
      <c r="O360" s="631"/>
      <c r="P360" s="631"/>
      <c r="Q360" s="631"/>
      <c r="R360" s="631"/>
    </row>
    <row r="361" spans="2:18" x14ac:dyDescent="0.45">
      <c r="B361" s="530"/>
      <c r="C361" s="734" t="s">
        <v>246</v>
      </c>
      <c r="D361" s="369">
        <f>-1*SUM(H218,J218,H247,J247,H276,J276,H305,J305)/(C198*1000000)</f>
        <v>5.7333708938961857E-2</v>
      </c>
      <c r="E361" s="369">
        <f t="shared" si="78"/>
        <v>5.7333708938961857E-2</v>
      </c>
      <c r="F361" s="369"/>
      <c r="G361" s="369">
        <f>-1*SUM(H253,J253,H282,J282,H311,J311,H225,J225)/(C198*1000000)</f>
        <v>3.3293097272604003E-2</v>
      </c>
      <c r="H361" s="369">
        <f t="shared" si="79"/>
        <v>3.3293097272604003E-2</v>
      </c>
      <c r="I361" s="595"/>
      <c r="J361" s="631"/>
      <c r="K361" s="631"/>
      <c r="L361" s="631"/>
      <c r="M361" s="631"/>
      <c r="N361" s="631"/>
      <c r="O361" s="631"/>
      <c r="P361" s="631"/>
      <c r="Q361" s="631"/>
      <c r="R361" s="631"/>
    </row>
    <row r="362" spans="2:18" x14ac:dyDescent="0.45">
      <c r="B362" s="580"/>
      <c r="C362" s="734" t="s">
        <v>244</v>
      </c>
      <c r="D362" s="369">
        <f>($C$203+$C$204)*D356</f>
        <v>5.6484728988665169E-2</v>
      </c>
      <c r="E362" s="369"/>
      <c r="F362" s="369"/>
      <c r="G362" s="369">
        <f>($C$203+$C$204)*G356</f>
        <v>6.4363021566825496E-2</v>
      </c>
      <c r="H362" s="734"/>
      <c r="I362" s="595"/>
      <c r="J362" s="631"/>
      <c r="K362" s="631"/>
      <c r="L362" s="631"/>
      <c r="M362" s="631"/>
      <c r="N362" s="631"/>
      <c r="O362" s="631"/>
      <c r="P362" s="631"/>
      <c r="Q362" s="631"/>
      <c r="R362" s="631"/>
    </row>
    <row r="363" spans="2:18" x14ac:dyDescent="0.45">
      <c r="B363" s="580"/>
      <c r="C363" s="734" t="s">
        <v>241</v>
      </c>
      <c r="D363" s="369">
        <f>-1*ISPMT(C330,1,C332,C210*C331)/(C198*1000000)</f>
        <v>8.5811920578286304E-3</v>
      </c>
      <c r="E363" s="369"/>
      <c r="F363" s="369"/>
      <c r="G363" s="369">
        <f>-1*ISPMT(C330,5,C332,C210*C331)/(C198*1000000)</f>
        <v>0</v>
      </c>
      <c r="H363" s="734"/>
      <c r="I363" s="595"/>
      <c r="J363" s="631"/>
      <c r="K363" s="631"/>
      <c r="L363" s="631"/>
      <c r="M363" s="631"/>
      <c r="N363" s="631"/>
      <c r="O363" s="631"/>
      <c r="P363" s="631"/>
      <c r="Q363" s="631"/>
      <c r="R363" s="631"/>
    </row>
    <row r="364" spans="2:18" x14ac:dyDescent="0.45">
      <c r="B364" s="580"/>
      <c r="C364" s="734" t="s">
        <v>242</v>
      </c>
      <c r="D364" s="369">
        <f>(D356-SUM(D357:D363))*$C$202</f>
        <v>8.2576917167948294E-3</v>
      </c>
      <c r="E364" s="369"/>
      <c r="F364" s="369"/>
      <c r="G364" s="369">
        <f>(G356-SUM(G357:G363))*$C$202</f>
        <v>2.107593775769093E-2</v>
      </c>
      <c r="H364" s="734"/>
      <c r="I364" s="595"/>
      <c r="J364" s="631"/>
      <c r="K364" s="631"/>
      <c r="L364" s="631"/>
      <c r="M364" s="631"/>
      <c r="N364" s="631"/>
      <c r="O364" s="631"/>
      <c r="P364" s="631"/>
      <c r="Q364" s="631"/>
      <c r="R364" s="631"/>
    </row>
    <row r="365" spans="2:18" x14ac:dyDescent="0.45">
      <c r="B365" s="580"/>
      <c r="C365" s="734" t="s">
        <v>338</v>
      </c>
      <c r="D365" s="369">
        <f>D356-SUM(D357:D364)</f>
        <v>2.1339769633724304E-2</v>
      </c>
      <c r="E365" s="734"/>
      <c r="F365" s="734"/>
      <c r="G365" s="369">
        <f>G356-SUM(G357:G364)</f>
        <v>5.4465057789588434E-2</v>
      </c>
      <c r="H365" s="734"/>
      <c r="I365" s="595"/>
      <c r="J365" s="631"/>
      <c r="K365" s="631"/>
      <c r="L365" s="631"/>
      <c r="M365" s="631"/>
      <c r="N365" s="631"/>
      <c r="O365" s="631"/>
      <c r="P365" s="631"/>
      <c r="Q365" s="631"/>
      <c r="R365" s="631"/>
    </row>
    <row r="366" spans="2:18" x14ac:dyDescent="0.45">
      <c r="B366" s="580"/>
      <c r="C366" s="734"/>
      <c r="D366" s="734"/>
      <c r="E366" s="734"/>
      <c r="F366" s="734"/>
      <c r="G366" s="734"/>
      <c r="H366" s="734"/>
      <c r="I366" s="595"/>
      <c r="J366" s="631"/>
      <c r="K366" s="631"/>
      <c r="L366" s="631"/>
      <c r="M366" s="631"/>
      <c r="N366" s="631"/>
      <c r="O366" s="631"/>
      <c r="P366" s="631"/>
      <c r="Q366" s="631"/>
      <c r="R366" s="631"/>
    </row>
    <row r="367" spans="2:18" x14ac:dyDescent="0.45">
      <c r="B367" s="580" t="s">
        <v>248</v>
      </c>
      <c r="C367" s="734" t="s">
        <v>238</v>
      </c>
      <c r="D367" s="723">
        <v>1</v>
      </c>
      <c r="E367" s="723">
        <f t="shared" ref="E367:E372" si="80">D367</f>
        <v>1</v>
      </c>
      <c r="F367" s="723">
        <f>D367</f>
        <v>1</v>
      </c>
      <c r="G367" s="723">
        <v>1</v>
      </c>
      <c r="H367" s="723">
        <f t="shared" ref="H367:H372" si="81">G367</f>
        <v>1</v>
      </c>
      <c r="I367" s="526">
        <f>G367</f>
        <v>1</v>
      </c>
      <c r="J367" s="631"/>
      <c r="K367" s="631"/>
      <c r="L367" s="631"/>
      <c r="M367" s="631"/>
      <c r="N367" s="631"/>
      <c r="O367" s="631"/>
      <c r="P367" s="631"/>
      <c r="Q367" s="631"/>
      <c r="R367" s="631"/>
    </row>
    <row r="368" spans="2:18" x14ac:dyDescent="0.45">
      <c r="B368" s="531"/>
      <c r="C368" s="734" t="s">
        <v>239</v>
      </c>
      <c r="D368" s="723">
        <f>D357/$D$356</f>
        <v>0.51358572872276842</v>
      </c>
      <c r="E368" s="723">
        <f t="shared" si="80"/>
        <v>0.51358572872276842</v>
      </c>
      <c r="F368" s="723">
        <f>D368</f>
        <v>0.51358572872276842</v>
      </c>
      <c r="G368" s="723">
        <f>G357/$G$356</f>
        <v>0.51358572872276842</v>
      </c>
      <c r="H368" s="723">
        <f t="shared" si="81"/>
        <v>0.51358572872276842</v>
      </c>
      <c r="I368" s="526">
        <f>G368</f>
        <v>0.51358572872276842</v>
      </c>
      <c r="J368" s="631"/>
      <c r="K368" s="631"/>
      <c r="L368" s="631"/>
      <c r="M368" s="631"/>
      <c r="N368" s="631"/>
      <c r="O368" s="631"/>
      <c r="P368" s="631"/>
      <c r="Q368" s="631"/>
      <c r="R368" s="631"/>
    </row>
    <row r="369" spans="2:18" x14ac:dyDescent="0.45">
      <c r="B369" s="531"/>
      <c r="C369" s="734" t="s">
        <v>240</v>
      </c>
      <c r="D369" s="723">
        <f t="shared" ref="D369:D375" si="82">D358/$D$356</f>
        <v>0.10782240602352491</v>
      </c>
      <c r="E369" s="723">
        <f t="shared" si="80"/>
        <v>0.10782240602352491</v>
      </c>
      <c r="F369" s="723">
        <f>D369</f>
        <v>0.10782240602352491</v>
      </c>
      <c r="G369" s="723">
        <f t="shared" ref="G369:G375" si="83">G358/$G$356</f>
        <v>0.1078224060235249</v>
      </c>
      <c r="H369" s="723">
        <f t="shared" si="81"/>
        <v>0.1078224060235249</v>
      </c>
      <c r="I369" s="526">
        <f>G369</f>
        <v>0.1078224060235249</v>
      </c>
      <c r="J369" s="631"/>
      <c r="K369" s="631"/>
      <c r="L369" s="631"/>
      <c r="M369" s="631"/>
      <c r="N369" s="631"/>
      <c r="O369" s="631"/>
      <c r="P369" s="631"/>
      <c r="Q369" s="631"/>
      <c r="R369" s="631"/>
    </row>
    <row r="370" spans="2:18" x14ac:dyDescent="0.45">
      <c r="B370" s="531"/>
      <c r="C370" s="734" t="s">
        <v>20</v>
      </c>
      <c r="D370" s="723">
        <f t="shared" si="82"/>
        <v>5.4485035806497328E-2</v>
      </c>
      <c r="E370" s="723">
        <f t="shared" si="80"/>
        <v>5.4485035806497328E-2</v>
      </c>
      <c r="F370" s="723">
        <f>D370</f>
        <v>5.4485035806497328E-2</v>
      </c>
      <c r="G370" s="723">
        <f t="shared" si="83"/>
        <v>5.4485035806497328E-2</v>
      </c>
      <c r="H370" s="723">
        <f t="shared" si="81"/>
        <v>5.4485035806497328E-2</v>
      </c>
      <c r="I370" s="526">
        <f>G370</f>
        <v>5.4485035806497328E-2</v>
      </c>
      <c r="J370" s="631"/>
      <c r="K370" s="631"/>
      <c r="L370" s="631"/>
      <c r="M370" s="631"/>
      <c r="N370" s="631"/>
      <c r="O370" s="631"/>
      <c r="P370" s="631"/>
      <c r="Q370" s="631"/>
      <c r="R370" s="631"/>
    </row>
    <row r="371" spans="2:18" x14ac:dyDescent="0.45">
      <c r="B371" s="531"/>
      <c r="C371" s="734" t="s">
        <v>61</v>
      </c>
      <c r="D371" s="723">
        <f t="shared" si="82"/>
        <v>4.155799056581902E-2</v>
      </c>
      <c r="E371" s="723">
        <f t="shared" si="80"/>
        <v>4.155799056581902E-2</v>
      </c>
      <c r="F371" s="723">
        <f>D371</f>
        <v>4.155799056581902E-2</v>
      </c>
      <c r="G371" s="723">
        <f t="shared" si="83"/>
        <v>4.155799056581902E-2</v>
      </c>
      <c r="H371" s="723">
        <f t="shared" si="81"/>
        <v>4.155799056581902E-2</v>
      </c>
      <c r="I371" s="526">
        <f>G371</f>
        <v>4.155799056581902E-2</v>
      </c>
      <c r="J371" s="631"/>
      <c r="K371" s="631"/>
      <c r="L371" s="631"/>
      <c r="M371" s="631"/>
      <c r="N371" s="631"/>
      <c r="O371" s="631"/>
      <c r="P371" s="631"/>
      <c r="Q371" s="631"/>
      <c r="R371" s="631"/>
    </row>
    <row r="372" spans="2:18" x14ac:dyDescent="0.45">
      <c r="B372" s="531"/>
      <c r="C372" s="734" t="s">
        <v>246</v>
      </c>
      <c r="D372" s="723">
        <f t="shared" si="82"/>
        <v>0.10657817690510722</v>
      </c>
      <c r="E372" s="723">
        <f t="shared" si="80"/>
        <v>0.10657817690510722</v>
      </c>
      <c r="F372" s="723"/>
      <c r="G372" s="723">
        <f t="shared" si="83"/>
        <v>5.4313410534865894E-2</v>
      </c>
      <c r="H372" s="723">
        <f t="shared" si="81"/>
        <v>5.4313410534865894E-2</v>
      </c>
      <c r="I372" s="526"/>
      <c r="J372" s="631"/>
      <c r="K372" s="631"/>
      <c r="L372" s="631"/>
      <c r="M372" s="631"/>
      <c r="N372" s="631"/>
      <c r="O372" s="631"/>
      <c r="P372" s="631"/>
      <c r="Q372" s="631"/>
      <c r="R372" s="631"/>
    </row>
    <row r="373" spans="2:18" x14ac:dyDescent="0.45">
      <c r="B373" s="580"/>
      <c r="C373" s="734" t="s">
        <v>244</v>
      </c>
      <c r="D373" s="723">
        <f t="shared" si="82"/>
        <v>0.105</v>
      </c>
      <c r="E373" s="734"/>
      <c r="F373" s="723"/>
      <c r="G373" s="723">
        <f t="shared" si="83"/>
        <v>0.10500000000000001</v>
      </c>
      <c r="H373" s="734"/>
      <c r="I373" s="526"/>
      <c r="J373" s="631"/>
      <c r="K373" s="631"/>
      <c r="L373" s="631"/>
      <c r="M373" s="631"/>
      <c r="N373" s="631"/>
      <c r="O373" s="631"/>
      <c r="P373" s="631"/>
      <c r="Q373" s="631"/>
      <c r="R373" s="631"/>
    </row>
    <row r="374" spans="2:18" x14ac:dyDescent="0.45">
      <c r="B374" s="580"/>
      <c r="C374" s="734" t="s">
        <v>241</v>
      </c>
      <c r="D374" s="723">
        <f t="shared" si="82"/>
        <v>1.5951659540631158E-2</v>
      </c>
      <c r="E374" s="734"/>
      <c r="F374" s="734"/>
      <c r="G374" s="723">
        <f t="shared" si="83"/>
        <v>0</v>
      </c>
      <c r="H374" s="734"/>
      <c r="I374" s="595"/>
      <c r="J374" s="631"/>
      <c r="K374" s="631"/>
      <c r="L374" s="631"/>
      <c r="M374" s="631"/>
      <c r="N374" s="631"/>
      <c r="O374" s="631"/>
      <c r="P374" s="631"/>
      <c r="Q374" s="631"/>
      <c r="R374" s="631"/>
    </row>
    <row r="375" spans="2:18" x14ac:dyDescent="0.45">
      <c r="B375" s="580"/>
      <c r="C375" s="734" t="s">
        <v>242</v>
      </c>
      <c r="D375" s="723">
        <f t="shared" si="82"/>
        <v>1.5350301679546876E-2</v>
      </c>
      <c r="E375" s="734"/>
      <c r="F375" s="734"/>
      <c r="G375" s="723">
        <f t="shared" si="83"/>
        <v>3.438268450868031E-2</v>
      </c>
      <c r="H375" s="734"/>
      <c r="I375" s="595"/>
      <c r="J375" s="631"/>
      <c r="K375" s="631"/>
      <c r="L375" s="631"/>
      <c r="M375" s="631"/>
      <c r="N375" s="631"/>
      <c r="O375" s="631"/>
      <c r="P375" s="631"/>
      <c r="Q375" s="631"/>
      <c r="R375" s="631"/>
    </row>
    <row r="376" spans="2:18" x14ac:dyDescent="0.45">
      <c r="B376" s="580"/>
      <c r="C376" s="734"/>
      <c r="D376" s="723"/>
      <c r="E376" s="734"/>
      <c r="F376" s="734"/>
      <c r="G376" s="734"/>
      <c r="H376" s="734"/>
      <c r="I376" s="595"/>
      <c r="J376" s="631"/>
      <c r="K376" s="631"/>
      <c r="L376" s="631"/>
      <c r="M376" s="631"/>
      <c r="N376" s="631"/>
      <c r="O376" s="631"/>
      <c r="P376" s="631"/>
      <c r="Q376" s="631"/>
      <c r="R376" s="631"/>
    </row>
    <row r="377" spans="2:18" x14ac:dyDescent="0.45">
      <c r="B377" s="580"/>
      <c r="C377" s="734"/>
      <c r="D377" s="723"/>
      <c r="E377" s="734"/>
      <c r="F377" s="734"/>
      <c r="G377" s="734"/>
      <c r="H377" s="734"/>
      <c r="I377" s="595"/>
      <c r="J377" s="631"/>
      <c r="K377" s="631"/>
      <c r="L377" s="631"/>
      <c r="M377" s="631"/>
      <c r="N377" s="631"/>
      <c r="O377" s="631"/>
      <c r="P377" s="631"/>
      <c r="Q377" s="631"/>
      <c r="R377" s="631"/>
    </row>
    <row r="378" spans="2:18" x14ac:dyDescent="0.45">
      <c r="B378" s="580"/>
      <c r="C378" s="734" t="s">
        <v>388</v>
      </c>
      <c r="D378" s="723">
        <f>(E356-SUM(E357:E364))/E356</f>
        <v>0.17597066197628311</v>
      </c>
      <c r="E378" s="734"/>
      <c r="F378" s="734"/>
      <c r="G378" s="527">
        <f>(G356-SUM(G357:G361))/G356</f>
        <v>0.22823542834652444</v>
      </c>
      <c r="H378" s="734"/>
      <c r="I378" s="595"/>
      <c r="J378" s="631"/>
      <c r="K378" s="631"/>
      <c r="L378" s="631"/>
      <c r="M378" s="631"/>
      <c r="N378" s="631"/>
      <c r="O378" s="631"/>
      <c r="P378" s="631"/>
      <c r="Q378" s="631"/>
      <c r="R378" s="631"/>
    </row>
    <row r="379" spans="2:18" x14ac:dyDescent="0.45">
      <c r="B379" s="511"/>
      <c r="C379" s="528" t="s">
        <v>251</v>
      </c>
      <c r="D379" s="1041">
        <f>(D356-SUM(D357:D364))/D356</f>
        <v>3.9668700756105069E-2</v>
      </c>
      <c r="E379" s="528"/>
      <c r="F379" s="528"/>
      <c r="G379" s="529">
        <f>(G356-SUM(G357:G364))/G356</f>
        <v>8.8852743837844181E-2</v>
      </c>
      <c r="H379" s="528"/>
      <c r="I379" s="513"/>
      <c r="J379" s="631"/>
      <c r="K379" s="631"/>
      <c r="L379" s="631"/>
      <c r="M379" s="631"/>
      <c r="N379" s="631"/>
      <c r="O379" s="631"/>
      <c r="P379" s="631"/>
      <c r="Q379" s="631"/>
      <c r="R379" s="631"/>
    </row>
    <row r="380" spans="2:18" x14ac:dyDescent="0.45">
      <c r="B380" s="631"/>
      <c r="C380" s="631"/>
      <c r="D380" s="631"/>
      <c r="E380" s="631"/>
      <c r="F380" s="631"/>
      <c r="G380" s="631"/>
      <c r="H380" s="631"/>
      <c r="I380" s="631"/>
      <c r="J380" s="631"/>
      <c r="K380" s="631"/>
      <c r="L380" s="631"/>
      <c r="M380" s="631"/>
      <c r="N380" s="631"/>
      <c r="O380" s="631"/>
      <c r="P380" s="631"/>
      <c r="Q380" s="631"/>
      <c r="R380" s="631"/>
    </row>
    <row r="382" spans="2:18" x14ac:dyDescent="0.45">
      <c r="L382" s="521"/>
    </row>
  </sheetData>
  <mergeCells count="3">
    <mergeCell ref="L28:N28"/>
    <mergeCell ref="F5:G5"/>
    <mergeCell ref="I28:K28"/>
  </mergeCells>
  <hyperlinks>
    <hyperlink ref="A4" r:id="rId1" display="dmpowell@mit.edu"/>
  </hyperlinks>
  <pageMargins left="0.7" right="0.7" top="0.75" bottom="0.75" header="0.3" footer="0.3"/>
  <pageSetup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98"/>
  <sheetViews>
    <sheetView topLeftCell="A5" zoomScale="70" zoomScaleNormal="70" workbookViewId="0">
      <selection activeCell="C58" sqref="C58"/>
    </sheetView>
  </sheetViews>
  <sheetFormatPr defaultColWidth="8.86328125" defaultRowHeight="14.25" x14ac:dyDescent="0.45"/>
  <cols>
    <col min="1" max="1" width="8.86328125" style="998"/>
    <col min="2" max="2" width="30.6640625" style="991" customWidth="1"/>
    <col min="3" max="5" width="19" style="991" customWidth="1"/>
    <col min="6" max="8" width="21.6640625" style="991" customWidth="1"/>
    <col min="9" max="24" width="19" style="991" customWidth="1"/>
    <col min="25" max="25" width="21.19921875" style="991" customWidth="1"/>
    <col min="26" max="26" width="19.19921875" style="991" customWidth="1"/>
    <col min="27" max="27" width="17.33203125" style="991" customWidth="1"/>
    <col min="28" max="28" width="16.46484375" style="991" customWidth="1"/>
    <col min="29" max="29" width="11.1328125" style="991" customWidth="1"/>
    <col min="30" max="36" width="8.86328125" style="991"/>
    <col min="37" max="37" width="12.19921875" style="991" customWidth="1"/>
    <col min="38" max="16384" width="8.86328125" style="991"/>
  </cols>
  <sheetData>
    <row r="1" spans="1:40" ht="30.75" x14ac:dyDescent="0.9">
      <c r="A1" s="637" t="s">
        <v>359</v>
      </c>
      <c r="S1" s="995"/>
      <c r="T1" s="995"/>
      <c r="U1" s="995"/>
      <c r="V1" s="995"/>
      <c r="W1" s="995"/>
      <c r="X1" s="995"/>
      <c r="Y1" s="995"/>
      <c r="Z1" s="995"/>
      <c r="AA1" s="995"/>
      <c r="AB1" s="995"/>
      <c r="AC1" s="995"/>
      <c r="AD1" s="995"/>
      <c r="AE1" s="995"/>
      <c r="AF1" s="995"/>
    </row>
    <row r="2" spans="1:40" x14ac:dyDescent="0.45">
      <c r="A2" s="1025" t="str">
        <f>Cover!A2</f>
        <v>Jan 2013</v>
      </c>
      <c r="S2" s="995"/>
      <c r="T2" s="995"/>
      <c r="U2" s="995"/>
      <c r="V2" s="995"/>
      <c r="W2" s="995"/>
      <c r="X2" s="995"/>
      <c r="Y2" s="995"/>
      <c r="Z2" s="995"/>
      <c r="AA2" s="995"/>
      <c r="AB2" s="995"/>
      <c r="AC2" s="995"/>
      <c r="AD2" s="995"/>
      <c r="AE2" s="995"/>
      <c r="AF2" s="995"/>
    </row>
    <row r="3" spans="1:40" x14ac:dyDescent="0.45">
      <c r="A3" s="992" t="s">
        <v>36</v>
      </c>
      <c r="S3" s="995"/>
      <c r="T3" s="995"/>
      <c r="U3" s="995"/>
      <c r="V3" s="995"/>
      <c r="W3" s="995"/>
      <c r="X3" s="995"/>
      <c r="Y3" s="995"/>
      <c r="Z3" s="995"/>
      <c r="AA3" s="995"/>
      <c r="AB3" s="995"/>
      <c r="AC3" s="995"/>
      <c r="AD3" s="995"/>
      <c r="AE3" s="995"/>
      <c r="AF3" s="995"/>
    </row>
    <row r="4" spans="1:40" s="811" customFormat="1" ht="13.8" customHeight="1" x14ac:dyDescent="0.45">
      <c r="A4" s="991" t="s">
        <v>137</v>
      </c>
      <c r="S4" s="536"/>
      <c r="T4" s="999"/>
      <c r="U4" s="536"/>
      <c r="V4" s="536"/>
      <c r="W4" s="536"/>
      <c r="X4" s="536"/>
      <c r="Y4" s="536"/>
      <c r="Z4" s="536"/>
      <c r="AA4" s="536"/>
      <c r="AB4" s="536"/>
      <c r="AC4" s="536"/>
      <c r="AD4" s="536"/>
      <c r="AE4" s="536"/>
      <c r="AF4" s="536"/>
    </row>
    <row r="5" spans="1:40" ht="15.4" x14ac:dyDescent="0.45">
      <c r="A5" s="992"/>
      <c r="S5" s="995"/>
      <c r="T5" s="538"/>
      <c r="U5" s="995"/>
      <c r="V5" s="995"/>
      <c r="W5" s="995"/>
      <c r="X5" s="995"/>
      <c r="Y5" s="995"/>
      <c r="Z5" s="995"/>
      <c r="AA5" s="995"/>
      <c r="AB5" s="995"/>
      <c r="AC5" s="995"/>
      <c r="AD5" s="995"/>
      <c r="AE5" s="995"/>
      <c r="AF5" s="995"/>
      <c r="AK5" s="996"/>
      <c r="AL5" s="996"/>
      <c r="AM5" s="996"/>
    </row>
    <row r="6" spans="1:40" ht="28.5" x14ac:dyDescent="0.85">
      <c r="A6" s="545"/>
      <c r="B6" s="562"/>
      <c r="R6" s="543"/>
      <c r="S6" s="995"/>
      <c r="T6" s="995"/>
      <c r="U6" s="995"/>
      <c r="V6" s="995"/>
      <c r="W6" s="995"/>
      <c r="X6" s="995"/>
      <c r="Y6" s="995"/>
      <c r="Z6" s="995"/>
      <c r="AA6" s="995"/>
      <c r="AB6" s="995"/>
      <c r="AC6" s="995"/>
      <c r="AD6" s="995"/>
      <c r="AE6" s="995"/>
      <c r="AF6" s="995"/>
      <c r="AK6" s="996"/>
      <c r="AL6" s="740"/>
      <c r="AM6" s="996"/>
    </row>
    <row r="7" spans="1:40" ht="14.65" thickBot="1" x14ac:dyDescent="0.5">
      <c r="A7" s="545"/>
      <c r="B7" s="993" t="s">
        <v>335</v>
      </c>
      <c r="E7" s="461" t="s">
        <v>360</v>
      </c>
      <c r="F7" s="996"/>
      <c r="G7" s="996"/>
      <c r="S7" s="995"/>
      <c r="T7" s="995"/>
      <c r="U7" s="904"/>
      <c r="V7" s="995"/>
      <c r="W7" s="995"/>
      <c r="X7" s="995"/>
      <c r="Y7" s="995"/>
      <c r="Z7" s="995"/>
      <c r="AA7" s="995"/>
      <c r="AB7" s="995"/>
      <c r="AC7" s="995"/>
      <c r="AD7" s="995"/>
      <c r="AE7" s="995"/>
      <c r="AF7" s="995"/>
      <c r="AK7" s="996"/>
      <c r="AL7" s="740"/>
      <c r="AM7" s="996"/>
    </row>
    <row r="8" spans="1:40" x14ac:dyDescent="0.45">
      <c r="A8" s="545"/>
      <c r="B8" s="905" t="s">
        <v>40</v>
      </c>
      <c r="C8" s="906">
        <v>22</v>
      </c>
      <c r="E8" s="1009" t="s">
        <v>318</v>
      </c>
      <c r="F8" s="1010">
        <v>14</v>
      </c>
      <c r="G8" s="775"/>
      <c r="S8" s="995"/>
      <c r="T8" s="995"/>
      <c r="U8" s="995"/>
      <c r="V8" s="995"/>
      <c r="W8" s="995"/>
      <c r="X8" s="995"/>
      <c r="Y8" s="995"/>
      <c r="Z8" s="995"/>
      <c r="AA8" s="995"/>
      <c r="AB8" s="995"/>
      <c r="AC8" s="995"/>
      <c r="AD8" s="995"/>
      <c r="AE8" s="995"/>
      <c r="AF8" s="995"/>
      <c r="AG8" s="996"/>
      <c r="AH8" s="996"/>
      <c r="AK8" s="996"/>
      <c r="AL8" s="740"/>
      <c r="AM8" s="996"/>
    </row>
    <row r="9" spans="1:40" x14ac:dyDescent="0.45">
      <c r="A9" s="545"/>
      <c r="B9" s="907" t="s">
        <v>325</v>
      </c>
      <c r="C9" s="908">
        <v>0.53</v>
      </c>
      <c r="E9" s="1011" t="s">
        <v>316</v>
      </c>
      <c r="F9" s="1012" t="s">
        <v>315</v>
      </c>
      <c r="G9" s="1013" t="s">
        <v>317</v>
      </c>
      <c r="R9" s="640"/>
      <c r="S9" s="995"/>
      <c r="T9" s="533"/>
      <c r="U9" s="1002"/>
      <c r="V9" s="1002"/>
      <c r="W9" s="534"/>
      <c r="X9" s="1002"/>
      <c r="Y9" s="1002"/>
      <c r="Z9" s="1002"/>
      <c r="AA9" s="995"/>
      <c r="AB9" s="995"/>
      <c r="AC9" s="1002"/>
      <c r="AD9" s="995"/>
      <c r="AE9" s="995"/>
      <c r="AF9" s="995"/>
      <c r="AG9" s="996"/>
      <c r="AH9" s="740"/>
      <c r="AI9" s="996"/>
      <c r="AJ9" s="996"/>
    </row>
    <row r="10" spans="1:40" s="640" customFormat="1" ht="14.65" thickBot="1" x14ac:dyDescent="0.5">
      <c r="A10" s="545"/>
      <c r="B10" s="909" t="s">
        <v>324</v>
      </c>
      <c r="C10" s="910">
        <v>0</v>
      </c>
      <c r="E10" s="998">
        <v>250</v>
      </c>
      <c r="F10" s="1001">
        <f>E10*100/$F$8/1000</f>
        <v>1.7857142857142858</v>
      </c>
      <c r="G10" s="1014">
        <v>13.868105069635178</v>
      </c>
      <c r="L10" s="991"/>
      <c r="R10" s="991"/>
      <c r="S10" s="995"/>
      <c r="T10" s="533"/>
      <c r="U10" s="1002"/>
      <c r="V10" s="1002"/>
      <c r="W10" s="534"/>
      <c r="X10" s="1002"/>
      <c r="Y10" s="1002"/>
      <c r="Z10" s="1002"/>
      <c r="AA10" s="995"/>
      <c r="AB10" s="801"/>
      <c r="AC10" s="1002"/>
      <c r="AD10" s="995"/>
      <c r="AE10" s="995"/>
      <c r="AF10" s="995"/>
      <c r="AG10" s="996"/>
      <c r="AH10" s="741"/>
      <c r="AI10" s="648"/>
      <c r="AJ10" s="648"/>
    </row>
    <row r="11" spans="1:40" x14ac:dyDescent="0.45">
      <c r="A11" s="545"/>
      <c r="E11" s="998">
        <v>125</v>
      </c>
      <c r="F11" s="1001">
        <f>E11*100/$F$8/1000</f>
        <v>0.8928571428571429</v>
      </c>
      <c r="G11" s="1014">
        <v>40.138552534817592</v>
      </c>
      <c r="Q11" s="1002"/>
      <c r="R11" s="1002"/>
      <c r="AJ11" s="996"/>
      <c r="AK11" s="996"/>
      <c r="AL11" s="996"/>
      <c r="AM11" s="996"/>
      <c r="AN11" s="996"/>
    </row>
    <row r="12" spans="1:40" ht="14.65" thickBot="1" x14ac:dyDescent="0.5">
      <c r="A12" s="545"/>
      <c r="B12" s="999" t="s">
        <v>336</v>
      </c>
      <c r="E12" s="998">
        <v>0</v>
      </c>
      <c r="F12" s="1001">
        <f>E12*100/$F$8/1000</f>
        <v>0</v>
      </c>
      <c r="G12" s="1014">
        <v>66.40900000000002</v>
      </c>
      <c r="Q12" s="1002"/>
      <c r="R12" s="1002"/>
      <c r="AJ12" s="996"/>
      <c r="AK12" s="996"/>
      <c r="AL12" s="996"/>
      <c r="AM12" s="996"/>
      <c r="AN12" s="996"/>
    </row>
    <row r="13" spans="1:40" x14ac:dyDescent="0.45">
      <c r="A13" s="545"/>
      <c r="B13" s="911" t="s">
        <v>323</v>
      </c>
      <c r="C13" s="912">
        <v>1.0626916711423207</v>
      </c>
      <c r="E13" s="998"/>
      <c r="F13" s="1001"/>
      <c r="G13" s="1014"/>
      <c r="Q13" s="1002"/>
      <c r="AJ13" s="996"/>
      <c r="AK13" s="996"/>
      <c r="AL13" s="996"/>
      <c r="AM13" s="996"/>
      <c r="AN13" s="996"/>
    </row>
    <row r="14" spans="1:40" ht="14.65" thickBot="1" x14ac:dyDescent="0.5">
      <c r="A14" s="545"/>
      <c r="B14" s="913" t="s">
        <v>317</v>
      </c>
      <c r="C14" s="914">
        <v>104.35700000000001</v>
      </c>
      <c r="E14" s="1009" t="s">
        <v>318</v>
      </c>
      <c r="F14" s="1010">
        <v>16</v>
      </c>
      <c r="G14" s="1015"/>
      <c r="Q14" s="549"/>
      <c r="AJ14" s="996"/>
      <c r="AK14" s="996"/>
      <c r="AL14" s="996"/>
      <c r="AM14" s="996"/>
      <c r="AN14" s="996"/>
    </row>
    <row r="15" spans="1:40" x14ac:dyDescent="0.45">
      <c r="A15" s="545"/>
      <c r="E15" s="1011" t="s">
        <v>316</v>
      </c>
      <c r="F15" s="1012" t="s">
        <v>315</v>
      </c>
      <c r="G15" s="1016" t="s">
        <v>317</v>
      </c>
      <c r="Q15" s="995"/>
      <c r="AJ15" s="996"/>
      <c r="AK15" s="996"/>
      <c r="AL15" s="996"/>
      <c r="AM15" s="996"/>
      <c r="AN15" s="996"/>
    </row>
    <row r="16" spans="1:40" x14ac:dyDescent="0.45">
      <c r="A16" s="545"/>
      <c r="E16" s="998">
        <v>250</v>
      </c>
      <c r="F16" s="1001">
        <f>E16*100/$F$14/1000</f>
        <v>1.5625</v>
      </c>
      <c r="G16" s="1014">
        <v>23.355105069635183</v>
      </c>
      <c r="O16" s="995"/>
      <c r="P16" s="995"/>
      <c r="Q16" s="995"/>
      <c r="AJ16" s="996"/>
      <c r="AK16" s="996"/>
      <c r="AL16" s="996"/>
      <c r="AM16" s="996"/>
      <c r="AN16" s="996"/>
    </row>
    <row r="17" spans="1:51" x14ac:dyDescent="0.45">
      <c r="A17" s="545"/>
      <c r="E17" s="998">
        <v>125</v>
      </c>
      <c r="F17" s="1001">
        <f>E17*100/$F$14/1000</f>
        <v>0.78125</v>
      </c>
      <c r="G17" s="1014">
        <v>49.625552534817608</v>
      </c>
      <c r="O17" s="995"/>
      <c r="P17" s="995"/>
      <c r="Q17" s="995"/>
      <c r="AJ17" s="996"/>
      <c r="AK17" s="996"/>
      <c r="AL17" s="996"/>
      <c r="AM17" s="996"/>
      <c r="AN17" s="996"/>
    </row>
    <row r="18" spans="1:51" x14ac:dyDescent="0.45">
      <c r="A18" s="545"/>
      <c r="E18" s="998">
        <v>0</v>
      </c>
      <c r="F18" s="1001">
        <f>E18*100/$F$14/1000</f>
        <v>0</v>
      </c>
      <c r="G18" s="1014">
        <v>75.896000000000015</v>
      </c>
      <c r="O18" s="995"/>
      <c r="P18" s="995"/>
      <c r="Q18" s="995"/>
      <c r="AJ18" s="996"/>
      <c r="AK18" s="996"/>
      <c r="AL18" s="996"/>
      <c r="AM18" s="996"/>
      <c r="AN18" s="996"/>
    </row>
    <row r="19" spans="1:51" ht="15" customHeight="1" x14ac:dyDescent="0.45">
      <c r="A19" s="545"/>
      <c r="E19" s="998"/>
      <c r="F19" s="996"/>
      <c r="G19" s="1014"/>
      <c r="O19" s="995"/>
      <c r="P19" s="995"/>
      <c r="Q19" s="995"/>
      <c r="AJ19" s="996"/>
      <c r="AK19" s="996"/>
      <c r="AL19" s="996"/>
      <c r="AM19" s="996"/>
      <c r="AN19" s="996"/>
    </row>
    <row r="20" spans="1:51" x14ac:dyDescent="0.45">
      <c r="A20" s="545"/>
      <c r="E20" s="1009" t="s">
        <v>318</v>
      </c>
      <c r="F20" s="1010">
        <v>18</v>
      </c>
      <c r="G20" s="1015"/>
      <c r="O20" s="1002"/>
      <c r="P20" s="995"/>
      <c r="Q20" s="995"/>
      <c r="AJ20" s="996"/>
      <c r="AK20" s="996"/>
      <c r="AL20" s="996"/>
      <c r="AM20" s="996"/>
      <c r="AN20" s="996"/>
    </row>
    <row r="21" spans="1:51" x14ac:dyDescent="0.45">
      <c r="A21" s="545"/>
      <c r="E21" s="1011" t="s">
        <v>316</v>
      </c>
      <c r="F21" s="1012" t="s">
        <v>315</v>
      </c>
      <c r="G21" s="1016" t="s">
        <v>317</v>
      </c>
      <c r="O21" s="639"/>
      <c r="P21" s="995"/>
      <c r="Q21" s="995"/>
      <c r="AJ21" s="996"/>
      <c r="AK21" s="996"/>
      <c r="AL21" s="996"/>
      <c r="AM21" s="996"/>
      <c r="AN21" s="996"/>
    </row>
    <row r="22" spans="1:51" x14ac:dyDescent="0.45">
      <c r="A22" s="545"/>
      <c r="E22" s="998">
        <v>250</v>
      </c>
      <c r="F22" s="1001">
        <f>E22*100/$F$20/1000</f>
        <v>1.3888888888888888</v>
      </c>
      <c r="G22" s="1014">
        <v>32.842105069635075</v>
      </c>
      <c r="O22" s="639"/>
      <c r="P22" s="995"/>
      <c r="Q22" s="995"/>
      <c r="AJ22" s="996"/>
      <c r="AK22" s="996"/>
      <c r="AL22" s="996"/>
      <c r="AM22" s="996"/>
      <c r="AN22" s="996"/>
    </row>
    <row r="23" spans="1:51" x14ac:dyDescent="0.45">
      <c r="A23" s="545"/>
      <c r="E23" s="998">
        <v>125</v>
      </c>
      <c r="F23" s="1001">
        <f>E23*100/$F$20/1000</f>
        <v>0.69444444444444442</v>
      </c>
      <c r="G23" s="1014">
        <v>59.112552534817567</v>
      </c>
      <c r="O23" s="639"/>
      <c r="P23" s="995"/>
      <c r="Q23" s="995"/>
      <c r="AJ23" s="996"/>
      <c r="AK23" s="996"/>
      <c r="AL23" s="996"/>
      <c r="AM23" s="996"/>
      <c r="AN23" s="996"/>
    </row>
    <row r="24" spans="1:51" x14ac:dyDescent="0.45">
      <c r="A24" s="545"/>
      <c r="E24" s="998">
        <v>0</v>
      </c>
      <c r="F24" s="1001">
        <f>E24*100/$F$20/1000</f>
        <v>0</v>
      </c>
      <c r="G24" s="1014">
        <v>85.38300000000001</v>
      </c>
      <c r="O24" s="639"/>
      <c r="P24" s="995"/>
      <c r="Q24" s="995"/>
      <c r="AJ24" s="996"/>
      <c r="AK24" s="996"/>
      <c r="AL24" s="996"/>
      <c r="AM24" s="996"/>
      <c r="AN24" s="996"/>
    </row>
    <row r="25" spans="1:51" x14ac:dyDescent="0.45">
      <c r="A25" s="545"/>
      <c r="E25" s="998"/>
      <c r="F25" s="996"/>
      <c r="G25" s="1014"/>
      <c r="O25" s="639"/>
      <c r="P25" s="995"/>
      <c r="Q25" s="995"/>
      <c r="AJ25" s="996"/>
      <c r="AK25" s="996"/>
      <c r="AL25" s="996"/>
      <c r="AM25" s="996"/>
      <c r="AN25" s="996"/>
    </row>
    <row r="26" spans="1:51" x14ac:dyDescent="0.45">
      <c r="A26" s="545"/>
      <c r="E26" s="1009" t="s">
        <v>318</v>
      </c>
      <c r="F26" s="1010">
        <v>20</v>
      </c>
      <c r="G26" s="1015"/>
      <c r="O26" s="639"/>
      <c r="P26" s="995"/>
      <c r="Q26" s="995"/>
      <c r="AJ26" s="996"/>
      <c r="AK26" s="996"/>
      <c r="AL26" s="996"/>
      <c r="AM26" s="996"/>
      <c r="AN26" s="996"/>
    </row>
    <row r="27" spans="1:51" x14ac:dyDescent="0.45">
      <c r="A27" s="545"/>
      <c r="E27" s="1011" t="s">
        <v>316</v>
      </c>
      <c r="F27" s="1012" t="s">
        <v>315</v>
      </c>
      <c r="G27" s="1016" t="s">
        <v>317</v>
      </c>
      <c r="O27" s="639"/>
      <c r="P27" s="995"/>
      <c r="Q27" s="995"/>
      <c r="AJ27" s="996"/>
      <c r="AK27" s="996"/>
      <c r="AL27" s="996"/>
      <c r="AM27" s="996"/>
      <c r="AN27" s="996"/>
    </row>
    <row r="28" spans="1:51" x14ac:dyDescent="0.45">
      <c r="A28" s="545"/>
      <c r="E28" s="998">
        <v>250</v>
      </c>
      <c r="F28" s="1001">
        <f>E28*100/$F$26/1000</f>
        <v>1.25</v>
      </c>
      <c r="G28" s="1014">
        <v>42.329105069635176</v>
      </c>
      <c r="O28" s="639"/>
      <c r="P28" s="995"/>
      <c r="Q28" s="995"/>
      <c r="Z28" s="995"/>
      <c r="AA28" s="995"/>
      <c r="AB28" s="995"/>
      <c r="AC28" s="873"/>
      <c r="AD28" s="873"/>
      <c r="AE28" s="872"/>
      <c r="AG28" s="996"/>
      <c r="AH28" s="996"/>
      <c r="AI28" s="996"/>
      <c r="AJ28" s="996"/>
      <c r="AK28" s="996"/>
      <c r="AL28" s="996"/>
      <c r="AM28" s="996"/>
      <c r="AN28" s="996"/>
    </row>
    <row r="29" spans="1:51" x14ac:dyDescent="0.45">
      <c r="A29" s="545"/>
      <c r="E29" s="998">
        <v>125</v>
      </c>
      <c r="F29" s="1001">
        <f>E29*100/$F$26/1000</f>
        <v>0.625</v>
      </c>
      <c r="G29" s="1014">
        <v>68.599552534817562</v>
      </c>
      <c r="O29" s="639"/>
      <c r="P29" s="995"/>
      <c r="Q29" s="995"/>
      <c r="Z29" s="995"/>
      <c r="AA29" s="995"/>
      <c r="AB29" s="995"/>
      <c r="AC29" s="741"/>
      <c r="AD29" s="993"/>
      <c r="AE29" s="993"/>
      <c r="AF29" s="364"/>
      <c r="AG29" s="996"/>
      <c r="AH29" s="996"/>
      <c r="AI29" s="996"/>
      <c r="AJ29" s="996"/>
      <c r="AK29" s="996"/>
      <c r="AL29" s="996"/>
      <c r="AM29" s="996"/>
      <c r="AN29" s="996"/>
    </row>
    <row r="30" spans="1:51" x14ac:dyDescent="0.45">
      <c r="A30" s="545"/>
      <c r="E30" s="998">
        <v>0</v>
      </c>
      <c r="F30" s="1001">
        <f>E30*100/$F$26/1000</f>
        <v>0</v>
      </c>
      <c r="G30" s="1014">
        <v>94.87</v>
      </c>
      <c r="O30" s="639"/>
      <c r="P30" s="995"/>
      <c r="Q30" s="995"/>
      <c r="Z30" s="995"/>
      <c r="AA30" s="995"/>
      <c r="AB30" s="995"/>
      <c r="AC30" s="874"/>
      <c r="AE30" s="543"/>
      <c r="AF30" s="543"/>
      <c r="AG30" s="996"/>
      <c r="AH30" s="996"/>
      <c r="AI30" s="996"/>
      <c r="AJ30" s="995"/>
      <c r="AK30" s="995"/>
      <c r="AL30" s="995"/>
      <c r="AM30" s="995"/>
      <c r="AN30" s="995"/>
      <c r="AO30" s="995"/>
      <c r="AP30" s="995"/>
      <c r="AQ30" s="995"/>
      <c r="AR30" s="995"/>
      <c r="AS30" s="995"/>
      <c r="AT30" s="995"/>
      <c r="AU30" s="995"/>
      <c r="AV30" s="995"/>
      <c r="AW30" s="995"/>
      <c r="AX30" s="995"/>
      <c r="AY30" s="995"/>
    </row>
    <row r="31" spans="1:51" x14ac:dyDescent="0.45">
      <c r="A31" s="545"/>
      <c r="E31" s="998"/>
      <c r="F31" s="996"/>
      <c r="G31" s="1014"/>
      <c r="O31" s="639"/>
      <c r="P31" s="995"/>
      <c r="Q31" s="995"/>
      <c r="Z31" s="995"/>
      <c r="AA31" s="995"/>
      <c r="AB31" s="995"/>
      <c r="AE31" s="543"/>
      <c r="AF31" s="543"/>
      <c r="AG31" s="996"/>
      <c r="AH31" s="996"/>
      <c r="AI31" s="996"/>
      <c r="AJ31" s="995"/>
      <c r="AK31" s="995"/>
      <c r="AL31" s="995"/>
      <c r="AM31" s="995"/>
      <c r="AN31" s="995"/>
      <c r="AO31" s="995"/>
      <c r="AP31" s="995"/>
      <c r="AQ31" s="995"/>
      <c r="AR31" s="995"/>
      <c r="AS31" s="995"/>
      <c r="AT31" s="995"/>
      <c r="AU31" s="995"/>
      <c r="AV31" s="995"/>
      <c r="AW31" s="995"/>
      <c r="AX31" s="995"/>
      <c r="AY31" s="995"/>
    </row>
    <row r="32" spans="1:51" x14ac:dyDescent="0.45">
      <c r="A32" s="545"/>
      <c r="E32" s="1009" t="s">
        <v>318</v>
      </c>
      <c r="F32" s="1010">
        <v>22</v>
      </c>
      <c r="G32" s="1015"/>
      <c r="P32" s="639"/>
      <c r="Q32" s="995"/>
      <c r="R32" s="995"/>
      <c r="Z32" s="995"/>
      <c r="AA32" s="995"/>
      <c r="AB32" s="995"/>
      <c r="AC32" s="874"/>
      <c r="AE32" s="543"/>
      <c r="AF32" s="543"/>
      <c r="AG32" s="996"/>
      <c r="AH32" s="996"/>
      <c r="AI32" s="996"/>
      <c r="AJ32" s="995"/>
      <c r="AK32" s="995"/>
      <c r="AL32" s="995"/>
      <c r="AM32" s="995"/>
      <c r="AN32" s="995"/>
      <c r="AO32" s="995"/>
      <c r="AP32" s="995"/>
      <c r="AQ32" s="995"/>
      <c r="AR32" s="995"/>
      <c r="AS32" s="995"/>
      <c r="AT32" s="995"/>
      <c r="AU32" s="995"/>
      <c r="AV32" s="995"/>
      <c r="AW32" s="995"/>
      <c r="AX32" s="995"/>
      <c r="AY32" s="995"/>
    </row>
    <row r="33" spans="1:51" x14ac:dyDescent="0.45">
      <c r="A33" s="545"/>
      <c r="E33" s="1011" t="s">
        <v>316</v>
      </c>
      <c r="F33" s="1012" t="s">
        <v>315</v>
      </c>
      <c r="G33" s="1016" t="s">
        <v>317</v>
      </c>
      <c r="Z33" s="995"/>
      <c r="AA33" s="995"/>
      <c r="AB33" s="995"/>
      <c r="AE33" s="543"/>
      <c r="AF33" s="543"/>
      <c r="AG33" s="996"/>
      <c r="AH33" s="996"/>
      <c r="AI33" s="996"/>
      <c r="AJ33" s="995"/>
      <c r="AK33" s="995"/>
      <c r="AL33" s="995"/>
      <c r="AM33" s="995"/>
      <c r="AN33" s="995"/>
      <c r="AO33" s="995"/>
      <c r="AP33" s="995"/>
      <c r="AQ33" s="995"/>
      <c r="AR33" s="995"/>
      <c r="AS33" s="995"/>
      <c r="AT33" s="995"/>
      <c r="AU33" s="995"/>
      <c r="AV33" s="995"/>
      <c r="AW33" s="995"/>
      <c r="AX33" s="995"/>
      <c r="AY33" s="995"/>
    </row>
    <row r="34" spans="1:51" x14ac:dyDescent="0.45">
      <c r="A34" s="545"/>
      <c r="E34" s="998">
        <v>250</v>
      </c>
      <c r="F34" s="1001">
        <f>E34*100/$F$32/1000</f>
        <v>1.1363636363636362</v>
      </c>
      <c r="G34" s="1014">
        <v>51.816105069635185</v>
      </c>
      <c r="Z34" s="995"/>
      <c r="AA34" s="995"/>
      <c r="AB34" s="995"/>
      <c r="AC34" s="874"/>
      <c r="AE34" s="543"/>
      <c r="AF34" s="543"/>
      <c r="AG34" s="996"/>
      <c r="AH34" s="996"/>
      <c r="AI34" s="996"/>
      <c r="AJ34" s="995"/>
      <c r="AK34" s="995"/>
      <c r="AL34" s="995"/>
      <c r="AM34" s="995"/>
      <c r="AN34" s="995"/>
      <c r="AO34" s="995"/>
      <c r="AP34" s="995"/>
      <c r="AQ34" s="995"/>
      <c r="AR34" s="995"/>
      <c r="AS34" s="995"/>
      <c r="AT34" s="995"/>
      <c r="AU34" s="995"/>
      <c r="AV34" s="995"/>
      <c r="AW34" s="995"/>
      <c r="AX34" s="995"/>
      <c r="AY34" s="995"/>
    </row>
    <row r="35" spans="1:51" x14ac:dyDescent="0.45">
      <c r="A35" s="545"/>
      <c r="E35" s="998">
        <v>125</v>
      </c>
      <c r="F35" s="1001">
        <f>E35*100/$F$32/1000</f>
        <v>0.56818181818181812</v>
      </c>
      <c r="G35" s="1014">
        <v>78.086552534817599</v>
      </c>
      <c r="U35" s="993"/>
      <c r="Z35" s="996"/>
      <c r="AA35" s="996"/>
      <c r="AB35" s="996"/>
      <c r="AE35" s="543"/>
      <c r="AF35" s="543"/>
      <c r="AG35" s="996"/>
      <c r="AH35" s="996"/>
      <c r="AI35" s="996"/>
      <c r="AJ35" s="995"/>
      <c r="AK35" s="995"/>
      <c r="AL35" s="995"/>
      <c r="AM35" s="995"/>
      <c r="AN35" s="995"/>
      <c r="AO35" s="995"/>
      <c r="AP35" s="995"/>
      <c r="AQ35" s="995"/>
      <c r="AR35" s="995"/>
      <c r="AS35" s="995"/>
      <c r="AT35" s="995"/>
      <c r="AU35" s="995"/>
      <c r="AV35" s="995"/>
      <c r="AW35" s="995"/>
      <c r="AX35" s="995"/>
      <c r="AY35" s="995"/>
    </row>
    <row r="36" spans="1:51" x14ac:dyDescent="0.45">
      <c r="A36" s="545"/>
      <c r="B36" s="1042"/>
      <c r="E36" s="997">
        <v>0</v>
      </c>
      <c r="F36" s="769">
        <f>E36*100/$F$32/1000</f>
        <v>0</v>
      </c>
      <c r="G36" s="1017">
        <v>104.35700000000001</v>
      </c>
      <c r="Z36" s="996"/>
      <c r="AA36" s="996"/>
      <c r="AB36" s="996"/>
      <c r="AC36" s="874"/>
      <c r="AE36" s="543"/>
      <c r="AF36" s="543"/>
      <c r="AG36" s="996"/>
      <c r="AH36" s="996"/>
      <c r="AI36" s="996"/>
      <c r="AJ36" s="995"/>
      <c r="AK36" s="995"/>
      <c r="AL36" s="995"/>
      <c r="AM36" s="995"/>
      <c r="AN36" s="995"/>
      <c r="AO36" s="995"/>
      <c r="AP36" s="995"/>
      <c r="AQ36" s="995"/>
      <c r="AR36" s="995"/>
      <c r="AS36" s="995"/>
      <c r="AT36" s="995"/>
      <c r="AU36" s="995"/>
      <c r="AV36" s="995"/>
      <c r="AW36" s="995"/>
      <c r="AX36" s="995"/>
      <c r="AY36" s="995"/>
    </row>
    <row r="37" spans="1:51" x14ac:dyDescent="0.45">
      <c r="A37" s="545"/>
      <c r="O37" s="639"/>
      <c r="Z37" s="996"/>
      <c r="AA37" s="996"/>
      <c r="AB37" s="996"/>
      <c r="AE37" s="543"/>
      <c r="AF37" s="543"/>
      <c r="AG37" s="996"/>
      <c r="AH37" s="996"/>
      <c r="AI37" s="996"/>
      <c r="AJ37" s="995"/>
      <c r="AK37" s="995"/>
      <c r="AL37" s="995"/>
      <c r="AM37" s="995"/>
      <c r="AN37" s="995"/>
      <c r="AO37" s="995"/>
      <c r="AP37" s="995"/>
      <c r="AQ37" s="995"/>
      <c r="AR37" s="995"/>
      <c r="AS37" s="995"/>
      <c r="AT37" s="995"/>
      <c r="AU37" s="995"/>
      <c r="AV37" s="995"/>
      <c r="AW37" s="995"/>
      <c r="AX37" s="995"/>
      <c r="AY37" s="995"/>
    </row>
    <row r="38" spans="1:51" x14ac:dyDescent="0.45">
      <c r="A38" s="995"/>
      <c r="C38" s="999" t="s">
        <v>363</v>
      </c>
      <c r="D38" s="995"/>
      <c r="O38" s="639"/>
      <c r="Z38" s="996"/>
      <c r="AA38" s="996"/>
      <c r="AB38" s="996"/>
      <c r="AE38" s="543"/>
      <c r="AF38" s="543"/>
      <c r="AG38" s="996"/>
      <c r="AH38" s="996"/>
      <c r="AI38" s="996"/>
      <c r="AJ38" s="995"/>
      <c r="AK38" s="995"/>
      <c r="AL38" s="995"/>
      <c r="AM38" s="995"/>
      <c r="AN38" s="995"/>
      <c r="AO38" s="995"/>
      <c r="AP38" s="995"/>
      <c r="AQ38" s="995"/>
      <c r="AR38" s="995"/>
      <c r="AS38" s="995"/>
      <c r="AT38" s="995"/>
      <c r="AU38" s="995"/>
      <c r="AV38" s="995"/>
      <c r="AW38" s="995"/>
      <c r="AX38" s="995"/>
      <c r="AY38" s="995"/>
    </row>
    <row r="39" spans="1:51" x14ac:dyDescent="0.45">
      <c r="A39" s="995"/>
      <c r="B39" s="995"/>
      <c r="C39" s="1021" t="s">
        <v>361</v>
      </c>
      <c r="D39" s="1022" t="s">
        <v>40</v>
      </c>
      <c r="E39" s="1023" t="s">
        <v>315</v>
      </c>
      <c r="F39" s="1022" t="s">
        <v>316</v>
      </c>
      <c r="G39" s="1024" t="s">
        <v>317</v>
      </c>
      <c r="O39" s="639"/>
      <c r="Z39" s="996"/>
      <c r="AA39" s="996"/>
      <c r="AB39" s="996"/>
      <c r="AE39" s="543"/>
      <c r="AF39" s="543"/>
      <c r="AG39" s="996"/>
      <c r="AH39" s="996"/>
      <c r="AI39" s="996"/>
      <c r="AJ39" s="995"/>
      <c r="AK39" s="995"/>
      <c r="AL39" s="995"/>
      <c r="AM39" s="995"/>
      <c r="AN39" s="995"/>
      <c r="AO39" s="995"/>
      <c r="AP39" s="995"/>
      <c r="AQ39" s="995"/>
      <c r="AR39" s="995"/>
      <c r="AS39" s="995"/>
      <c r="AT39" s="995"/>
      <c r="AU39" s="995"/>
      <c r="AV39" s="995"/>
      <c r="AW39" s="995"/>
      <c r="AX39" s="995"/>
      <c r="AY39" s="995"/>
    </row>
    <row r="40" spans="1:51" x14ac:dyDescent="0.45">
      <c r="A40" s="995"/>
      <c r="B40" s="995"/>
      <c r="C40" s="1018" t="s">
        <v>326</v>
      </c>
      <c r="D40" s="996">
        <f>'Standard mc-Si'!C8</f>
        <v>14.8</v>
      </c>
      <c r="E40" s="639">
        <f>'Standard mc-Si'!C86</f>
        <v>0.87356408026050902</v>
      </c>
      <c r="F40" s="1001">
        <f>E40*D40/100*1000</f>
        <v>129.28748387855535</v>
      </c>
      <c r="G40" s="1014">
        <f>SUM('Standard mc-Si'!F30,'Standard mc-Si'!F32:F48)</f>
        <v>120.79163952164335</v>
      </c>
      <c r="O40" s="639"/>
      <c r="Z40" s="996"/>
      <c r="AA40" s="996"/>
      <c r="AB40" s="996"/>
      <c r="AE40" s="543"/>
      <c r="AF40" s="543"/>
      <c r="AG40" s="996"/>
      <c r="AH40" s="996"/>
      <c r="AI40" s="996"/>
      <c r="AJ40" s="995"/>
      <c r="AK40" s="995"/>
      <c r="AL40" s="995"/>
      <c r="AM40" s="995"/>
      <c r="AN40" s="995"/>
      <c r="AO40" s="995"/>
      <c r="AP40" s="995"/>
      <c r="AQ40" s="995"/>
      <c r="AR40" s="995"/>
      <c r="AS40" s="995"/>
      <c r="AT40" s="995"/>
      <c r="AU40" s="995"/>
      <c r="AV40" s="995"/>
      <c r="AW40" s="995"/>
      <c r="AX40" s="995"/>
      <c r="AY40" s="995"/>
    </row>
    <row r="41" spans="1:51" x14ac:dyDescent="0.45">
      <c r="A41" s="995"/>
      <c r="B41" s="995"/>
      <c r="C41" s="1018" t="s">
        <v>177</v>
      </c>
      <c r="D41" s="996">
        <f>'Line-of-Sight'!C8</f>
        <v>18</v>
      </c>
      <c r="E41" s="639">
        <f>'Line-of-Sight'!C86</f>
        <v>0.53114262435231552</v>
      </c>
      <c r="F41" s="1001">
        <f>E41*D41/100*1000</f>
        <v>95.605672383416803</v>
      </c>
      <c r="G41" s="1014">
        <f>SUM('Line-of-Sight'!F30,'Line-of-Sight'!F32:F48)</f>
        <v>89.94997857571316</v>
      </c>
      <c r="O41" s="639"/>
      <c r="Z41" s="996"/>
      <c r="AA41" s="996"/>
      <c r="AB41" s="996"/>
      <c r="AE41" s="543"/>
      <c r="AF41" s="543"/>
      <c r="AG41" s="996"/>
      <c r="AH41" s="996"/>
      <c r="AI41" s="996"/>
      <c r="AJ41" s="995"/>
      <c r="AK41" s="995"/>
      <c r="AL41" s="995"/>
      <c r="AM41" s="995"/>
      <c r="AN41" s="995"/>
      <c r="AO41" s="995"/>
      <c r="AP41" s="995"/>
      <c r="AQ41" s="995"/>
      <c r="AR41" s="995"/>
      <c r="AS41" s="995"/>
      <c r="AT41" s="995"/>
      <c r="AU41" s="995"/>
      <c r="AV41" s="995"/>
      <c r="AW41" s="995"/>
      <c r="AX41" s="995"/>
      <c r="AY41" s="995"/>
    </row>
    <row r="42" spans="1:51" x14ac:dyDescent="0.45">
      <c r="A42" s="995"/>
      <c r="B42" s="995"/>
      <c r="C42" s="1019" t="s">
        <v>178</v>
      </c>
      <c r="D42" s="1000">
        <f>'Advanced Concept'!C8</f>
        <v>20.5</v>
      </c>
      <c r="E42" s="1020">
        <f>'Advanced Concept'!C86</f>
        <v>0.4735074366426068</v>
      </c>
      <c r="F42" s="769">
        <f>E42*D42/100*1000</f>
        <v>97.069024511734398</v>
      </c>
      <c r="G42" s="1017">
        <f>SUM('Advanced Concept'!$F$30,'Advanced Concept'!$F$32:$F$48)</f>
        <v>68.368238531317402</v>
      </c>
      <c r="O42" s="639"/>
      <c r="Z42" s="996"/>
      <c r="AA42" s="996"/>
      <c r="AB42" s="996"/>
      <c r="AE42" s="543"/>
      <c r="AF42" s="543"/>
      <c r="AG42" s="996"/>
      <c r="AH42" s="996"/>
      <c r="AI42" s="996"/>
      <c r="AJ42" s="995"/>
      <c r="AK42" s="995"/>
      <c r="AL42" s="995"/>
      <c r="AM42" s="995"/>
      <c r="AN42" s="995"/>
      <c r="AO42" s="995"/>
      <c r="AP42" s="995"/>
      <c r="AQ42" s="995"/>
      <c r="AR42" s="995"/>
      <c r="AS42" s="995"/>
      <c r="AT42" s="995"/>
      <c r="AU42" s="995"/>
      <c r="AV42" s="995"/>
      <c r="AW42" s="995"/>
      <c r="AX42" s="995"/>
      <c r="AY42" s="995"/>
    </row>
    <row r="43" spans="1:51" x14ac:dyDescent="0.45">
      <c r="A43" s="995"/>
      <c r="B43" s="995"/>
      <c r="C43" s="703"/>
      <c r="D43" s="995"/>
      <c r="E43" s="995"/>
      <c r="F43" s="639"/>
      <c r="G43" s="996"/>
      <c r="H43" s="639"/>
      <c r="I43" s="1001"/>
      <c r="J43" s="1001"/>
      <c r="O43" s="639"/>
      <c r="Z43" s="996"/>
      <c r="AA43" s="996"/>
      <c r="AB43" s="996"/>
      <c r="AE43" s="543"/>
      <c r="AF43" s="543"/>
      <c r="AG43" s="996"/>
      <c r="AH43" s="996"/>
      <c r="AI43" s="996"/>
      <c r="AJ43" s="995"/>
      <c r="AK43" s="995"/>
      <c r="AL43" s="995"/>
      <c r="AM43" s="995"/>
      <c r="AN43" s="995"/>
      <c r="AO43" s="995"/>
      <c r="AP43" s="995"/>
      <c r="AQ43" s="995"/>
      <c r="AR43" s="995"/>
      <c r="AS43" s="995"/>
      <c r="AT43" s="995"/>
      <c r="AU43" s="995"/>
      <c r="AV43" s="995"/>
      <c r="AW43" s="995"/>
      <c r="AX43" s="995"/>
      <c r="AY43" s="995"/>
    </row>
    <row r="44" spans="1:51" x14ac:dyDescent="0.45">
      <c r="A44" s="995"/>
      <c r="B44" s="995"/>
      <c r="C44" s="703"/>
      <c r="D44" s="995"/>
      <c r="E44" s="995"/>
      <c r="F44" s="639"/>
      <c r="G44" s="996"/>
      <c r="H44" s="639"/>
      <c r="I44" s="1001"/>
      <c r="J44" s="1001"/>
      <c r="O44" s="639"/>
      <c r="Z44" s="996"/>
      <c r="AA44" s="996"/>
      <c r="AB44" s="996"/>
      <c r="AE44" s="543"/>
      <c r="AF44" s="543"/>
      <c r="AG44" s="996"/>
      <c r="AH44" s="996"/>
      <c r="AI44" s="996"/>
      <c r="AJ44" s="995"/>
      <c r="AK44" s="995"/>
      <c r="AL44" s="995"/>
      <c r="AM44" s="995"/>
      <c r="AN44" s="995"/>
      <c r="AO44" s="995"/>
      <c r="AP44" s="995"/>
      <c r="AQ44" s="995"/>
      <c r="AR44" s="995"/>
      <c r="AS44" s="995"/>
      <c r="AT44" s="995"/>
      <c r="AU44" s="995"/>
      <c r="AV44" s="995"/>
      <c r="AW44" s="995"/>
      <c r="AX44" s="995"/>
      <c r="AY44" s="995"/>
    </row>
    <row r="45" spans="1:51" x14ac:dyDescent="0.45">
      <c r="A45" s="995"/>
      <c r="B45" s="995"/>
      <c r="C45" s="703"/>
      <c r="D45" s="995"/>
      <c r="E45" s="995"/>
      <c r="F45" s="639"/>
      <c r="G45" s="996"/>
      <c r="H45" s="639"/>
      <c r="I45" s="1001"/>
      <c r="J45" s="1001"/>
      <c r="O45" s="639"/>
      <c r="Z45" s="996"/>
      <c r="AA45" s="996"/>
      <c r="AB45" s="996"/>
      <c r="AE45" s="543"/>
      <c r="AF45" s="543"/>
      <c r="AG45" s="996"/>
      <c r="AH45" s="996"/>
      <c r="AI45" s="996"/>
      <c r="AJ45" s="995"/>
      <c r="AK45" s="995"/>
      <c r="AL45" s="995"/>
      <c r="AM45" s="995"/>
      <c r="AN45" s="995"/>
      <c r="AO45" s="995"/>
      <c r="AP45" s="995"/>
      <c r="AQ45" s="995"/>
      <c r="AR45" s="995"/>
      <c r="AS45" s="995"/>
      <c r="AT45" s="995"/>
      <c r="AU45" s="995"/>
      <c r="AV45" s="995"/>
      <c r="AW45" s="995"/>
      <c r="AX45" s="995"/>
      <c r="AY45" s="995"/>
    </row>
    <row r="46" spans="1:51" s="1000" customFormat="1" ht="28.5" x14ac:dyDescent="0.85">
      <c r="A46" s="759"/>
      <c r="B46" s="641" t="s">
        <v>362</v>
      </c>
      <c r="G46" s="642"/>
      <c r="Q46" s="1004"/>
      <c r="R46" s="1004"/>
      <c r="AB46" s="780"/>
    </row>
    <row r="47" spans="1:51" s="996" customFormat="1" ht="14.45" customHeight="1" x14ac:dyDescent="0.85">
      <c r="A47" s="995"/>
      <c r="B47" s="641"/>
      <c r="C47" s="1000"/>
      <c r="D47" s="1000"/>
      <c r="G47" s="994"/>
      <c r="Q47" s="1002"/>
      <c r="R47" s="1002"/>
      <c r="AB47" s="461"/>
    </row>
    <row r="48" spans="1:51" x14ac:dyDescent="0.45">
      <c r="A48" s="995"/>
      <c r="B48" s="1006" t="s">
        <v>37</v>
      </c>
      <c r="C48" s="1007" t="s">
        <v>34</v>
      </c>
      <c r="D48" s="1008" t="s">
        <v>38</v>
      </c>
      <c r="E48" s="995"/>
      <c r="F48" s="639"/>
      <c r="G48" s="996"/>
      <c r="H48" s="639"/>
      <c r="I48" s="1001"/>
      <c r="J48" s="1001"/>
      <c r="O48" s="639"/>
      <c r="Z48" s="996"/>
      <c r="AA48" s="996"/>
      <c r="AB48" s="996"/>
      <c r="AE48" s="543"/>
      <c r="AF48" s="543"/>
      <c r="AG48" s="996"/>
      <c r="AH48" s="996"/>
      <c r="AI48" s="996"/>
      <c r="AJ48" s="995"/>
      <c r="AK48" s="995"/>
      <c r="AL48" s="995"/>
      <c r="AM48" s="995"/>
      <c r="AN48" s="995"/>
      <c r="AO48" s="995"/>
      <c r="AP48" s="995"/>
      <c r="AQ48" s="995"/>
      <c r="AR48" s="995"/>
      <c r="AS48" s="995"/>
      <c r="AT48" s="995"/>
      <c r="AU48" s="995"/>
      <c r="AV48" s="995"/>
      <c r="AW48" s="995"/>
      <c r="AX48" s="995"/>
      <c r="AY48" s="995"/>
    </row>
    <row r="49" spans="1:51" x14ac:dyDescent="0.45">
      <c r="A49" s="995"/>
      <c r="B49" s="997" t="s">
        <v>33</v>
      </c>
      <c r="C49" s="997">
        <f>C8</f>
        <v>22</v>
      </c>
      <c r="D49" s="1005" t="s">
        <v>0</v>
      </c>
      <c r="E49" s="995"/>
      <c r="F49" s="639"/>
      <c r="G49" s="996"/>
      <c r="H49" s="639"/>
      <c r="I49" s="1001"/>
      <c r="J49" s="1001"/>
      <c r="O49" s="639"/>
      <c r="Z49" s="996"/>
      <c r="AA49" s="996"/>
      <c r="AB49" s="996"/>
      <c r="AE49" s="543"/>
      <c r="AF49" s="543"/>
      <c r="AG49" s="996"/>
      <c r="AH49" s="996"/>
      <c r="AI49" s="996"/>
      <c r="AJ49" s="995"/>
      <c r="AK49" s="995"/>
      <c r="AL49" s="995"/>
      <c r="AM49" s="995"/>
      <c r="AN49" s="995"/>
      <c r="AO49" s="995"/>
      <c r="AP49" s="995"/>
      <c r="AQ49" s="995"/>
      <c r="AR49" s="995"/>
      <c r="AS49" s="995"/>
      <c r="AT49" s="995"/>
      <c r="AU49" s="995"/>
      <c r="AV49" s="995"/>
      <c r="AW49" s="995"/>
      <c r="AX49" s="995"/>
      <c r="AY49" s="995"/>
    </row>
    <row r="50" spans="1:51" x14ac:dyDescent="0.45">
      <c r="A50" s="995"/>
      <c r="E50" s="995"/>
      <c r="F50" s="639"/>
      <c r="G50" s="996"/>
      <c r="H50" s="639"/>
      <c r="I50" s="1001"/>
      <c r="J50" s="1001"/>
      <c r="O50" s="639"/>
      <c r="Z50" s="996"/>
      <c r="AA50" s="996"/>
      <c r="AB50" s="996"/>
      <c r="AE50" s="543"/>
      <c r="AF50" s="543"/>
      <c r="AG50" s="996"/>
      <c r="AH50" s="996"/>
      <c r="AI50" s="996"/>
      <c r="AJ50" s="995"/>
      <c r="AK50" s="995"/>
      <c r="AL50" s="995"/>
      <c r="AM50" s="995"/>
      <c r="AN50" s="995"/>
      <c r="AO50" s="995"/>
      <c r="AP50" s="995"/>
      <c r="AQ50" s="995"/>
      <c r="AR50" s="995"/>
      <c r="AS50" s="995"/>
      <c r="AT50" s="995"/>
      <c r="AU50" s="995"/>
      <c r="AV50" s="995"/>
      <c r="AW50" s="995"/>
      <c r="AX50" s="995"/>
      <c r="AY50" s="995"/>
    </row>
    <row r="51" spans="1:51" x14ac:dyDescent="0.45">
      <c r="A51" s="995"/>
      <c r="B51" s="771" t="s">
        <v>166</v>
      </c>
      <c r="C51" s="770"/>
      <c r="D51" s="772"/>
      <c r="E51" s="995"/>
      <c r="F51" s="639"/>
      <c r="G51" s="996"/>
      <c r="H51" s="639"/>
      <c r="I51" s="1001"/>
      <c r="J51" s="1001"/>
      <c r="O51" s="639"/>
      <c r="Z51" s="996"/>
      <c r="AA51" s="996"/>
      <c r="AB51" s="996"/>
      <c r="AE51" s="543"/>
      <c r="AF51" s="543"/>
      <c r="AG51" s="996"/>
      <c r="AH51" s="996"/>
      <c r="AI51" s="996"/>
      <c r="AJ51" s="995"/>
      <c r="AK51" s="995"/>
      <c r="AL51" s="995"/>
      <c r="AM51" s="995"/>
      <c r="AN51" s="995"/>
      <c r="AO51" s="995"/>
      <c r="AP51" s="995"/>
      <c r="AQ51" s="995"/>
      <c r="AR51" s="995"/>
      <c r="AS51" s="995"/>
      <c r="AT51" s="995"/>
      <c r="AU51" s="995"/>
      <c r="AV51" s="995"/>
      <c r="AW51" s="995"/>
      <c r="AX51" s="995"/>
      <c r="AY51" s="995"/>
    </row>
    <row r="52" spans="1:51" x14ac:dyDescent="0.45">
      <c r="A52" s="995"/>
      <c r="B52" s="773" t="s">
        <v>94</v>
      </c>
      <c r="C52" s="774">
        <v>72</v>
      </c>
      <c r="D52" s="775" t="s">
        <v>96</v>
      </c>
      <c r="E52" s="995"/>
      <c r="F52" s="639"/>
      <c r="G52" s="996"/>
      <c r="H52" s="639"/>
      <c r="I52" s="1001"/>
      <c r="J52" s="1001"/>
      <c r="O52" s="639"/>
      <c r="Z52" s="996"/>
      <c r="AA52" s="996"/>
      <c r="AB52" s="996"/>
      <c r="AE52" s="543"/>
      <c r="AF52" s="543"/>
      <c r="AG52" s="996"/>
      <c r="AH52" s="996"/>
      <c r="AI52" s="996"/>
      <c r="AJ52" s="995"/>
      <c r="AK52" s="995"/>
      <c r="AL52" s="995"/>
      <c r="AM52" s="995"/>
      <c r="AN52" s="995"/>
      <c r="AO52" s="995"/>
      <c r="AP52" s="995"/>
      <c r="AQ52" s="995"/>
      <c r="AR52" s="995"/>
      <c r="AS52" s="995"/>
      <c r="AT52" s="995"/>
      <c r="AU52" s="995"/>
      <c r="AV52" s="995"/>
      <c r="AW52" s="995"/>
      <c r="AX52" s="995"/>
      <c r="AY52" s="995"/>
    </row>
    <row r="53" spans="1:51" x14ac:dyDescent="0.45">
      <c r="A53" s="995"/>
      <c r="B53" s="998" t="s">
        <v>93</v>
      </c>
      <c r="C53" s="996">
        <v>89</v>
      </c>
      <c r="D53" s="1003" t="s">
        <v>0</v>
      </c>
      <c r="E53" s="995"/>
      <c r="F53" s="639"/>
      <c r="G53" s="996"/>
      <c r="H53" s="639"/>
      <c r="I53" s="1001"/>
      <c r="J53" s="1001"/>
      <c r="O53" s="639"/>
      <c r="Z53" s="996"/>
      <c r="AA53" s="996"/>
      <c r="AB53" s="996"/>
      <c r="AE53" s="543"/>
      <c r="AF53" s="543"/>
      <c r="AG53" s="996"/>
      <c r="AH53" s="996"/>
      <c r="AI53" s="996"/>
      <c r="AJ53" s="995"/>
      <c r="AK53" s="995"/>
      <c r="AL53" s="995"/>
      <c r="AM53" s="995"/>
      <c r="AN53" s="995"/>
      <c r="AO53" s="995"/>
      <c r="AP53" s="995"/>
      <c r="AQ53" s="995"/>
      <c r="AR53" s="995"/>
      <c r="AS53" s="995"/>
      <c r="AT53" s="995"/>
      <c r="AU53" s="995"/>
      <c r="AV53" s="995"/>
      <c r="AW53" s="995"/>
      <c r="AX53" s="995"/>
      <c r="AY53" s="995"/>
    </row>
    <row r="54" spans="1:51" x14ac:dyDescent="0.45">
      <c r="A54" s="995"/>
      <c r="B54" s="545" t="s">
        <v>396</v>
      </c>
      <c r="C54" s="1001">
        <f>C52*0.156^2/(C53/100)</f>
        <v>1.9687550561797753</v>
      </c>
      <c r="D54" s="1003" t="s">
        <v>95</v>
      </c>
      <c r="E54" s="995"/>
      <c r="F54" s="639"/>
      <c r="G54" s="996"/>
      <c r="H54" s="639"/>
      <c r="I54" s="1001"/>
      <c r="J54" s="1001"/>
      <c r="O54" s="639"/>
      <c r="Z54" s="996"/>
      <c r="AA54" s="996"/>
      <c r="AB54" s="996"/>
      <c r="AE54" s="543"/>
      <c r="AF54" s="543"/>
      <c r="AG54" s="996"/>
      <c r="AH54" s="996"/>
      <c r="AI54" s="996"/>
      <c r="AJ54" s="995"/>
      <c r="AK54" s="995"/>
      <c r="AL54" s="995"/>
      <c r="AM54" s="995"/>
      <c r="AN54" s="995"/>
      <c r="AO54" s="995"/>
      <c r="AP54" s="995"/>
      <c r="AQ54" s="995"/>
      <c r="AR54" s="995"/>
      <c r="AS54" s="995"/>
      <c r="AT54" s="995"/>
      <c r="AU54" s="995"/>
      <c r="AV54" s="995"/>
      <c r="AW54" s="995"/>
      <c r="AX54" s="995"/>
      <c r="AY54" s="995"/>
    </row>
    <row r="55" spans="1:51" x14ac:dyDescent="0.45">
      <c r="A55" s="995"/>
      <c r="B55" s="759" t="s">
        <v>97</v>
      </c>
      <c r="C55" s="769">
        <f>C54*1000*$C$49/100</f>
        <v>433.12611235955052</v>
      </c>
      <c r="D55" s="758" t="s">
        <v>174</v>
      </c>
      <c r="E55" s="995"/>
      <c r="F55" s="639"/>
      <c r="G55" s="996"/>
      <c r="H55" s="639"/>
      <c r="I55" s="1001"/>
      <c r="J55" s="1001"/>
      <c r="O55" s="639"/>
      <c r="Z55" s="996"/>
      <c r="AA55" s="996"/>
      <c r="AB55" s="996"/>
      <c r="AE55" s="543"/>
      <c r="AF55" s="543"/>
      <c r="AG55" s="996"/>
      <c r="AH55" s="996"/>
      <c r="AI55" s="996"/>
      <c r="AJ55" s="995"/>
      <c r="AK55" s="995"/>
      <c r="AL55" s="995"/>
      <c r="AM55" s="995"/>
      <c r="AN55" s="995"/>
      <c r="AO55" s="995"/>
      <c r="AP55" s="995"/>
      <c r="AQ55" s="995"/>
      <c r="AR55" s="995"/>
      <c r="AS55" s="995"/>
      <c r="AT55" s="995"/>
      <c r="AU55" s="995"/>
      <c r="AV55" s="995"/>
      <c r="AW55" s="995"/>
      <c r="AX55" s="995"/>
      <c r="AY55" s="995"/>
    </row>
    <row r="56" spans="1:51" x14ac:dyDescent="0.45">
      <c r="A56" s="992"/>
      <c r="B56" s="995"/>
      <c r="C56" s="703"/>
      <c r="D56" s="995"/>
      <c r="E56" s="996"/>
      <c r="F56" s="996"/>
      <c r="G56" s="996"/>
      <c r="H56" s="996"/>
      <c r="I56" s="996"/>
      <c r="J56" s="996"/>
      <c r="K56" s="996"/>
      <c r="L56" s="996"/>
      <c r="M56" s="996"/>
      <c r="N56" s="996"/>
      <c r="O56" s="996"/>
      <c r="U56" s="996"/>
      <c r="Z56" s="996"/>
      <c r="AA56" s="996"/>
      <c r="AB56" s="996"/>
      <c r="AC56" s="996"/>
      <c r="AD56" s="996"/>
      <c r="AE56" s="996"/>
      <c r="AF56" s="996"/>
      <c r="AG56" s="996"/>
      <c r="AH56" s="996"/>
      <c r="AI56" s="996"/>
    </row>
    <row r="57" spans="1:51" x14ac:dyDescent="0.45">
      <c r="A57" s="992"/>
      <c r="B57" s="1034" t="s">
        <v>127</v>
      </c>
      <c r="C57" s="350"/>
      <c r="D57" s="350"/>
      <c r="E57" s="350"/>
      <c r="F57" s="350"/>
      <c r="G57" s="350"/>
      <c r="H57" s="350"/>
      <c r="I57" s="350"/>
      <c r="J57" s="350"/>
      <c r="K57" s="350"/>
      <c r="L57" s="350"/>
      <c r="M57" s="350"/>
      <c r="N57" s="350"/>
      <c r="O57" s="350"/>
      <c r="P57" s="350"/>
      <c r="Q57" s="350"/>
      <c r="R57" s="350"/>
      <c r="S57" s="350"/>
      <c r="T57" s="350"/>
      <c r="U57" s="350"/>
      <c r="V57" s="350"/>
      <c r="W57" s="350"/>
      <c r="X57" s="1035"/>
      <c r="Z57" s="996"/>
      <c r="AA57" s="996"/>
      <c r="AB57" s="996"/>
      <c r="AC57" s="996"/>
      <c r="AD57" s="996"/>
      <c r="AE57" s="996"/>
      <c r="AF57" s="996"/>
      <c r="AG57" s="996"/>
      <c r="AH57" s="996"/>
      <c r="AI57" s="996"/>
    </row>
    <row r="58" spans="1:51" x14ac:dyDescent="0.45">
      <c r="A58" s="992"/>
      <c r="B58" s="344" t="s">
        <v>147</v>
      </c>
      <c r="C58" s="347">
        <v>400</v>
      </c>
      <c r="D58" s="345" t="s">
        <v>18</v>
      </c>
      <c r="E58" s="345"/>
      <c r="F58" s="345"/>
      <c r="G58" s="345"/>
      <c r="H58" s="345"/>
      <c r="I58" s="345"/>
      <c r="J58" s="345"/>
      <c r="K58" s="352"/>
      <c r="L58" s="345"/>
      <c r="M58" s="345"/>
      <c r="N58" s="345"/>
      <c r="O58" s="345"/>
      <c r="P58" s="345"/>
      <c r="Q58" s="345"/>
      <c r="R58" s="345"/>
      <c r="S58" s="345"/>
      <c r="T58" s="345"/>
      <c r="U58" s="345"/>
      <c r="V58" s="345"/>
      <c r="W58" s="345"/>
      <c r="X58" s="346"/>
      <c r="AB58" s="648"/>
      <c r="AC58" s="996"/>
      <c r="AD58" s="996"/>
      <c r="AE58" s="996"/>
      <c r="AF58" s="996"/>
      <c r="AG58" s="996"/>
      <c r="AH58" s="996"/>
      <c r="AI58" s="996"/>
    </row>
    <row r="59" spans="1:51" x14ac:dyDescent="0.45">
      <c r="A59" s="992"/>
      <c r="B59" s="344" t="s">
        <v>168</v>
      </c>
      <c r="C59" s="351">
        <v>2.1999999999999999E-2</v>
      </c>
      <c r="D59" s="345" t="s">
        <v>0</v>
      </c>
      <c r="E59" s="345"/>
      <c r="F59" s="345"/>
      <c r="G59" s="345"/>
      <c r="H59" s="345"/>
      <c r="I59" s="345"/>
      <c r="J59" s="345"/>
      <c r="K59" s="352"/>
      <c r="L59" s="345"/>
      <c r="M59" s="345"/>
      <c r="N59" s="345"/>
      <c r="O59" s="345"/>
      <c r="P59" s="345"/>
      <c r="Q59" s="345"/>
      <c r="R59" s="345"/>
      <c r="S59" s="345"/>
      <c r="T59" s="345"/>
      <c r="U59" s="345"/>
      <c r="V59" s="345"/>
      <c r="W59" s="345"/>
      <c r="X59" s="346"/>
      <c r="AB59" s="648"/>
      <c r="AC59" s="996"/>
      <c r="AD59" s="996"/>
      <c r="AE59" s="996"/>
      <c r="AF59" s="996"/>
      <c r="AG59" s="996"/>
      <c r="AH59" s="996"/>
      <c r="AI59" s="996"/>
    </row>
    <row r="60" spans="1:51" x14ac:dyDescent="0.45">
      <c r="A60" s="992"/>
      <c r="B60" s="344" t="s">
        <v>167</v>
      </c>
      <c r="C60" s="351">
        <v>2.1999999999999999E-2</v>
      </c>
      <c r="D60" s="345" t="s">
        <v>0</v>
      </c>
      <c r="E60" s="345"/>
      <c r="F60" s="345"/>
      <c r="G60" s="345"/>
      <c r="H60" s="345"/>
      <c r="I60" s="345"/>
      <c r="J60" s="345"/>
      <c r="K60" s="352"/>
      <c r="L60" s="345"/>
      <c r="M60" s="345"/>
      <c r="N60" s="345"/>
      <c r="O60" s="345"/>
      <c r="P60" s="345"/>
      <c r="Q60" s="345"/>
      <c r="R60" s="345"/>
      <c r="S60" s="345"/>
      <c r="T60" s="345"/>
      <c r="U60" s="345"/>
      <c r="V60" s="345"/>
      <c r="W60" s="345"/>
      <c r="X60" s="346"/>
      <c r="AB60" s="648"/>
      <c r="AC60" s="996"/>
      <c r="AD60" s="996"/>
      <c r="AE60" s="996"/>
      <c r="AF60" s="996"/>
      <c r="AG60" s="996"/>
      <c r="AH60" s="996"/>
      <c r="AI60" s="996"/>
    </row>
    <row r="61" spans="1:51" x14ac:dyDescent="0.45">
      <c r="A61" s="992"/>
      <c r="B61" s="344" t="s">
        <v>154</v>
      </c>
      <c r="C61" s="371">
        <f>10%*1</f>
        <v>0.1</v>
      </c>
      <c r="D61" s="345" t="s">
        <v>0</v>
      </c>
      <c r="E61" s="345"/>
      <c r="F61" s="345"/>
      <c r="G61" s="345"/>
      <c r="H61" s="345"/>
      <c r="I61" s="345"/>
      <c r="J61" s="345"/>
      <c r="K61" s="345"/>
      <c r="L61" s="345"/>
      <c r="M61" s="345"/>
      <c r="N61" s="345"/>
      <c r="O61" s="345"/>
      <c r="P61" s="345"/>
      <c r="Q61" s="345"/>
      <c r="R61" s="345"/>
      <c r="S61" s="345"/>
      <c r="T61" s="345"/>
      <c r="U61" s="345"/>
      <c r="V61" s="345"/>
      <c r="W61" s="345"/>
      <c r="X61" s="346"/>
      <c r="AB61" s="996"/>
      <c r="AC61" s="996"/>
      <c r="AD61" s="996"/>
      <c r="AE61" s="996"/>
      <c r="AF61" s="996"/>
      <c r="AG61" s="996"/>
      <c r="AH61" s="996"/>
      <c r="AI61" s="996"/>
    </row>
    <row r="62" spans="1:51" x14ac:dyDescent="0.45">
      <c r="A62" s="992"/>
      <c r="B62" s="344" t="s">
        <v>148</v>
      </c>
      <c r="C62" s="351">
        <f>27.9%*1</f>
        <v>0.27899999999999997</v>
      </c>
      <c r="D62" s="345" t="s">
        <v>0</v>
      </c>
      <c r="E62" s="345"/>
      <c r="F62" s="345"/>
      <c r="G62" s="345"/>
      <c r="H62" s="345"/>
      <c r="I62" s="345"/>
      <c r="J62" s="345"/>
      <c r="K62" s="345"/>
      <c r="L62" s="345"/>
      <c r="M62" s="345"/>
      <c r="N62" s="345"/>
      <c r="O62" s="345"/>
      <c r="P62" s="345"/>
      <c r="Q62" s="345"/>
      <c r="R62" s="345"/>
      <c r="S62" s="345"/>
      <c r="T62" s="345"/>
      <c r="U62" s="345"/>
      <c r="V62" s="345"/>
      <c r="W62" s="345"/>
      <c r="X62" s="346"/>
      <c r="AB62" s="996"/>
      <c r="AC62" s="996"/>
      <c r="AD62" s="996"/>
      <c r="AE62" s="996"/>
      <c r="AF62" s="996"/>
      <c r="AG62" s="996"/>
      <c r="AH62" s="996"/>
      <c r="AI62" s="996"/>
    </row>
    <row r="63" spans="1:51" x14ac:dyDescent="0.45">
      <c r="A63" s="992"/>
      <c r="B63" s="344" t="s">
        <v>145</v>
      </c>
      <c r="C63" s="371">
        <v>9.4E-2</v>
      </c>
      <c r="D63" s="345" t="s">
        <v>136</v>
      </c>
      <c r="E63" s="345"/>
      <c r="F63" s="345"/>
      <c r="G63" s="345"/>
      <c r="H63" s="345"/>
      <c r="I63" s="345"/>
      <c r="J63" s="345"/>
      <c r="K63" s="345"/>
      <c r="L63" s="345"/>
      <c r="M63" s="345"/>
      <c r="N63" s="345"/>
      <c r="O63" s="345"/>
      <c r="P63" s="345"/>
      <c r="Q63" s="345"/>
      <c r="R63" s="345"/>
      <c r="S63" s="345"/>
      <c r="T63" s="345"/>
      <c r="U63" s="345"/>
      <c r="V63" s="345"/>
      <c r="W63" s="345"/>
      <c r="X63" s="346"/>
      <c r="AB63" s="996"/>
      <c r="AC63" s="996"/>
      <c r="AD63" s="996"/>
      <c r="AE63" s="994"/>
      <c r="AF63" s="995"/>
      <c r="AG63" s="996"/>
      <c r="AH63" s="996"/>
      <c r="AI63" s="996"/>
    </row>
    <row r="64" spans="1:51" x14ac:dyDescent="0.45">
      <c r="A64" s="992"/>
      <c r="B64" s="344" t="s">
        <v>133</v>
      </c>
      <c r="C64" s="371">
        <v>1.0999999999999999E-2</v>
      </c>
      <c r="D64" s="345" t="s">
        <v>136</v>
      </c>
      <c r="E64" s="345"/>
      <c r="F64" s="345"/>
      <c r="G64" s="345"/>
      <c r="H64" s="345"/>
      <c r="I64" s="345"/>
      <c r="J64" s="345"/>
      <c r="K64" s="345"/>
      <c r="L64" s="345"/>
      <c r="M64" s="345"/>
      <c r="N64" s="345"/>
      <c r="O64" s="345"/>
      <c r="P64" s="345"/>
      <c r="Q64" s="345"/>
      <c r="R64" s="345"/>
      <c r="S64" s="345"/>
      <c r="T64" s="345"/>
      <c r="U64" s="345"/>
      <c r="V64" s="345"/>
      <c r="W64" s="345"/>
      <c r="X64" s="346"/>
      <c r="AB64" s="996"/>
      <c r="AC64" s="410"/>
      <c r="AD64" s="410"/>
      <c r="AE64" s="1036"/>
      <c r="AF64" s="996"/>
      <c r="AG64" s="996"/>
      <c r="AH64" s="996"/>
      <c r="AI64" s="996"/>
    </row>
    <row r="65" spans="1:35" x14ac:dyDescent="0.45">
      <c r="A65" s="992"/>
      <c r="B65" s="344" t="s">
        <v>153</v>
      </c>
      <c r="C65" s="347">
        <v>3</v>
      </c>
      <c r="D65" s="345" t="s">
        <v>152</v>
      </c>
      <c r="E65" s="345"/>
      <c r="F65" s="345"/>
      <c r="G65" s="345"/>
      <c r="H65" s="376"/>
      <c r="I65" s="345"/>
      <c r="J65" s="345"/>
      <c r="K65" s="347"/>
      <c r="L65" s="345"/>
      <c r="M65" s="345"/>
      <c r="N65" s="345"/>
      <c r="O65" s="345"/>
      <c r="P65" s="345"/>
      <c r="Q65" s="345"/>
      <c r="R65" s="345"/>
      <c r="S65" s="345"/>
      <c r="T65" s="345"/>
      <c r="U65" s="345"/>
      <c r="V65" s="345"/>
      <c r="W65" s="345"/>
      <c r="X65" s="346"/>
      <c r="AB65" s="996"/>
      <c r="AC65" s="741"/>
      <c r="AD65" s="461"/>
      <c r="AE65" s="38"/>
      <c r="AF65" s="38"/>
      <c r="AG65" s="996"/>
      <c r="AH65" s="996"/>
      <c r="AI65" s="996"/>
    </row>
    <row r="66" spans="1:35" x14ac:dyDescent="0.45">
      <c r="A66" s="992"/>
      <c r="B66" s="357"/>
      <c r="C66" s="358"/>
      <c r="D66" s="348"/>
      <c r="E66" s="345"/>
      <c r="F66" s="345"/>
      <c r="G66" s="345"/>
      <c r="H66" s="345"/>
      <c r="I66" s="345"/>
      <c r="J66" s="345"/>
      <c r="K66" s="345"/>
      <c r="L66" s="345"/>
      <c r="M66" s="345"/>
      <c r="N66" s="345"/>
      <c r="O66" s="345"/>
      <c r="P66" s="345"/>
      <c r="Q66" s="345"/>
      <c r="R66" s="345"/>
      <c r="S66" s="345"/>
      <c r="T66" s="345"/>
      <c r="U66" s="345"/>
      <c r="V66" s="345"/>
      <c r="W66" s="345"/>
      <c r="X66" s="346"/>
      <c r="AB66" s="996"/>
      <c r="AC66" s="996"/>
      <c r="AD66" s="996"/>
      <c r="AE66" s="994"/>
      <c r="AF66" s="994"/>
      <c r="AG66" s="996"/>
      <c r="AH66" s="996"/>
      <c r="AI66" s="995"/>
    </row>
    <row r="67" spans="1:35" x14ac:dyDescent="0.45">
      <c r="A67" s="992"/>
      <c r="B67" s="357" t="s">
        <v>337</v>
      </c>
      <c r="C67" s="358"/>
      <c r="D67" s="348"/>
      <c r="E67" s="345"/>
      <c r="F67" s="345"/>
      <c r="G67" s="345"/>
      <c r="H67" s="345"/>
      <c r="I67" s="345"/>
      <c r="J67" s="345"/>
      <c r="K67" s="345"/>
      <c r="L67" s="345"/>
      <c r="M67" s="345"/>
      <c r="N67" s="345"/>
      <c r="O67" s="345"/>
      <c r="P67" s="345"/>
      <c r="Q67" s="345"/>
      <c r="R67" s="345"/>
      <c r="S67" s="345"/>
      <c r="T67" s="345"/>
      <c r="U67" s="345"/>
      <c r="V67" s="345"/>
      <c r="W67" s="345"/>
      <c r="X67" s="346"/>
      <c r="AB67" s="996"/>
      <c r="AC67" s="1037"/>
      <c r="AD67" s="996"/>
      <c r="AE67" s="994"/>
      <c r="AF67" s="994"/>
      <c r="AG67" s="996"/>
      <c r="AH67" s="996"/>
      <c r="AI67" s="995"/>
    </row>
    <row r="68" spans="1:35" x14ac:dyDescent="0.45">
      <c r="A68" s="992"/>
      <c r="B68" s="344" t="s">
        <v>376</v>
      </c>
      <c r="C68" s="345">
        <v>7</v>
      </c>
      <c r="D68" s="830" t="s">
        <v>111</v>
      </c>
      <c r="E68" s="345"/>
      <c r="F68" s="345"/>
      <c r="G68" s="345"/>
      <c r="H68" s="345"/>
      <c r="I68" s="345"/>
      <c r="J68" s="345"/>
      <c r="K68" s="345"/>
      <c r="L68" s="345"/>
      <c r="M68" s="345"/>
      <c r="N68" s="345"/>
      <c r="O68" s="345"/>
      <c r="P68" s="345"/>
      <c r="Q68" s="345"/>
      <c r="R68" s="345"/>
      <c r="S68" s="345"/>
      <c r="T68" s="345"/>
      <c r="U68" s="345"/>
      <c r="V68" s="345"/>
      <c r="W68" s="345"/>
      <c r="X68" s="346"/>
      <c r="AB68" s="996"/>
      <c r="AC68" s="996"/>
      <c r="AD68" s="996"/>
      <c r="AE68" s="994"/>
      <c r="AF68" s="994"/>
      <c r="AG68" s="996"/>
      <c r="AH68" s="996"/>
      <c r="AI68" s="995"/>
    </row>
    <row r="69" spans="1:35" x14ac:dyDescent="0.45">
      <c r="A69" s="992"/>
      <c r="B69" s="344" t="s">
        <v>377</v>
      </c>
      <c r="C69" s="345">
        <v>25</v>
      </c>
      <c r="D69" s="830" t="s">
        <v>111</v>
      </c>
      <c r="E69" s="345"/>
      <c r="F69" s="345"/>
      <c r="G69" s="345"/>
      <c r="H69" s="345"/>
      <c r="I69" s="345"/>
      <c r="J69" s="345"/>
      <c r="K69" s="345"/>
      <c r="L69" s="345"/>
      <c r="M69" s="345"/>
      <c r="N69" s="345"/>
      <c r="O69" s="345"/>
      <c r="P69" s="345"/>
      <c r="Q69" s="345"/>
      <c r="R69" s="345"/>
      <c r="S69" s="345"/>
      <c r="T69" s="345"/>
      <c r="U69" s="345"/>
      <c r="V69" s="345"/>
      <c r="W69" s="345"/>
      <c r="X69" s="346"/>
      <c r="AB69" s="996"/>
      <c r="AC69" s="996"/>
      <c r="AD69" s="996"/>
      <c r="AE69" s="994"/>
      <c r="AF69" s="994"/>
      <c r="AG69" s="996"/>
      <c r="AH69" s="996"/>
      <c r="AI69" s="995"/>
    </row>
    <row r="70" spans="1:35" x14ac:dyDescent="0.45">
      <c r="A70" s="992"/>
      <c r="B70" s="344" t="s">
        <v>371</v>
      </c>
      <c r="C70" s="832">
        <f>$C$10*$C$58*0.85*1000000</f>
        <v>0</v>
      </c>
      <c r="D70" s="345" t="s">
        <v>1</v>
      </c>
      <c r="E70" s="345"/>
      <c r="F70" s="345"/>
      <c r="G70" s="345"/>
      <c r="H70" s="345"/>
      <c r="I70" s="345"/>
      <c r="J70" s="345"/>
      <c r="K70" s="345"/>
      <c r="L70" s="345"/>
      <c r="M70" s="345"/>
      <c r="N70" s="345"/>
      <c r="O70" s="345"/>
      <c r="P70" s="345"/>
      <c r="Q70" s="345"/>
      <c r="R70" s="345"/>
      <c r="S70" s="345"/>
      <c r="T70" s="345"/>
      <c r="U70" s="345"/>
      <c r="V70" s="345"/>
      <c r="W70" s="345"/>
      <c r="X70" s="346"/>
      <c r="AB70" s="996"/>
      <c r="AC70" s="996"/>
      <c r="AD70" s="996"/>
      <c r="AE70" s="994"/>
      <c r="AF70" s="994"/>
      <c r="AG70" s="996"/>
      <c r="AH70" s="996"/>
      <c r="AI70" s="995"/>
    </row>
    <row r="71" spans="1:35" x14ac:dyDescent="0.45">
      <c r="A71" s="992"/>
      <c r="B71" s="344" t="s">
        <v>372</v>
      </c>
      <c r="C71" s="832">
        <f>$C$10*$C$58*0.15*1000000</f>
        <v>0</v>
      </c>
      <c r="D71" s="345" t="s">
        <v>1</v>
      </c>
      <c r="E71" s="345"/>
      <c r="F71" s="345"/>
      <c r="G71" s="347"/>
      <c r="H71" s="345"/>
      <c r="I71" s="345"/>
      <c r="J71" s="345"/>
      <c r="K71" s="345"/>
      <c r="L71" s="345"/>
      <c r="M71" s="345"/>
      <c r="N71" s="345"/>
      <c r="O71" s="345"/>
      <c r="P71" s="345"/>
      <c r="Q71" s="345"/>
      <c r="R71" s="345"/>
      <c r="S71" s="345"/>
      <c r="T71" s="345"/>
      <c r="U71" s="345"/>
      <c r="V71" s="345"/>
      <c r="W71" s="345"/>
      <c r="X71" s="346"/>
      <c r="AB71" s="996"/>
      <c r="AC71" s="1037"/>
      <c r="AD71" s="996"/>
      <c r="AE71" s="994"/>
      <c r="AF71" s="994"/>
      <c r="AG71" s="996"/>
      <c r="AH71" s="996"/>
      <c r="AI71" s="995"/>
    </row>
    <row r="72" spans="1:35" x14ac:dyDescent="0.45">
      <c r="A72" s="992"/>
      <c r="B72" s="829"/>
      <c r="C72" s="345"/>
      <c r="D72" s="358"/>
      <c r="E72" s="345"/>
      <c r="F72" s="348"/>
      <c r="G72" s="345"/>
      <c r="H72" s="345"/>
      <c r="I72" s="345"/>
      <c r="J72" s="345"/>
      <c r="K72" s="345"/>
      <c r="L72" s="345"/>
      <c r="M72" s="345"/>
      <c r="N72" s="345"/>
      <c r="O72" s="345"/>
      <c r="P72" s="345"/>
      <c r="Q72" s="345"/>
      <c r="R72" s="345"/>
      <c r="S72" s="345"/>
      <c r="T72" s="345"/>
      <c r="U72" s="345"/>
      <c r="V72" s="345"/>
      <c r="W72" s="345"/>
      <c r="X72" s="346"/>
      <c r="AB72" s="996"/>
      <c r="AC72" s="740"/>
      <c r="AD72" s="995"/>
      <c r="AE72" s="740"/>
      <c r="AF72" s="995"/>
      <c r="AG72" s="996"/>
      <c r="AH72" s="996"/>
      <c r="AI72" s="995"/>
    </row>
    <row r="73" spans="1:35" x14ac:dyDescent="0.45">
      <c r="A73" s="992"/>
      <c r="B73" s="354" t="s">
        <v>27</v>
      </c>
      <c r="C73" s="1040" t="s">
        <v>379</v>
      </c>
      <c r="D73" s="355" t="s">
        <v>128</v>
      </c>
      <c r="E73" s="355" t="s">
        <v>380</v>
      </c>
      <c r="F73" s="355" t="s">
        <v>245</v>
      </c>
      <c r="G73" s="355" t="s">
        <v>367</v>
      </c>
      <c r="H73" s="355" t="s">
        <v>368</v>
      </c>
      <c r="I73" s="355" t="s">
        <v>369</v>
      </c>
      <c r="J73" s="355" t="s">
        <v>370</v>
      </c>
      <c r="K73" s="355" t="s">
        <v>131</v>
      </c>
      <c r="L73" s="355" t="s">
        <v>130</v>
      </c>
      <c r="M73" s="355" t="s">
        <v>129</v>
      </c>
      <c r="N73" s="355" t="s">
        <v>374</v>
      </c>
      <c r="O73" s="355" t="s">
        <v>124</v>
      </c>
      <c r="P73" s="355" t="s">
        <v>125</v>
      </c>
      <c r="Q73" s="355" t="s">
        <v>126</v>
      </c>
      <c r="R73" s="355" t="s">
        <v>155</v>
      </c>
      <c r="S73" s="355" t="s">
        <v>157</v>
      </c>
      <c r="T73" s="355" t="s">
        <v>156</v>
      </c>
      <c r="U73" s="345" t="s">
        <v>280</v>
      </c>
      <c r="V73" s="355" t="s">
        <v>375</v>
      </c>
      <c r="W73" s="355" t="s">
        <v>373</v>
      </c>
      <c r="X73" s="835" t="s">
        <v>164</v>
      </c>
      <c r="AB73" s="996"/>
      <c r="AC73" s="996"/>
      <c r="AD73" s="996"/>
      <c r="AE73" s="994"/>
      <c r="AF73" s="996"/>
      <c r="AG73" s="996"/>
      <c r="AH73" s="996"/>
      <c r="AI73" s="995"/>
    </row>
    <row r="74" spans="1:35" x14ac:dyDescent="0.45">
      <c r="A74" s="992"/>
      <c r="B74" s="359">
        <v>0</v>
      </c>
      <c r="C74" s="831">
        <f>C9</f>
        <v>0.53</v>
      </c>
      <c r="D74" s="375">
        <v>0</v>
      </c>
      <c r="E74" s="833">
        <f>$C$14/($C$49/100)/1000</f>
        <v>0.4743500000000001</v>
      </c>
      <c r="F74" s="375">
        <f>IF(D74&gt;0,-1*#REF!*$C$58*1000000,0)</f>
        <v>0</v>
      </c>
      <c r="G74" s="345">
        <v>0</v>
      </c>
      <c r="H74" s="376">
        <f t="shared" ref="H74:H94" si="0">IF(D74&gt;0,-1*G74*$C$70,0)</f>
        <v>0</v>
      </c>
      <c r="I74" s="376">
        <v>0</v>
      </c>
      <c r="J74" s="376">
        <f t="shared" ref="J74:J94" si="1">IF(D74&gt;0,-1*$C$71*I74,0)</f>
        <v>0</v>
      </c>
      <c r="K74" s="379">
        <f t="shared" ref="K74:K94" si="2">D74+F74+H74+J74</f>
        <v>0</v>
      </c>
      <c r="L74" s="375">
        <f t="shared" ref="L74:L94" si="3">IF(F74&lt;&gt;0,-1*($C$63+$C$64)*D74,0)</f>
        <v>0</v>
      </c>
      <c r="M74" s="375">
        <f t="shared" ref="M74:M94" si="4">K74+L74</f>
        <v>0</v>
      </c>
      <c r="N74" s="376">
        <f t="shared" ref="N74:N94" si="5">IF(V74&gt;0,V74-W74,0)</f>
        <v>0</v>
      </c>
      <c r="O74" s="347">
        <v>0</v>
      </c>
      <c r="P74" s="347">
        <v>0</v>
      </c>
      <c r="Q74" s="347">
        <v>0</v>
      </c>
      <c r="R74" s="376">
        <f>IF(M74&gt;0,-1*(M74+N74)*$C$62,0)</f>
        <v>0</v>
      </c>
      <c r="S74" s="375">
        <f t="shared" ref="S74:S94" si="6">IF(B74=$C$68,0,$C$65/12*(D75+F75+L75))</f>
        <v>-8.3819031715393066E-9</v>
      </c>
      <c r="T74" s="375">
        <f>S74</f>
        <v>-8.3819031715393066E-9</v>
      </c>
      <c r="U74" s="375">
        <f>-1*(C70+C71)</f>
        <v>0</v>
      </c>
      <c r="V74" s="376">
        <v>0</v>
      </c>
      <c r="W74" s="347">
        <f>IF(B74&gt;$C$68,0,$C$71+SUM($J$74:J74))</f>
        <v>0</v>
      </c>
      <c r="X74" s="836">
        <f>-T74+U74</f>
        <v>8.3819031715393066E-9</v>
      </c>
      <c r="AB74" s="536"/>
      <c r="AC74" s="410"/>
      <c r="AD74" s="410"/>
      <c r="AE74" s="1036"/>
      <c r="AF74" s="996"/>
      <c r="AG74" s="996"/>
      <c r="AH74" s="995"/>
      <c r="AI74" s="995"/>
    </row>
    <row r="75" spans="1:35" x14ac:dyDescent="0.45">
      <c r="A75" s="992"/>
      <c r="B75" s="344">
        <v>1</v>
      </c>
      <c r="C75" s="1038">
        <f t="shared" ref="C75:C94" si="7">IF(B75&gt;$C$68,0,$C$74*(1+$C$59)^B75)</f>
        <v>0.54166000000000003</v>
      </c>
      <c r="D75" s="376">
        <f t="shared" ref="D75:D94" si="8">(C75*$C$58*1000000)</f>
        <v>216664000.00000003</v>
      </c>
      <c r="E75" s="1038">
        <f t="shared" ref="E75:E94" si="9">IF(B75&gt;$C$68,0,$E$74*(1+$C$60)^B75)</f>
        <v>0.4847857000000001</v>
      </c>
      <c r="F75" s="376">
        <f t="shared" ref="F75:F94" si="10">-1*E75*$C$58*1000000</f>
        <v>-193914280.00000006</v>
      </c>
      <c r="G75" s="345">
        <v>0.1429</v>
      </c>
      <c r="H75" s="376">
        <f t="shared" si="0"/>
        <v>0</v>
      </c>
      <c r="I75" s="345">
        <v>1.391E-2</v>
      </c>
      <c r="J75" s="376">
        <f t="shared" si="1"/>
        <v>0</v>
      </c>
      <c r="K75" s="377">
        <f t="shared" si="2"/>
        <v>22749719.99999997</v>
      </c>
      <c r="L75" s="376">
        <f t="shared" si="3"/>
        <v>-22749720.000000004</v>
      </c>
      <c r="M75" s="376">
        <f t="shared" si="4"/>
        <v>-3.3527612686157227E-8</v>
      </c>
      <c r="N75" s="376">
        <f t="shared" si="5"/>
        <v>0</v>
      </c>
      <c r="O75" s="347">
        <f t="shared" ref="O75:O94" si="11">IF(M75&lt;0,M75*-1,0)</f>
        <v>3.3527612686157227E-8</v>
      </c>
      <c r="P75" s="347">
        <f t="shared" ref="P75:P94" si="12">P74+O75-Q75</f>
        <v>3.3527612686157227E-8</v>
      </c>
      <c r="Q75" s="347">
        <f t="shared" ref="Q75:Q94" si="13">IF(B75=$C$68+1,O75,IF(AND(M75&gt;0, P74&gt;0), MIN(M75,P74),0))</f>
        <v>0</v>
      </c>
      <c r="R75" s="376">
        <f t="shared" ref="R75:R94" si="14">IF(M75&gt;0,-1*(M75-Q75+N75)*$C$62,0)</f>
        <v>0</v>
      </c>
      <c r="S75" s="376">
        <f t="shared" si="6"/>
        <v>-1.3969838619232178E-8</v>
      </c>
      <c r="T75" s="376">
        <f t="shared" ref="T75:T94" si="15">(S75-S74)</f>
        <v>-5.5879354476928711E-9</v>
      </c>
      <c r="U75" s="376"/>
      <c r="V75" s="376">
        <f t="shared" ref="V75:V94" si="16">IF(B75=$C$68,$C$71*(1-1/$C$69*B75),0)</f>
        <v>0</v>
      </c>
      <c r="W75" s="347">
        <f>IF(B75&gt;$C$68,0,$C$71+SUM($J$74:J75))</f>
        <v>0</v>
      </c>
      <c r="X75" s="378">
        <f t="shared" ref="X75:X94" si="17">M75+R75-1*(H75+J75)-T75+U75+V75</f>
        <v>-2.7939677238464355E-8</v>
      </c>
      <c r="AB75" s="995"/>
      <c r="AC75" s="741"/>
      <c r="AD75" s="461"/>
      <c r="AE75" s="38"/>
      <c r="AF75" s="38"/>
      <c r="AG75" s="996"/>
      <c r="AH75" s="995"/>
      <c r="AI75" s="995"/>
    </row>
    <row r="76" spans="1:35" x14ac:dyDescent="0.45">
      <c r="A76" s="992"/>
      <c r="B76" s="344">
        <v>2</v>
      </c>
      <c r="C76" s="1038">
        <f t="shared" si="7"/>
        <v>0.55357652000000002</v>
      </c>
      <c r="D76" s="376">
        <f t="shared" si="8"/>
        <v>221430608</v>
      </c>
      <c r="E76" s="1038">
        <f t="shared" si="9"/>
        <v>0.4954509854000001</v>
      </c>
      <c r="F76" s="376">
        <f t="shared" si="10"/>
        <v>-198180394.16000006</v>
      </c>
      <c r="G76" s="345">
        <v>0.24490000000000001</v>
      </c>
      <c r="H76" s="376">
        <f t="shared" si="0"/>
        <v>0</v>
      </c>
      <c r="I76" s="345">
        <v>2.564E-2</v>
      </c>
      <c r="J76" s="376">
        <f t="shared" si="1"/>
        <v>0</v>
      </c>
      <c r="K76" s="377">
        <f t="shared" si="2"/>
        <v>23250213.839999944</v>
      </c>
      <c r="L76" s="376">
        <f t="shared" si="3"/>
        <v>-23250213.84</v>
      </c>
      <c r="M76" s="376">
        <f t="shared" si="4"/>
        <v>-5.5879354476928711E-8</v>
      </c>
      <c r="N76" s="376">
        <f t="shared" si="5"/>
        <v>0</v>
      </c>
      <c r="O76" s="347">
        <f t="shared" si="11"/>
        <v>5.5879354476928711E-8</v>
      </c>
      <c r="P76" s="347">
        <f t="shared" si="12"/>
        <v>8.9406967163085938E-8</v>
      </c>
      <c r="Q76" s="347">
        <f t="shared" si="13"/>
        <v>0</v>
      </c>
      <c r="R76" s="376">
        <f t="shared" si="14"/>
        <v>0</v>
      </c>
      <c r="S76" s="376">
        <f t="shared" si="6"/>
        <v>-1.5832483768463135E-8</v>
      </c>
      <c r="T76" s="376">
        <f t="shared" si="15"/>
        <v>-1.862645149230957E-9</v>
      </c>
      <c r="U76" s="376"/>
      <c r="V76" s="376">
        <f t="shared" si="16"/>
        <v>0</v>
      </c>
      <c r="W76" s="347">
        <f>IF(B76&gt;$C$68,0,$C$71+SUM($J$74:J76))</f>
        <v>0</v>
      </c>
      <c r="X76" s="378">
        <f t="shared" si="17"/>
        <v>-5.4016709327697754E-8</v>
      </c>
      <c r="AB76" s="996"/>
      <c r="AC76" s="1037"/>
      <c r="AD76" s="996"/>
      <c r="AE76" s="994"/>
      <c r="AF76" s="994"/>
      <c r="AG76" s="996"/>
    </row>
    <row r="77" spans="1:35" x14ac:dyDescent="0.45">
      <c r="A77" s="992"/>
      <c r="B77" s="344">
        <v>3</v>
      </c>
      <c r="C77" s="1038">
        <f t="shared" si="7"/>
        <v>0.56575520344000008</v>
      </c>
      <c r="D77" s="376">
        <f t="shared" si="8"/>
        <v>226302081.37600002</v>
      </c>
      <c r="E77" s="1038">
        <f t="shared" si="9"/>
        <v>0.50635090707880015</v>
      </c>
      <c r="F77" s="376">
        <f t="shared" si="10"/>
        <v>-202540362.83152008</v>
      </c>
      <c r="G77" s="345">
        <v>0.1749</v>
      </c>
      <c r="H77" s="376">
        <f t="shared" si="0"/>
        <v>0</v>
      </c>
      <c r="I77" s="345">
        <v>2.564E-2</v>
      </c>
      <c r="J77" s="376">
        <f t="shared" si="1"/>
        <v>0</v>
      </c>
      <c r="K77" s="377">
        <f t="shared" si="2"/>
        <v>23761718.544479936</v>
      </c>
      <c r="L77" s="376">
        <f t="shared" si="3"/>
        <v>-23761718.54448</v>
      </c>
      <c r="M77" s="376">
        <f t="shared" si="4"/>
        <v>-6.3329935073852539E-8</v>
      </c>
      <c r="N77" s="376">
        <f t="shared" si="5"/>
        <v>0</v>
      </c>
      <c r="O77" s="347">
        <f t="shared" si="11"/>
        <v>6.3329935073852539E-8</v>
      </c>
      <c r="P77" s="347">
        <f t="shared" si="12"/>
        <v>1.5273690223693848E-7</v>
      </c>
      <c r="Q77" s="347">
        <f t="shared" si="13"/>
        <v>0</v>
      </c>
      <c r="R77" s="376">
        <f t="shared" si="14"/>
        <v>0</v>
      </c>
      <c r="S77" s="376">
        <f t="shared" si="6"/>
        <v>-1.3038516044616699E-8</v>
      </c>
      <c r="T77" s="376">
        <f t="shared" si="15"/>
        <v>2.7939677238464355E-9</v>
      </c>
      <c r="U77" s="376"/>
      <c r="V77" s="376">
        <f t="shared" si="16"/>
        <v>0</v>
      </c>
      <c r="W77" s="347">
        <f>IF(B77&gt;$C$68,0,$C$71+SUM($J$74:J77))</f>
        <v>0</v>
      </c>
      <c r="X77" s="378">
        <f t="shared" si="17"/>
        <v>-6.6123902797698975E-8</v>
      </c>
      <c r="AB77" s="996"/>
      <c r="AC77" s="996"/>
      <c r="AD77" s="996"/>
      <c r="AE77" s="994"/>
      <c r="AF77" s="994"/>
      <c r="AG77" s="996"/>
    </row>
    <row r="78" spans="1:35" x14ac:dyDescent="0.45">
      <c r="A78" s="992"/>
      <c r="B78" s="344">
        <v>4</v>
      </c>
      <c r="C78" s="1038">
        <f t="shared" si="7"/>
        <v>0.57820181791568004</v>
      </c>
      <c r="D78" s="376">
        <f t="shared" si="8"/>
        <v>231280727.16627201</v>
      </c>
      <c r="E78" s="1038">
        <f t="shared" si="9"/>
        <v>0.51749062703453375</v>
      </c>
      <c r="F78" s="376">
        <f t="shared" si="10"/>
        <v>-206996250.81381351</v>
      </c>
      <c r="G78" s="345">
        <v>0.1249</v>
      </c>
      <c r="H78" s="376">
        <f t="shared" si="0"/>
        <v>0</v>
      </c>
      <c r="I78" s="345">
        <v>2.564E-2</v>
      </c>
      <c r="J78" s="376">
        <f t="shared" si="1"/>
        <v>0</v>
      </c>
      <c r="K78" s="377">
        <f t="shared" si="2"/>
        <v>24284476.352458507</v>
      </c>
      <c r="L78" s="376">
        <f t="shared" si="3"/>
        <v>-24284476.352458559</v>
      </c>
      <c r="M78" s="376">
        <f t="shared" si="4"/>
        <v>-5.2154064178466797E-8</v>
      </c>
      <c r="N78" s="376">
        <f t="shared" si="5"/>
        <v>0</v>
      </c>
      <c r="O78" s="347">
        <f t="shared" si="11"/>
        <v>5.2154064178466797E-8</v>
      </c>
      <c r="P78" s="347">
        <f t="shared" si="12"/>
        <v>2.0489096641540527E-7</v>
      </c>
      <c r="Q78" s="347">
        <f t="shared" si="13"/>
        <v>0</v>
      </c>
      <c r="R78" s="376">
        <f t="shared" si="14"/>
        <v>0</v>
      </c>
      <c r="S78" s="376">
        <f t="shared" si="6"/>
        <v>-1.3038516044616699E-8</v>
      </c>
      <c r="T78" s="376">
        <f t="shared" si="15"/>
        <v>0</v>
      </c>
      <c r="U78" s="376"/>
      <c r="V78" s="376">
        <f t="shared" si="16"/>
        <v>0</v>
      </c>
      <c r="W78" s="347">
        <f>IF(B78&gt;$C$68,0,$C$71+SUM($J$74:J78))</f>
        <v>0</v>
      </c>
      <c r="X78" s="378">
        <f t="shared" si="17"/>
        <v>-5.2154064178466797E-8</v>
      </c>
      <c r="AB78" s="996"/>
      <c r="AC78" s="1037"/>
      <c r="AD78" s="996"/>
      <c r="AE78" s="994"/>
      <c r="AF78" s="994"/>
      <c r="AG78" s="996"/>
    </row>
    <row r="79" spans="1:35" x14ac:dyDescent="0.45">
      <c r="A79" s="992"/>
      <c r="B79" s="344">
        <v>5</v>
      </c>
      <c r="C79" s="1038">
        <f t="shared" si="7"/>
        <v>0.590922257909825</v>
      </c>
      <c r="D79" s="376">
        <f t="shared" si="8"/>
        <v>236368903.16393</v>
      </c>
      <c r="E79" s="1038">
        <f t="shared" si="9"/>
        <v>0.52887542082929351</v>
      </c>
      <c r="F79" s="376">
        <f t="shared" si="10"/>
        <v>-211550168.3317174</v>
      </c>
      <c r="G79" s="345">
        <v>8.9300000000000004E-2</v>
      </c>
      <c r="H79" s="376">
        <f t="shared" si="0"/>
        <v>0</v>
      </c>
      <c r="I79" s="345">
        <v>2.564E-2</v>
      </c>
      <c r="J79" s="376">
        <f t="shared" si="1"/>
        <v>0</v>
      </c>
      <c r="K79" s="377">
        <f t="shared" si="2"/>
        <v>24818734.832212597</v>
      </c>
      <c r="L79" s="376">
        <f t="shared" si="3"/>
        <v>-24818734.832212649</v>
      </c>
      <c r="M79" s="376">
        <f t="shared" si="4"/>
        <v>-5.2154064178466797E-8</v>
      </c>
      <c r="N79" s="376">
        <f t="shared" si="5"/>
        <v>0</v>
      </c>
      <c r="O79" s="347">
        <f t="shared" si="11"/>
        <v>5.2154064178466797E-8</v>
      </c>
      <c r="P79" s="347">
        <f t="shared" si="12"/>
        <v>2.5704503059387207E-7</v>
      </c>
      <c r="Q79" s="347">
        <f t="shared" si="13"/>
        <v>0</v>
      </c>
      <c r="R79" s="376">
        <f t="shared" si="14"/>
        <v>0</v>
      </c>
      <c r="S79" s="376">
        <f t="shared" si="6"/>
        <v>-7.4505805969238281E-9</v>
      </c>
      <c r="T79" s="376">
        <f t="shared" si="15"/>
        <v>5.5879354476928711E-9</v>
      </c>
      <c r="U79" s="376"/>
      <c r="V79" s="376">
        <f t="shared" si="16"/>
        <v>0</v>
      </c>
      <c r="W79" s="347">
        <f>IF(B79&gt;$C$68,0,$C$71+SUM($J$74:J79))</f>
        <v>0</v>
      </c>
      <c r="X79" s="378">
        <f t="shared" si="17"/>
        <v>-5.7741999626159668E-8</v>
      </c>
      <c r="AB79" s="996"/>
      <c r="AC79" s="1037"/>
      <c r="AD79" s="996"/>
      <c r="AE79" s="994"/>
      <c r="AF79" s="994"/>
      <c r="AG79" s="996"/>
    </row>
    <row r="80" spans="1:35" x14ac:dyDescent="0.45">
      <c r="A80" s="992"/>
      <c r="B80" s="344">
        <v>6</v>
      </c>
      <c r="C80" s="1038">
        <f t="shared" si="7"/>
        <v>0.60392254758384112</v>
      </c>
      <c r="D80" s="376">
        <f t="shared" si="8"/>
        <v>241569019.03353646</v>
      </c>
      <c r="E80" s="1038">
        <f t="shared" si="9"/>
        <v>0.54051068008753789</v>
      </c>
      <c r="F80" s="376">
        <f t="shared" si="10"/>
        <v>-216204272.03501517</v>
      </c>
      <c r="G80" s="345">
        <v>8.9200000000000002E-2</v>
      </c>
      <c r="H80" s="376">
        <f t="shared" si="0"/>
        <v>0</v>
      </c>
      <c r="I80" s="345">
        <v>2.564E-2</v>
      </c>
      <c r="J80" s="376">
        <f t="shared" si="1"/>
        <v>0</v>
      </c>
      <c r="K80" s="377">
        <f t="shared" si="2"/>
        <v>25364746.998521298</v>
      </c>
      <c r="L80" s="376">
        <f t="shared" si="3"/>
        <v>-25364746.998521328</v>
      </c>
      <c r="M80" s="376">
        <f t="shared" si="4"/>
        <v>-2.9802322387695313E-8</v>
      </c>
      <c r="N80" s="376">
        <f t="shared" si="5"/>
        <v>0</v>
      </c>
      <c r="O80" s="347">
        <f t="shared" si="11"/>
        <v>2.9802322387695313E-8</v>
      </c>
      <c r="P80" s="347">
        <f t="shared" si="12"/>
        <v>2.8684735298156738E-7</v>
      </c>
      <c r="Q80" s="347">
        <f t="shared" si="13"/>
        <v>0</v>
      </c>
      <c r="R80" s="376">
        <f t="shared" si="14"/>
        <v>0</v>
      </c>
      <c r="S80" s="376">
        <f t="shared" si="6"/>
        <v>-1.3969838619232178E-8</v>
      </c>
      <c r="T80" s="376">
        <f t="shared" si="15"/>
        <v>-6.5192580223083496E-9</v>
      </c>
      <c r="U80" s="376"/>
      <c r="V80" s="376">
        <f t="shared" si="16"/>
        <v>0</v>
      </c>
      <c r="W80" s="347">
        <f>IF(B80&gt;$C$68,0,$C$71+SUM($J$74:J80))</f>
        <v>0</v>
      </c>
      <c r="X80" s="378">
        <f t="shared" si="17"/>
        <v>-2.3283064365386963E-8</v>
      </c>
      <c r="AB80" s="996"/>
      <c r="AC80" s="996"/>
      <c r="AD80" s="996"/>
      <c r="AE80" s="994"/>
      <c r="AF80" s="994"/>
      <c r="AG80" s="996"/>
    </row>
    <row r="81" spans="1:33" x14ac:dyDescent="0.45">
      <c r="A81" s="992"/>
      <c r="B81" s="344">
        <v>7</v>
      </c>
      <c r="C81" s="1038">
        <f t="shared" si="7"/>
        <v>0.61720884363068562</v>
      </c>
      <c r="D81" s="376">
        <f t="shared" si="8"/>
        <v>246883537.45227426</v>
      </c>
      <c r="E81" s="1038">
        <f t="shared" si="9"/>
        <v>0.55240191504946379</v>
      </c>
      <c r="F81" s="376">
        <f t="shared" si="10"/>
        <v>-220960766.01978552</v>
      </c>
      <c r="G81" s="345">
        <v>8.9300000000000004E-2</v>
      </c>
      <c r="H81" s="376">
        <f t="shared" si="0"/>
        <v>0</v>
      </c>
      <c r="I81" s="345">
        <v>2.564E-2</v>
      </c>
      <c r="J81" s="376">
        <f t="shared" si="1"/>
        <v>0</v>
      </c>
      <c r="K81" s="377">
        <f t="shared" si="2"/>
        <v>25922771.432488739</v>
      </c>
      <c r="L81" s="376">
        <f t="shared" si="3"/>
        <v>-25922771.432488795</v>
      </c>
      <c r="M81" s="376">
        <f t="shared" si="4"/>
        <v>-5.5879354476928711E-8</v>
      </c>
      <c r="N81" s="376">
        <f t="shared" si="5"/>
        <v>0</v>
      </c>
      <c r="O81" s="347">
        <f t="shared" si="11"/>
        <v>5.5879354476928711E-8</v>
      </c>
      <c r="P81" s="347">
        <f t="shared" si="12"/>
        <v>3.4272670745849609E-7</v>
      </c>
      <c r="Q81" s="347">
        <f t="shared" si="13"/>
        <v>0</v>
      </c>
      <c r="R81" s="376">
        <f t="shared" si="14"/>
        <v>0</v>
      </c>
      <c r="S81" s="376">
        <f t="shared" si="6"/>
        <v>0</v>
      </c>
      <c r="T81" s="376">
        <f t="shared" si="15"/>
        <v>1.3969838619232178E-8</v>
      </c>
      <c r="U81" s="376"/>
      <c r="V81" s="376">
        <f t="shared" si="16"/>
        <v>0</v>
      </c>
      <c r="W81" s="347">
        <f>IF(B81&gt;$C$68,0,$C$71+SUM($J$74:J81))</f>
        <v>0</v>
      </c>
      <c r="X81" s="378">
        <f t="shared" si="17"/>
        <v>-6.9849193096160889E-8</v>
      </c>
      <c r="AB81" s="996"/>
      <c r="AC81" s="1037"/>
      <c r="AD81" s="996"/>
      <c r="AE81" s="994"/>
      <c r="AF81" s="994"/>
      <c r="AG81" s="996"/>
    </row>
    <row r="82" spans="1:33" x14ac:dyDescent="0.45">
      <c r="A82" s="992"/>
      <c r="B82" s="344">
        <v>8</v>
      </c>
      <c r="C82" s="1038">
        <f t="shared" si="7"/>
        <v>0</v>
      </c>
      <c r="D82" s="376">
        <f t="shared" si="8"/>
        <v>0</v>
      </c>
      <c r="E82" s="1038">
        <f t="shared" si="9"/>
        <v>0</v>
      </c>
      <c r="F82" s="376">
        <f t="shared" si="10"/>
        <v>0</v>
      </c>
      <c r="G82" s="345">
        <v>4.4600000000000001E-2</v>
      </c>
      <c r="H82" s="376">
        <f t="shared" si="0"/>
        <v>0</v>
      </c>
      <c r="I82" s="345">
        <v>2.564E-2</v>
      </c>
      <c r="J82" s="376">
        <f t="shared" si="1"/>
        <v>0</v>
      </c>
      <c r="K82" s="377">
        <f t="shared" si="2"/>
        <v>0</v>
      </c>
      <c r="L82" s="376">
        <f t="shared" si="3"/>
        <v>0</v>
      </c>
      <c r="M82" s="376">
        <f t="shared" si="4"/>
        <v>0</v>
      </c>
      <c r="N82" s="376">
        <f t="shared" si="5"/>
        <v>0</v>
      </c>
      <c r="O82" s="347">
        <f t="shared" si="11"/>
        <v>0</v>
      </c>
      <c r="P82" s="347">
        <f t="shared" si="12"/>
        <v>3.4272670745849609E-7</v>
      </c>
      <c r="Q82" s="347">
        <f t="shared" si="13"/>
        <v>0</v>
      </c>
      <c r="R82" s="376">
        <f t="shared" si="14"/>
        <v>0</v>
      </c>
      <c r="S82" s="376">
        <f t="shared" si="6"/>
        <v>0</v>
      </c>
      <c r="T82" s="376">
        <f t="shared" si="15"/>
        <v>0</v>
      </c>
      <c r="U82" s="376"/>
      <c r="V82" s="376">
        <f t="shared" si="16"/>
        <v>0</v>
      </c>
      <c r="W82" s="347">
        <f>IF(B82&gt;$C$68,0,$C$71+SUM($J$74:J82))</f>
        <v>0</v>
      </c>
      <c r="X82" s="378">
        <f t="shared" si="17"/>
        <v>0</v>
      </c>
      <c r="AB82" s="996"/>
      <c r="AC82" s="996"/>
      <c r="AD82" s="996"/>
      <c r="AE82" s="994"/>
      <c r="AF82" s="994"/>
      <c r="AG82" s="996"/>
    </row>
    <row r="83" spans="1:33" x14ac:dyDescent="0.45">
      <c r="A83" s="992"/>
      <c r="B83" s="344">
        <v>9</v>
      </c>
      <c r="C83" s="1038">
        <f t="shared" si="7"/>
        <v>0</v>
      </c>
      <c r="D83" s="376">
        <f t="shared" si="8"/>
        <v>0</v>
      </c>
      <c r="E83" s="1038">
        <f t="shared" si="9"/>
        <v>0</v>
      </c>
      <c r="F83" s="376">
        <f t="shared" si="10"/>
        <v>0</v>
      </c>
      <c r="G83" s="345">
        <v>0</v>
      </c>
      <c r="H83" s="376">
        <f t="shared" si="0"/>
        <v>0</v>
      </c>
      <c r="I83" s="345">
        <v>2.564E-2</v>
      </c>
      <c r="J83" s="376">
        <f t="shared" si="1"/>
        <v>0</v>
      </c>
      <c r="K83" s="377">
        <f t="shared" si="2"/>
        <v>0</v>
      </c>
      <c r="L83" s="376">
        <f t="shared" si="3"/>
        <v>0</v>
      </c>
      <c r="M83" s="376">
        <f t="shared" si="4"/>
        <v>0</v>
      </c>
      <c r="N83" s="376">
        <f t="shared" si="5"/>
        <v>0</v>
      </c>
      <c r="O83" s="347">
        <f t="shared" si="11"/>
        <v>0</v>
      </c>
      <c r="P83" s="347">
        <f t="shared" si="12"/>
        <v>3.4272670745849609E-7</v>
      </c>
      <c r="Q83" s="347">
        <f t="shared" si="13"/>
        <v>0</v>
      </c>
      <c r="R83" s="376">
        <f t="shared" si="14"/>
        <v>0</v>
      </c>
      <c r="S83" s="376">
        <f t="shared" si="6"/>
        <v>0</v>
      </c>
      <c r="T83" s="376">
        <f t="shared" si="15"/>
        <v>0</v>
      </c>
      <c r="U83" s="376"/>
      <c r="V83" s="376">
        <f t="shared" si="16"/>
        <v>0</v>
      </c>
      <c r="W83" s="347">
        <f>IF(B83&gt;$C$68,0,$C$71+SUM($J$74:J83))</f>
        <v>0</v>
      </c>
      <c r="X83" s="378">
        <f t="shared" si="17"/>
        <v>0</v>
      </c>
      <c r="AB83" s="996"/>
      <c r="AC83" s="1037"/>
      <c r="AD83" s="996"/>
      <c r="AE83" s="994"/>
      <c r="AF83" s="994"/>
      <c r="AG83" s="996"/>
    </row>
    <row r="84" spans="1:33" x14ac:dyDescent="0.45">
      <c r="A84" s="992"/>
      <c r="B84" s="344">
        <v>10</v>
      </c>
      <c r="C84" s="1038">
        <f t="shared" si="7"/>
        <v>0</v>
      </c>
      <c r="D84" s="376">
        <f t="shared" si="8"/>
        <v>0</v>
      </c>
      <c r="E84" s="1038">
        <f t="shared" si="9"/>
        <v>0</v>
      </c>
      <c r="F84" s="376">
        <f t="shared" si="10"/>
        <v>0</v>
      </c>
      <c r="G84" s="345">
        <v>0</v>
      </c>
      <c r="H84" s="376">
        <f t="shared" si="0"/>
        <v>0</v>
      </c>
      <c r="I84" s="345">
        <v>2.564E-2</v>
      </c>
      <c r="J84" s="376">
        <f t="shared" si="1"/>
        <v>0</v>
      </c>
      <c r="K84" s="377">
        <f t="shared" si="2"/>
        <v>0</v>
      </c>
      <c r="L84" s="376">
        <f t="shared" si="3"/>
        <v>0</v>
      </c>
      <c r="M84" s="376">
        <f t="shared" si="4"/>
        <v>0</v>
      </c>
      <c r="N84" s="376">
        <f t="shared" si="5"/>
        <v>0</v>
      </c>
      <c r="O84" s="347">
        <f t="shared" si="11"/>
        <v>0</v>
      </c>
      <c r="P84" s="347">
        <f t="shared" si="12"/>
        <v>3.4272670745849609E-7</v>
      </c>
      <c r="Q84" s="347">
        <f t="shared" si="13"/>
        <v>0</v>
      </c>
      <c r="R84" s="376">
        <f t="shared" si="14"/>
        <v>0</v>
      </c>
      <c r="S84" s="376">
        <f t="shared" si="6"/>
        <v>0</v>
      </c>
      <c r="T84" s="376">
        <f t="shared" si="15"/>
        <v>0</v>
      </c>
      <c r="U84" s="376"/>
      <c r="V84" s="376">
        <f t="shared" si="16"/>
        <v>0</v>
      </c>
      <c r="W84" s="347">
        <f>IF(B84&gt;$C$68,0,$C$71+SUM($J$74:J84))</f>
        <v>0</v>
      </c>
      <c r="X84" s="378">
        <f t="shared" si="17"/>
        <v>0</v>
      </c>
      <c r="AB84" s="996"/>
      <c r="AC84" s="996"/>
      <c r="AD84" s="996"/>
      <c r="AE84" s="994"/>
      <c r="AF84" s="994"/>
      <c r="AG84" s="996"/>
    </row>
    <row r="85" spans="1:33" x14ac:dyDescent="0.45">
      <c r="A85" s="992"/>
      <c r="B85" s="344">
        <v>11</v>
      </c>
      <c r="C85" s="1038">
        <f t="shared" si="7"/>
        <v>0</v>
      </c>
      <c r="D85" s="376">
        <f t="shared" si="8"/>
        <v>0</v>
      </c>
      <c r="E85" s="1038">
        <f t="shared" si="9"/>
        <v>0</v>
      </c>
      <c r="F85" s="376">
        <f t="shared" si="10"/>
        <v>0</v>
      </c>
      <c r="G85" s="345">
        <v>0</v>
      </c>
      <c r="H85" s="376">
        <f t="shared" si="0"/>
        <v>0</v>
      </c>
      <c r="I85" s="345">
        <v>2.564E-2</v>
      </c>
      <c r="J85" s="376">
        <f t="shared" si="1"/>
        <v>0</v>
      </c>
      <c r="K85" s="377">
        <f t="shared" si="2"/>
        <v>0</v>
      </c>
      <c r="L85" s="376">
        <f t="shared" si="3"/>
        <v>0</v>
      </c>
      <c r="M85" s="376">
        <f t="shared" si="4"/>
        <v>0</v>
      </c>
      <c r="N85" s="376">
        <f t="shared" si="5"/>
        <v>0</v>
      </c>
      <c r="O85" s="347">
        <f t="shared" si="11"/>
        <v>0</v>
      </c>
      <c r="P85" s="347">
        <f t="shared" si="12"/>
        <v>3.4272670745849609E-7</v>
      </c>
      <c r="Q85" s="347">
        <f t="shared" si="13"/>
        <v>0</v>
      </c>
      <c r="R85" s="376">
        <f t="shared" si="14"/>
        <v>0</v>
      </c>
      <c r="S85" s="376">
        <f t="shared" si="6"/>
        <v>0</v>
      </c>
      <c r="T85" s="376">
        <f t="shared" si="15"/>
        <v>0</v>
      </c>
      <c r="U85" s="376"/>
      <c r="V85" s="376">
        <f t="shared" si="16"/>
        <v>0</v>
      </c>
      <c r="W85" s="347">
        <f>IF(B85&gt;$C$68,0,$C$71+SUM($J$74:J85))</f>
        <v>0</v>
      </c>
      <c r="X85" s="378">
        <f t="shared" si="17"/>
        <v>0</v>
      </c>
      <c r="AB85" s="996"/>
      <c r="AC85" s="1037"/>
      <c r="AD85" s="996"/>
      <c r="AE85" s="994"/>
      <c r="AF85" s="994"/>
      <c r="AG85" s="996"/>
    </row>
    <row r="86" spans="1:33" x14ac:dyDescent="0.45">
      <c r="A86" s="992"/>
      <c r="B86" s="344">
        <v>12</v>
      </c>
      <c r="C86" s="1038">
        <f t="shared" si="7"/>
        <v>0</v>
      </c>
      <c r="D86" s="376">
        <f t="shared" si="8"/>
        <v>0</v>
      </c>
      <c r="E86" s="1038">
        <f t="shared" si="9"/>
        <v>0</v>
      </c>
      <c r="F86" s="376">
        <f t="shared" si="10"/>
        <v>0</v>
      </c>
      <c r="G86" s="345">
        <v>0</v>
      </c>
      <c r="H86" s="376">
        <f t="shared" si="0"/>
        <v>0</v>
      </c>
      <c r="I86" s="345">
        <v>2.564E-2</v>
      </c>
      <c r="J86" s="376">
        <f t="shared" si="1"/>
        <v>0</v>
      </c>
      <c r="K86" s="377">
        <f t="shared" si="2"/>
        <v>0</v>
      </c>
      <c r="L86" s="376">
        <f t="shared" si="3"/>
        <v>0</v>
      </c>
      <c r="M86" s="376">
        <f t="shared" si="4"/>
        <v>0</v>
      </c>
      <c r="N86" s="376">
        <f t="shared" si="5"/>
        <v>0</v>
      </c>
      <c r="O86" s="347">
        <f t="shared" si="11"/>
        <v>0</v>
      </c>
      <c r="P86" s="347">
        <f t="shared" si="12"/>
        <v>3.4272670745849609E-7</v>
      </c>
      <c r="Q86" s="347">
        <f t="shared" si="13"/>
        <v>0</v>
      </c>
      <c r="R86" s="376">
        <f t="shared" si="14"/>
        <v>0</v>
      </c>
      <c r="S86" s="376">
        <f t="shared" si="6"/>
        <v>0</v>
      </c>
      <c r="T86" s="376">
        <f t="shared" si="15"/>
        <v>0</v>
      </c>
      <c r="U86" s="376"/>
      <c r="V86" s="376">
        <f t="shared" si="16"/>
        <v>0</v>
      </c>
      <c r="W86" s="347">
        <f>IF(B86&gt;$C$68,0,$C$71+SUM($J$74:J86))</f>
        <v>0</v>
      </c>
      <c r="X86" s="378">
        <f t="shared" si="17"/>
        <v>0</v>
      </c>
      <c r="AB86" s="996"/>
      <c r="AC86" s="996"/>
      <c r="AD86" s="996"/>
      <c r="AE86" s="994"/>
      <c r="AF86" s="994"/>
      <c r="AG86" s="996"/>
    </row>
    <row r="87" spans="1:33" x14ac:dyDescent="0.45">
      <c r="A87" s="992"/>
      <c r="B87" s="344">
        <v>13</v>
      </c>
      <c r="C87" s="1038">
        <f t="shared" si="7"/>
        <v>0</v>
      </c>
      <c r="D87" s="376">
        <f t="shared" si="8"/>
        <v>0</v>
      </c>
      <c r="E87" s="1038">
        <f t="shared" si="9"/>
        <v>0</v>
      </c>
      <c r="F87" s="376">
        <f t="shared" si="10"/>
        <v>0</v>
      </c>
      <c r="G87" s="345">
        <v>0</v>
      </c>
      <c r="H87" s="376">
        <f t="shared" si="0"/>
        <v>0</v>
      </c>
      <c r="I87" s="345">
        <v>2.564E-2</v>
      </c>
      <c r="J87" s="376">
        <f t="shared" si="1"/>
        <v>0</v>
      </c>
      <c r="K87" s="377">
        <f t="shared" si="2"/>
        <v>0</v>
      </c>
      <c r="L87" s="376">
        <f t="shared" si="3"/>
        <v>0</v>
      </c>
      <c r="M87" s="376">
        <f t="shared" si="4"/>
        <v>0</v>
      </c>
      <c r="N87" s="376">
        <f t="shared" si="5"/>
        <v>0</v>
      </c>
      <c r="O87" s="347">
        <f t="shared" si="11"/>
        <v>0</v>
      </c>
      <c r="P87" s="347">
        <f t="shared" si="12"/>
        <v>3.4272670745849609E-7</v>
      </c>
      <c r="Q87" s="347">
        <f t="shared" si="13"/>
        <v>0</v>
      </c>
      <c r="R87" s="376">
        <f t="shared" si="14"/>
        <v>0</v>
      </c>
      <c r="S87" s="376">
        <f t="shared" si="6"/>
        <v>0</v>
      </c>
      <c r="T87" s="376">
        <f t="shared" si="15"/>
        <v>0</v>
      </c>
      <c r="U87" s="376"/>
      <c r="V87" s="376">
        <f t="shared" si="16"/>
        <v>0</v>
      </c>
      <c r="W87" s="347">
        <f>IF(B87&gt;$C$68,0,$C$71+SUM($J$74:J87))</f>
        <v>0</v>
      </c>
      <c r="X87" s="378">
        <f t="shared" si="17"/>
        <v>0</v>
      </c>
      <c r="AB87" s="996"/>
      <c r="AC87" s="740"/>
      <c r="AD87" s="995"/>
      <c r="AE87" s="740"/>
      <c r="AF87" s="995"/>
      <c r="AG87" s="996"/>
    </row>
    <row r="88" spans="1:33" x14ac:dyDescent="0.45">
      <c r="A88" s="992"/>
      <c r="B88" s="344">
        <v>14</v>
      </c>
      <c r="C88" s="1038">
        <f t="shared" si="7"/>
        <v>0</v>
      </c>
      <c r="D88" s="376">
        <f t="shared" si="8"/>
        <v>0</v>
      </c>
      <c r="E88" s="1038">
        <f t="shared" si="9"/>
        <v>0</v>
      </c>
      <c r="F88" s="376">
        <f t="shared" si="10"/>
        <v>0</v>
      </c>
      <c r="G88" s="345">
        <v>0</v>
      </c>
      <c r="H88" s="376">
        <f t="shared" si="0"/>
        <v>0</v>
      </c>
      <c r="I88" s="345">
        <v>2.564E-2</v>
      </c>
      <c r="J88" s="376">
        <f t="shared" si="1"/>
        <v>0</v>
      </c>
      <c r="K88" s="377">
        <f t="shared" si="2"/>
        <v>0</v>
      </c>
      <c r="L88" s="376">
        <f t="shared" si="3"/>
        <v>0</v>
      </c>
      <c r="M88" s="376">
        <f t="shared" si="4"/>
        <v>0</v>
      </c>
      <c r="N88" s="376">
        <f t="shared" si="5"/>
        <v>0</v>
      </c>
      <c r="O88" s="347">
        <f t="shared" si="11"/>
        <v>0</v>
      </c>
      <c r="P88" s="347">
        <f t="shared" si="12"/>
        <v>3.4272670745849609E-7</v>
      </c>
      <c r="Q88" s="347">
        <f t="shared" si="13"/>
        <v>0</v>
      </c>
      <c r="R88" s="376">
        <f t="shared" si="14"/>
        <v>0</v>
      </c>
      <c r="S88" s="376">
        <f t="shared" si="6"/>
        <v>0</v>
      </c>
      <c r="T88" s="376">
        <f t="shared" si="15"/>
        <v>0</v>
      </c>
      <c r="U88" s="376"/>
      <c r="V88" s="376">
        <f t="shared" si="16"/>
        <v>0</v>
      </c>
      <c r="W88" s="347">
        <f>IF(B88&gt;$C$68,0,$C$71+SUM($J$74:J88))</f>
        <v>0</v>
      </c>
      <c r="X88" s="378">
        <f t="shared" si="17"/>
        <v>0</v>
      </c>
      <c r="AB88" s="996"/>
      <c r="AC88" s="996"/>
      <c r="AD88" s="996"/>
      <c r="AE88" s="996"/>
      <c r="AF88" s="996"/>
      <c r="AG88" s="996"/>
    </row>
    <row r="89" spans="1:33" x14ac:dyDescent="0.45">
      <c r="A89" s="992"/>
      <c r="B89" s="344">
        <v>15</v>
      </c>
      <c r="C89" s="1038">
        <f t="shared" si="7"/>
        <v>0</v>
      </c>
      <c r="D89" s="376">
        <f t="shared" si="8"/>
        <v>0</v>
      </c>
      <c r="E89" s="1038">
        <f t="shared" si="9"/>
        <v>0</v>
      </c>
      <c r="F89" s="376">
        <f t="shared" si="10"/>
        <v>0</v>
      </c>
      <c r="G89" s="345">
        <v>0</v>
      </c>
      <c r="H89" s="376">
        <f t="shared" si="0"/>
        <v>0</v>
      </c>
      <c r="I89" s="345">
        <v>2.564E-2</v>
      </c>
      <c r="J89" s="376">
        <f t="shared" si="1"/>
        <v>0</v>
      </c>
      <c r="K89" s="377">
        <f t="shared" si="2"/>
        <v>0</v>
      </c>
      <c r="L89" s="376">
        <f t="shared" si="3"/>
        <v>0</v>
      </c>
      <c r="M89" s="376">
        <f t="shared" si="4"/>
        <v>0</v>
      </c>
      <c r="N89" s="376">
        <f t="shared" si="5"/>
        <v>0</v>
      </c>
      <c r="O89" s="347">
        <f t="shared" si="11"/>
        <v>0</v>
      </c>
      <c r="P89" s="347">
        <f t="shared" si="12"/>
        <v>3.4272670745849609E-7</v>
      </c>
      <c r="Q89" s="347">
        <f t="shared" si="13"/>
        <v>0</v>
      </c>
      <c r="R89" s="376">
        <f t="shared" si="14"/>
        <v>0</v>
      </c>
      <c r="S89" s="376">
        <f t="shared" si="6"/>
        <v>0</v>
      </c>
      <c r="T89" s="376">
        <f t="shared" si="15"/>
        <v>0</v>
      </c>
      <c r="U89" s="376"/>
      <c r="V89" s="376">
        <f t="shared" si="16"/>
        <v>0</v>
      </c>
      <c r="W89" s="347">
        <f>IF(B89&gt;$C$68,0,$C$71+SUM($J$74:J89))</f>
        <v>0</v>
      </c>
      <c r="X89" s="378">
        <f t="shared" si="17"/>
        <v>0</v>
      </c>
      <c r="AB89" s="996"/>
      <c r="AC89" s="996"/>
      <c r="AD89" s="996"/>
      <c r="AE89" s="996"/>
      <c r="AF89" s="996"/>
      <c r="AG89" s="996"/>
    </row>
    <row r="90" spans="1:33" x14ac:dyDescent="0.45">
      <c r="A90" s="992"/>
      <c r="B90" s="344">
        <v>16</v>
      </c>
      <c r="C90" s="1038">
        <f t="shared" si="7"/>
        <v>0</v>
      </c>
      <c r="D90" s="376">
        <f t="shared" si="8"/>
        <v>0</v>
      </c>
      <c r="E90" s="1038">
        <f t="shared" si="9"/>
        <v>0</v>
      </c>
      <c r="F90" s="376">
        <f t="shared" si="10"/>
        <v>0</v>
      </c>
      <c r="G90" s="345">
        <v>0</v>
      </c>
      <c r="H90" s="376">
        <f t="shared" si="0"/>
        <v>0</v>
      </c>
      <c r="I90" s="345">
        <v>2.564E-2</v>
      </c>
      <c r="J90" s="376">
        <f t="shared" si="1"/>
        <v>0</v>
      </c>
      <c r="K90" s="377">
        <f t="shared" si="2"/>
        <v>0</v>
      </c>
      <c r="L90" s="376">
        <f t="shared" si="3"/>
        <v>0</v>
      </c>
      <c r="M90" s="376">
        <f t="shared" si="4"/>
        <v>0</v>
      </c>
      <c r="N90" s="376">
        <f t="shared" si="5"/>
        <v>0</v>
      </c>
      <c r="O90" s="347">
        <f t="shared" si="11"/>
        <v>0</v>
      </c>
      <c r="P90" s="347">
        <f t="shared" si="12"/>
        <v>3.4272670745849609E-7</v>
      </c>
      <c r="Q90" s="347">
        <f t="shared" si="13"/>
        <v>0</v>
      </c>
      <c r="R90" s="376">
        <f t="shared" si="14"/>
        <v>0</v>
      </c>
      <c r="S90" s="376">
        <f t="shared" si="6"/>
        <v>0</v>
      </c>
      <c r="T90" s="376">
        <f t="shared" si="15"/>
        <v>0</v>
      </c>
      <c r="U90" s="376"/>
      <c r="V90" s="376">
        <f t="shared" si="16"/>
        <v>0</v>
      </c>
      <c r="W90" s="347">
        <f>IF(B90&gt;$C$68,0,$C$71+SUM($J$74:J90))</f>
        <v>0</v>
      </c>
      <c r="X90" s="378">
        <f t="shared" si="17"/>
        <v>0</v>
      </c>
      <c r="AB90" s="996"/>
      <c r="AC90" s="996"/>
      <c r="AD90" s="996"/>
      <c r="AE90" s="996"/>
      <c r="AF90" s="996"/>
      <c r="AG90" s="996"/>
    </row>
    <row r="91" spans="1:33" x14ac:dyDescent="0.45">
      <c r="A91" s="992"/>
      <c r="B91" s="344">
        <v>17</v>
      </c>
      <c r="C91" s="1038">
        <f t="shared" si="7"/>
        <v>0</v>
      </c>
      <c r="D91" s="376">
        <f t="shared" si="8"/>
        <v>0</v>
      </c>
      <c r="E91" s="1038">
        <f t="shared" si="9"/>
        <v>0</v>
      </c>
      <c r="F91" s="376">
        <f t="shared" si="10"/>
        <v>0</v>
      </c>
      <c r="G91" s="345">
        <v>0</v>
      </c>
      <c r="H91" s="376">
        <f t="shared" si="0"/>
        <v>0</v>
      </c>
      <c r="I91" s="345">
        <v>2.564E-2</v>
      </c>
      <c r="J91" s="376">
        <f t="shared" si="1"/>
        <v>0</v>
      </c>
      <c r="K91" s="377">
        <f t="shared" si="2"/>
        <v>0</v>
      </c>
      <c r="L91" s="376">
        <f t="shared" si="3"/>
        <v>0</v>
      </c>
      <c r="M91" s="376">
        <f t="shared" si="4"/>
        <v>0</v>
      </c>
      <c r="N91" s="376">
        <f t="shared" si="5"/>
        <v>0</v>
      </c>
      <c r="O91" s="347">
        <f t="shared" si="11"/>
        <v>0</v>
      </c>
      <c r="P91" s="347">
        <f t="shared" si="12"/>
        <v>3.4272670745849609E-7</v>
      </c>
      <c r="Q91" s="347">
        <f t="shared" si="13"/>
        <v>0</v>
      </c>
      <c r="R91" s="376">
        <f t="shared" si="14"/>
        <v>0</v>
      </c>
      <c r="S91" s="376">
        <f t="shared" si="6"/>
        <v>0</v>
      </c>
      <c r="T91" s="376">
        <f t="shared" si="15"/>
        <v>0</v>
      </c>
      <c r="U91" s="376"/>
      <c r="V91" s="376">
        <f t="shared" si="16"/>
        <v>0</v>
      </c>
      <c r="W91" s="347">
        <f>IF(B91&gt;$C$68,0,$C$71+SUM($J$74:J91))</f>
        <v>0</v>
      </c>
      <c r="X91" s="378">
        <f t="shared" si="17"/>
        <v>0</v>
      </c>
    </row>
    <row r="92" spans="1:33" x14ac:dyDescent="0.45">
      <c r="A92" s="992"/>
      <c r="B92" s="344">
        <v>18</v>
      </c>
      <c r="C92" s="1038">
        <f t="shared" si="7"/>
        <v>0</v>
      </c>
      <c r="D92" s="376">
        <f t="shared" si="8"/>
        <v>0</v>
      </c>
      <c r="E92" s="1038">
        <f t="shared" si="9"/>
        <v>0</v>
      </c>
      <c r="F92" s="376">
        <f t="shared" si="10"/>
        <v>0</v>
      </c>
      <c r="G92" s="345">
        <v>0</v>
      </c>
      <c r="H92" s="376">
        <f t="shared" si="0"/>
        <v>0</v>
      </c>
      <c r="I92" s="345">
        <v>2.564E-2</v>
      </c>
      <c r="J92" s="376">
        <f t="shared" si="1"/>
        <v>0</v>
      </c>
      <c r="K92" s="377">
        <f t="shared" si="2"/>
        <v>0</v>
      </c>
      <c r="L92" s="376">
        <f t="shared" si="3"/>
        <v>0</v>
      </c>
      <c r="M92" s="376">
        <f t="shared" si="4"/>
        <v>0</v>
      </c>
      <c r="N92" s="376">
        <f t="shared" si="5"/>
        <v>0</v>
      </c>
      <c r="O92" s="347">
        <f t="shared" si="11"/>
        <v>0</v>
      </c>
      <c r="P92" s="347">
        <f t="shared" si="12"/>
        <v>3.4272670745849609E-7</v>
      </c>
      <c r="Q92" s="347">
        <f t="shared" si="13"/>
        <v>0</v>
      </c>
      <c r="R92" s="376">
        <f t="shared" si="14"/>
        <v>0</v>
      </c>
      <c r="S92" s="376">
        <f t="shared" si="6"/>
        <v>0</v>
      </c>
      <c r="T92" s="376">
        <f t="shared" si="15"/>
        <v>0</v>
      </c>
      <c r="U92" s="376"/>
      <c r="V92" s="376">
        <f t="shared" si="16"/>
        <v>0</v>
      </c>
      <c r="W92" s="347">
        <f>IF(B92&gt;$C$68,0,$C$71+SUM($J$74:J92))</f>
        <v>0</v>
      </c>
      <c r="X92" s="378">
        <f t="shared" si="17"/>
        <v>0</v>
      </c>
    </row>
    <row r="93" spans="1:33" x14ac:dyDescent="0.45">
      <c r="A93" s="992"/>
      <c r="B93" s="344">
        <v>19</v>
      </c>
      <c r="C93" s="1038">
        <f t="shared" si="7"/>
        <v>0</v>
      </c>
      <c r="D93" s="376">
        <f t="shared" si="8"/>
        <v>0</v>
      </c>
      <c r="E93" s="1038">
        <f t="shared" si="9"/>
        <v>0</v>
      </c>
      <c r="F93" s="376">
        <f t="shared" si="10"/>
        <v>0</v>
      </c>
      <c r="G93" s="345">
        <v>0</v>
      </c>
      <c r="H93" s="376">
        <f t="shared" si="0"/>
        <v>0</v>
      </c>
      <c r="I93" s="345">
        <v>2.564E-2</v>
      </c>
      <c r="J93" s="376">
        <f t="shared" si="1"/>
        <v>0</v>
      </c>
      <c r="K93" s="377">
        <f t="shared" si="2"/>
        <v>0</v>
      </c>
      <c r="L93" s="376">
        <f t="shared" si="3"/>
        <v>0</v>
      </c>
      <c r="M93" s="376">
        <f t="shared" si="4"/>
        <v>0</v>
      </c>
      <c r="N93" s="376">
        <f t="shared" si="5"/>
        <v>0</v>
      </c>
      <c r="O93" s="347">
        <f t="shared" si="11"/>
        <v>0</v>
      </c>
      <c r="P93" s="347">
        <f t="shared" si="12"/>
        <v>3.4272670745849609E-7</v>
      </c>
      <c r="Q93" s="347">
        <f t="shared" si="13"/>
        <v>0</v>
      </c>
      <c r="R93" s="376">
        <f t="shared" si="14"/>
        <v>0</v>
      </c>
      <c r="S93" s="376">
        <f t="shared" si="6"/>
        <v>0</v>
      </c>
      <c r="T93" s="376">
        <f t="shared" si="15"/>
        <v>0</v>
      </c>
      <c r="U93" s="376"/>
      <c r="V93" s="376">
        <f t="shared" si="16"/>
        <v>0</v>
      </c>
      <c r="W93" s="347">
        <f>IF(B93&gt;$C$68,0,$C$71+SUM($J$74:J93))</f>
        <v>0</v>
      </c>
      <c r="X93" s="378">
        <f t="shared" si="17"/>
        <v>0</v>
      </c>
    </row>
    <row r="94" spans="1:33" x14ac:dyDescent="0.45">
      <c r="A94" s="992"/>
      <c r="B94" s="344">
        <v>20</v>
      </c>
      <c r="C94" s="1038">
        <f t="shared" si="7"/>
        <v>0</v>
      </c>
      <c r="D94" s="376">
        <f t="shared" si="8"/>
        <v>0</v>
      </c>
      <c r="E94" s="1038">
        <f t="shared" si="9"/>
        <v>0</v>
      </c>
      <c r="F94" s="376">
        <f t="shared" si="10"/>
        <v>0</v>
      </c>
      <c r="G94" s="345">
        <v>0</v>
      </c>
      <c r="H94" s="376">
        <f t="shared" si="0"/>
        <v>0</v>
      </c>
      <c r="I94" s="345">
        <v>2.564E-2</v>
      </c>
      <c r="J94" s="376">
        <f t="shared" si="1"/>
        <v>0</v>
      </c>
      <c r="K94" s="377">
        <f t="shared" si="2"/>
        <v>0</v>
      </c>
      <c r="L94" s="376">
        <f t="shared" si="3"/>
        <v>0</v>
      </c>
      <c r="M94" s="376">
        <f t="shared" si="4"/>
        <v>0</v>
      </c>
      <c r="N94" s="376">
        <f t="shared" si="5"/>
        <v>0</v>
      </c>
      <c r="O94" s="347">
        <f t="shared" si="11"/>
        <v>0</v>
      </c>
      <c r="P94" s="347">
        <f t="shared" si="12"/>
        <v>3.4272670745849609E-7</v>
      </c>
      <c r="Q94" s="347">
        <f t="shared" si="13"/>
        <v>0</v>
      </c>
      <c r="R94" s="376">
        <f t="shared" si="14"/>
        <v>0</v>
      </c>
      <c r="S94" s="376">
        <f t="shared" si="6"/>
        <v>0</v>
      </c>
      <c r="T94" s="376">
        <f t="shared" si="15"/>
        <v>0</v>
      </c>
      <c r="U94" s="376"/>
      <c r="V94" s="376">
        <f t="shared" si="16"/>
        <v>0</v>
      </c>
      <c r="W94" s="347">
        <f>IF(B94&gt;$C$68,0,$C$71+SUM($J$74:J94))</f>
        <v>0</v>
      </c>
      <c r="X94" s="378">
        <f t="shared" si="17"/>
        <v>0</v>
      </c>
    </row>
    <row r="95" spans="1:33" x14ac:dyDescent="0.45">
      <c r="A95" s="992"/>
      <c r="B95" s="344"/>
      <c r="C95" s="345"/>
      <c r="D95" s="349"/>
      <c r="E95" s="345"/>
      <c r="F95" s="349"/>
      <c r="G95" s="345"/>
      <c r="H95" s="349"/>
      <c r="I95" s="345"/>
      <c r="J95" s="349"/>
      <c r="K95" s="349"/>
      <c r="L95" s="349"/>
      <c r="M95" s="349"/>
      <c r="N95" s="345"/>
      <c r="O95" s="345"/>
      <c r="P95" s="345"/>
      <c r="Q95" s="345"/>
      <c r="R95" s="349"/>
      <c r="S95" s="349"/>
      <c r="T95" s="345"/>
      <c r="U95" s="345"/>
      <c r="V95" s="345"/>
      <c r="W95" s="348" t="s">
        <v>158</v>
      </c>
      <c r="X95" s="353">
        <f>NPV($C$61,X75:X94)+X74</f>
        <v>-2.3180110853446545E-7</v>
      </c>
    </row>
    <row r="96" spans="1:33" x14ac:dyDescent="0.45">
      <c r="A96" s="992"/>
      <c r="B96" s="354"/>
      <c r="C96" s="355"/>
      <c r="D96" s="355"/>
      <c r="E96" s="355"/>
      <c r="F96" s="355"/>
      <c r="G96" s="355"/>
      <c r="H96" s="355"/>
      <c r="I96" s="355"/>
      <c r="J96" s="355"/>
      <c r="K96" s="355"/>
      <c r="L96" s="355"/>
      <c r="M96" s="355"/>
      <c r="N96" s="355"/>
      <c r="O96" s="355"/>
      <c r="P96" s="355"/>
      <c r="Q96" s="355"/>
      <c r="R96" s="355"/>
      <c r="S96" s="355"/>
      <c r="T96" s="355"/>
      <c r="U96" s="355"/>
      <c r="V96" s="355"/>
      <c r="W96" s="356" t="s">
        <v>134</v>
      </c>
      <c r="X96" s="838">
        <f>IRR(X74:X94,0.1)</f>
        <v>3.9999999999996927</v>
      </c>
    </row>
    <row r="98" spans="12:12" x14ac:dyDescent="0.45">
      <c r="L98" s="521"/>
    </row>
  </sheetData>
  <hyperlinks>
    <hyperlink ref="A4" r:id="rId1" display="dmpowell@mit.edu"/>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Results Summary</vt:lpstr>
      <vt:lpstr>Standard mc-Si</vt:lpstr>
      <vt:lpstr>Line-of-Sight</vt:lpstr>
      <vt:lpstr>Advanced Concept</vt:lpstr>
      <vt:lpstr>Adv Concept Waterfall 1</vt:lpstr>
      <vt:lpstr>Adv Concept Waterfall 2</vt:lpstr>
      <vt:lpstr>Parameter Map</vt:lpstr>
    </vt:vector>
  </TitlesOfParts>
  <Company>Massachusetts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Powell</dc:creator>
  <cp:lastModifiedBy>Kevin Bush</cp:lastModifiedBy>
  <cp:lastPrinted>2012-12-13T19:12:12Z</cp:lastPrinted>
  <dcterms:created xsi:type="dcterms:W3CDTF">2011-04-06T14:17:01Z</dcterms:created>
  <dcterms:modified xsi:type="dcterms:W3CDTF">2017-02-09T08:16:46Z</dcterms:modified>
</cp:coreProperties>
</file>