
<file path=[Content_Types].xml><?xml version="1.0" encoding="utf-8"?>
<Types xmlns="http://schemas.openxmlformats.org/package/2006/content-types">
  <Override PartName="/xl/worksheets/sheet7.xml" ContentType="application/vnd.openxmlformats-officedocument.spreadsheetml.worksheet+xml"/>
  <Override PartName="/xl/comments2.xml" ContentType="application/vnd.openxmlformats-officedocument.spreadsheetml.comments+xml"/>
  <Override PartName="/xl/worksheets/sheet2.xml" ContentType="application/vnd.openxmlformats-officedocument.spreadsheetml.worksheet+xml"/>
  <Override PartName="/xl/sharedStrings.xml" ContentType="application/vnd.openxmlformats-officedocument.spreadsheetml.sharedStrings+xml"/>
  <Override PartName="/xl/drawings/drawing2.xml" ContentType="application/vnd.openxmlformats-officedocument.drawing+xml"/>
  <Override PartName="/xl/theme/theme1.xml" ContentType="application/vnd.openxmlformats-officedocument.theme+xml"/>
  <Override PartName="/xl/charts/chart1.xml" ContentType="application/vnd.openxmlformats-officedocument.drawingml.chart+xml"/>
  <Override PartName="/xl/charts/chart6.xml" ContentType="application/vnd.openxmlformats-officedocument.drawingml.chart+xml"/>
  <Override PartName="/xl/drawings/drawing4.xml" ContentType="application/vnd.openxmlformats-officedocument.drawing+xml"/>
  <Override PartName="/xl/charts/chart3.xml" ContentType="application/vnd.openxmlformats-officedocument.drawingml.chart+xml"/>
  <Override PartName="/xl/worksheets/sheet4.xml" ContentType="application/vnd.openxmlformats-officedocument.spreadsheetml.worksheet+xml"/>
  <Default Extension="xml" ContentType="application/xml"/>
  <Override PartName="/xl/worksheets/sheet6.xml" ContentType="application/vnd.openxmlformats-officedocument.spreadsheetml.worksheet+xml"/>
  <Override PartName="/docProps/app.xml" ContentType="application/vnd.openxmlformats-officedocument.extended-properties+xml"/>
  <Override PartName="/xl/workbook.xml" ContentType="application/vnd.openxmlformats-officedocument.spreadsheetml.sheet.main+xml"/>
  <Override PartName="/xl/comments1.xml" ContentType="application/vnd.openxmlformats-officedocument.spreadsheetml.comments+xml"/>
  <Override PartName="/xl/worksheets/sheet1.xml" ContentType="application/vnd.openxmlformats-officedocument.spreadsheetml.worksheet+xml"/>
  <Override PartName="/xl/worksheets/sheet8.xml" ContentType="application/vnd.openxmlformats-officedocument.spreadsheetml.worksheet+xml"/>
  <Override PartName="/xl/drawings/drawing1.xml" ContentType="application/vnd.openxmlformats-officedocument.drawing+xml"/>
  <Override PartName="/xl/charts/chart5.xml" ContentType="application/vnd.openxmlformats-officedocument.drawingml.chart+xml"/>
  <Override PartName="/xl/styles.xml" ContentType="application/vnd.openxmlformats-officedocument.spreadsheetml.styles+xml"/>
  <Override PartName="/xl/comments3.xml" ContentType="application/vnd.openxmlformats-officedocument.spreadsheetml.comments+xml"/>
  <Override PartName="/xl/drawings/drawing3.xml" ContentType="application/vnd.openxmlformats-officedocument.drawing+xml"/>
  <Override PartName="/xl/calcChain.xml" ContentType="application/vnd.openxmlformats-officedocument.spreadsheetml.calcChain+xml"/>
  <Override PartName="/xl/charts/chart2.xml" ContentType="application/vnd.openxmlformats-officedocument.drawingml.chart+xml"/>
  <Default Extension="vml" ContentType="application/vnd.openxmlformats-officedocument.vmlDrawing"/>
  <Override PartName="/xl/worksheets/sheet3.xml" ContentType="application/vnd.openxmlformats-officedocument.spreadsheetml.worksheet+xml"/>
  <Override PartName="/xl/drawings/drawing5.xml" ContentType="application/vnd.openxmlformats-officedocument.drawing+xml"/>
  <Default Extension="rels" ContentType="application/vnd.openxmlformats-package.relationships+xml"/>
  <Override PartName="/xl/worksheets/sheet5.xml" ContentType="application/vnd.openxmlformats-officedocument.spreadsheetml.worksheet+xml"/>
  <Override PartName="/xl/charts/chart4.xml" ContentType="application/vnd.openxmlformats-officedocument.drawingml.chart+xml"/>
  <Override PartName="/docProps/core.xml" ContentType="application/vnd.openxmlformats-package.core-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autoCompressPictures="0"/>
  <bookViews>
    <workbookView xWindow="0" yWindow="0" windowWidth="27780" windowHeight="16240" tabRatio="697"/>
  </bookViews>
  <sheets>
    <sheet name="Process Diagram" sheetId="1" r:id="rId1"/>
    <sheet name="Results Summary" sheetId="10" r:id="rId2"/>
    <sheet name="Production Model &amp; OpEx" sheetId="2" r:id="rId3"/>
    <sheet name="CapEx" sheetId="3" r:id="rId4"/>
    <sheet name="Product Performance" sheetId="4" r:id="rId5"/>
    <sheet name="Financial" sheetId="5" r:id="rId6"/>
    <sheet name="Cost Analysis" sheetId="6" r:id="rId7"/>
    <sheet name="Mass &amp; Energy" sheetId="7" r:id="rId8"/>
  </sheets>
  <calcPr calcId="130407"/>
  <extLst>
    <ext xmlns:mx="http://schemas.microsoft.com/office/mac/excel/2008/main" uri="http://schemas.microsoft.com/office/mac/excel/2008/main">
      <mx:ArchID Flags="2"/>
    </ext>
  </extLst>
</workbook>
</file>

<file path=xl/calcChain.xml><?xml version="1.0" encoding="utf-8"?>
<calcChain xmlns="http://schemas.openxmlformats.org/spreadsheetml/2006/main">
  <c r="B16" i="3"/>
  <c r="B35"/>
  <c r="B42"/>
  <c r="B22"/>
  <c r="B14"/>
  <c r="B20"/>
  <c r="B26"/>
  <c r="B33"/>
  <c r="B40"/>
  <c r="B45"/>
  <c r="B46"/>
  <c r="B47"/>
  <c r="B62"/>
  <c r="B52"/>
  <c r="B54"/>
  <c r="B55"/>
  <c r="B56"/>
  <c r="B28"/>
  <c r="C85" i="6"/>
  <c r="K16"/>
  <c r="K14"/>
  <c r="K12"/>
  <c r="K10"/>
  <c r="J12"/>
  <c r="J14"/>
  <c r="J16"/>
  <c r="J10"/>
  <c r="I12"/>
  <c r="I14"/>
  <c r="I16"/>
  <c r="I10"/>
  <c r="J13"/>
  <c r="J15"/>
  <c r="J17"/>
  <c r="J11"/>
  <c r="I13"/>
  <c r="I15"/>
  <c r="I17"/>
  <c r="I11"/>
  <c r="E48"/>
  <c r="F48"/>
  <c r="C48"/>
  <c r="E49"/>
  <c r="F49"/>
  <c r="C49"/>
  <c r="F50"/>
  <c r="C50"/>
  <c r="E51"/>
  <c r="F51"/>
  <c r="C47"/>
  <c r="E47"/>
  <c r="F47"/>
  <c r="F52"/>
  <c r="C52"/>
  <c r="E52"/>
  <c r="D47"/>
  <c r="D48"/>
  <c r="D49"/>
  <c r="D50"/>
  <c r="D51"/>
  <c r="D52"/>
  <c r="G48"/>
  <c r="G49"/>
  <c r="G50"/>
  <c r="G51"/>
  <c r="G47"/>
  <c r="G52"/>
  <c r="C17"/>
  <c r="D85"/>
  <c r="C13"/>
  <c r="C15"/>
  <c r="C11"/>
  <c r="K20"/>
  <c r="B24" i="5"/>
  <c r="B13"/>
  <c r="B14"/>
  <c r="B15"/>
  <c r="B16"/>
  <c r="B21"/>
  <c r="B23"/>
  <c r="B25"/>
  <c r="B27"/>
  <c r="B25" i="4"/>
  <c r="B23"/>
  <c r="B20"/>
  <c r="B17"/>
  <c r="B16"/>
  <c r="B21"/>
  <c r="B19"/>
  <c r="B15"/>
  <c r="B35"/>
  <c r="B33"/>
  <c r="B15" i="2"/>
  <c r="B83"/>
  <c r="B55"/>
  <c r="B104"/>
  <c r="H137"/>
  <c r="H139"/>
  <c r="B139"/>
  <c r="E139"/>
  <c r="H138"/>
  <c r="B138"/>
  <c r="E138"/>
  <c r="B106"/>
  <c r="B89"/>
  <c r="B17"/>
  <c r="B107"/>
  <c r="E103"/>
  <c r="B90"/>
  <c r="E87"/>
  <c r="E99"/>
  <c r="B108"/>
  <c r="E83"/>
  <c r="B109"/>
  <c r="B110"/>
  <c r="B56"/>
  <c r="E49"/>
  <c r="H49"/>
  <c r="B91"/>
  <c r="E84"/>
  <c r="B73"/>
  <c r="E69"/>
  <c r="E82"/>
  <c r="H82"/>
  <c r="B135"/>
  <c r="E135"/>
  <c r="E101"/>
  <c r="H101"/>
  <c r="E100"/>
  <c r="H100"/>
  <c r="B92"/>
  <c r="B93"/>
  <c r="E85"/>
  <c r="H85"/>
  <c r="E53"/>
  <c r="B57"/>
  <c r="E48"/>
  <c r="B39"/>
  <c r="E36"/>
  <c r="E51"/>
  <c r="H51"/>
  <c r="B74"/>
  <c r="E67"/>
  <c r="H67"/>
  <c r="E65"/>
  <c r="H65"/>
  <c r="B134"/>
  <c r="E134"/>
  <c r="B133"/>
  <c r="E133"/>
  <c r="E34"/>
  <c r="H34"/>
  <c r="B58"/>
  <c r="B59"/>
  <c r="E50"/>
  <c r="H50"/>
  <c r="E29"/>
  <c r="H29"/>
  <c r="B129"/>
  <c r="E32"/>
  <c r="H32"/>
  <c r="B132"/>
  <c r="E132"/>
  <c r="B40"/>
  <c r="E31"/>
  <c r="H31"/>
  <c r="B131"/>
  <c r="E131"/>
  <c r="E30"/>
  <c r="H30"/>
  <c r="B130"/>
  <c r="E130"/>
  <c r="B75"/>
  <c r="B76"/>
  <c r="E66"/>
  <c r="H66"/>
  <c r="B41"/>
  <c r="B42"/>
  <c r="B140"/>
  <c r="E140"/>
  <c r="B128"/>
  <c r="E129"/>
  <c r="E33"/>
  <c r="H33"/>
  <c r="B137"/>
  <c r="B136"/>
  <c r="E136"/>
  <c r="B142"/>
  <c r="E142"/>
  <c r="E128"/>
  <c r="E137"/>
  <c r="E143"/>
  <c r="B143"/>
  <c r="B121"/>
  <c r="H121"/>
  <c r="E141"/>
  <c r="B141"/>
  <c r="B146"/>
  <c r="E146"/>
  <c r="B9" i="10"/>
  <c r="B7"/>
  <c r="B8"/>
  <c r="B6"/>
  <c r="B21"/>
  <c r="B20"/>
  <c r="B14"/>
  <c r="B13"/>
  <c r="B15"/>
  <c r="B16"/>
</calcChain>
</file>

<file path=xl/comments1.xml><?xml version="1.0" encoding="utf-8"?>
<comments xmlns="http://schemas.openxmlformats.org/spreadsheetml/2006/main">
  <authors>
    <author>Adam.Stooke</author>
  </authors>
  <commentList>
    <comment ref="A4" authorId="0">
      <text>
        <r>
          <rPr>
            <b/>
            <sz val="10"/>
            <color indexed="81"/>
            <rFont val="Tahoma"/>
            <family val="2"/>
          </rPr>
          <t>Adam.Stooke:</t>
        </r>
        <r>
          <rPr>
            <sz val="10"/>
            <color indexed="81"/>
            <rFont val="Tahoma"/>
            <family val="2"/>
          </rPr>
          <t xml:space="preserve">
When changing the variables under consideration in 'Cost Analysis' and pulling values from that sheet to this one, updating the formatting will make the references easy to find. But it won't prevent manual overwrite of values on this sheet, which are the ones actively used in all calculations</t>
        </r>
      </text>
    </comment>
  </commentList>
</comments>
</file>

<file path=xl/comments2.xml><?xml version="1.0" encoding="utf-8"?>
<comments xmlns="http://schemas.openxmlformats.org/spreadsheetml/2006/main">
  <authors>
    <author>Adam.Stooke</author>
  </authors>
  <commentList>
    <comment ref="A4" authorId="0">
      <text>
        <r>
          <rPr>
            <b/>
            <sz val="10"/>
            <color indexed="81"/>
            <rFont val="Tahoma"/>
            <family val="2"/>
          </rPr>
          <t>Adam.Stooke:</t>
        </r>
        <r>
          <rPr>
            <sz val="10"/>
            <color indexed="81"/>
            <rFont val="Tahoma"/>
            <family val="2"/>
          </rPr>
          <t xml:space="preserve">
When changing the variables under consideration in 'Cost Analysis' and pulling values from that sheet to this one, updating the formatting will make the references easy to find. But it won't prevent manual overwrite of values on this sheet, which are the ones actively used in all calculations</t>
        </r>
      </text>
    </comment>
  </commentList>
</comments>
</file>

<file path=xl/comments3.xml><?xml version="1.0" encoding="utf-8"?>
<comments xmlns="http://schemas.openxmlformats.org/spreadsheetml/2006/main">
  <authors>
    <author>Adam.Stooke</author>
  </authors>
  <commentList>
    <comment ref="E11" authorId="0">
      <text>
        <r>
          <rPr>
            <b/>
            <sz val="10"/>
            <color indexed="81"/>
            <rFont val="Tahoma"/>
            <family val="2"/>
          </rPr>
          <t>Adam.Stooke:</t>
        </r>
        <r>
          <rPr>
            <sz val="10"/>
            <color indexed="81"/>
            <rFont val="Tahoma"/>
            <family val="2"/>
          </rPr>
          <t xml:space="preserve">
Set up data table by:
1) Input current, min, and max values as appear here,
2) On applicable sheet, set variable value to reference the 'current' cell here,
3) in cell below 'current value', set reference to fully loaded cost from other sheet (or other value of interest)
4) select 6-cell rectangle including those already entered and blanks below min and max values,
5) 'Data' tab, 'What-if Analysis', 'Data Table', set 'Row Input Cell' to the 'current value' cell, press 'OK' </t>
        </r>
      </text>
    </comment>
    <comment ref="F86" authorId="0">
      <text>
        <r>
          <rPr>
            <b/>
            <sz val="10"/>
            <color indexed="81"/>
            <rFont val="Tahoma"/>
            <family val="2"/>
          </rPr>
          <t>Adam.Stooke:</t>
        </r>
        <r>
          <rPr>
            <sz val="10"/>
            <color indexed="81"/>
            <rFont val="Tahoma"/>
            <family val="2"/>
          </rPr>
          <t xml:space="preserve">
Copy both columns of Samples, then right-click here to use "Paste Special", select "Values"
</t>
        </r>
      </text>
    </comment>
  </commentList>
</comments>
</file>

<file path=xl/sharedStrings.xml><?xml version="1.0" encoding="utf-8"?>
<sst xmlns="http://schemas.openxmlformats.org/spreadsheetml/2006/main" count="563" uniqueCount="298">
  <si>
    <t>Production Cost</t>
  </si>
  <si>
    <t>Static Budget</t>
  </si>
  <si>
    <t>Sale Price</t>
  </si>
  <si>
    <t>Margin</t>
  </si>
  <si>
    <t>Cost of Goods Sold</t>
  </si>
  <si>
    <t>Total annual expenses</t>
  </si>
  <si>
    <t xml:space="preserve">Assume all units sold </t>
  </si>
  <si>
    <t>Profit</t>
  </si>
  <si>
    <t>Revenue - COGS</t>
  </si>
  <si>
    <t>Payback Period</t>
  </si>
  <si>
    <t>Up-front investment required to begin production</t>
  </si>
  <si>
    <t>(referenced from "Production Model &amp; OpEx")</t>
  </si>
  <si>
    <t>e.g. what evidence supports this price??</t>
  </si>
  <si>
    <t>Variable Values</t>
  </si>
  <si>
    <t>at Low Result</t>
  </si>
  <si>
    <t>at High Result</t>
  </si>
  <si>
    <t>Equipment+Space</t>
  </si>
  <si>
    <t>Depreciation Period</t>
  </si>
  <si>
    <t>(Will assume straight-line depreciation, 5 years may be standard)</t>
  </si>
  <si>
    <t>Base Area as Implemented</t>
  </si>
  <si>
    <t>Margin = 1 - Cost/Price   (will equal Profit/Revenue)</t>
  </si>
  <si>
    <t>/sq.ft./yr</t>
  </si>
  <si>
    <t>CapEx/(Profit+Depreciation)      (time to break even on up-front investment)</t>
  </si>
  <si>
    <t>show inputs and outputs</t>
  </si>
  <si>
    <t>volume requirement</t>
  </si>
  <si>
    <t>Version 2</t>
  </si>
  <si>
    <t>Last updated 6.18.2015</t>
  </si>
  <si>
    <t>Questions? - Alex Luce: lucealex@gmail.com</t>
  </si>
  <si>
    <t>Yumminess</t>
  </si>
  <si>
    <t>taste rating</t>
  </si>
  <si>
    <t>measured from taste test (objective rating)</t>
  </si>
  <si>
    <t>(roughly the area of equipment for one station, will multiply later for extra space in between)</t>
  </si>
  <si>
    <t>Estimate at 20% of bare equipment and tools costs (e.g. rough industry average)</t>
  </si>
  <si>
    <t>Storage, Receiving, &amp; Shipping</t>
  </si>
  <si>
    <t>Multiplier on floorspace to provide room between workspaces and around equipment</t>
  </si>
  <si>
    <t>(Base Area)*(Workflow Multiplier)</t>
  </si>
  <si>
    <t>Estimate as 20% of working area</t>
  </si>
  <si>
    <t>(Working Area) + (Storage, Receiving, &amp; Shipping)</t>
  </si>
  <si>
    <t>&lt;-- (see comment for setup guide)</t>
  </si>
  <si>
    <t>&lt;-- (Not the full cost)</t>
  </si>
  <si>
    <t>e.g. targeted volume based on market study for specific product, including customer interviews</t>
  </si>
  <si>
    <t>Roughly standard weekends and holidays</t>
  </si>
  <si>
    <t>e.g. 1 standard shift</t>
  </si>
  <si>
    <t>Allows for imperfect machinery/equipment use--maintenance downtime, breaks, etc. (average differs by industry)</t>
  </si>
  <si>
    <t>e.g. estimated from power rating of slicer and time to slice a block</t>
  </si>
  <si>
    <t>e.g. estimated from toaster and odor analyzer power ratings</t>
  </si>
  <si>
    <t>e.g. quote from supplier 'xx' when buying 20 blocks at a time</t>
  </si>
  <si>
    <t>e.g. Estimate based on expected waste products (non-toxic in example)</t>
  </si>
  <si>
    <t>e.g. quote from equipment catalogue 'yy'</t>
  </si>
  <si>
    <t>e.g. estimate for scientific equipment--may be able to negotiate</t>
  </si>
  <si>
    <t>Production Volume = Sales Forecast</t>
  </si>
  <si>
    <t>OPERATING PLAN</t>
  </si>
  <si>
    <t>/sandwich</t>
  </si>
  <si>
    <t>/g</t>
  </si>
  <si>
    <t>/gal</t>
  </si>
  <si>
    <t>/block</t>
  </si>
  <si>
    <t>/slice</t>
  </si>
  <si>
    <t>/hr</t>
  </si>
  <si>
    <t>/yr/person</t>
  </si>
  <si>
    <t>/kWh</t>
  </si>
  <si>
    <t>/year</t>
  </si>
  <si>
    <t>Total Working Area</t>
  </si>
  <si>
    <t>Building Upfit</t>
  </si>
  <si>
    <t>FF&amp;E (furniture, fixtures, and equipment other than processing and characterization tools)</t>
  </si>
  <si>
    <t>Building Lease</t>
  </si>
  <si>
    <t>e.g. estimate from local rates  (sq footage calculated on "CapEx" sheet)</t>
  </si>
  <si>
    <t>Sub-Totals (per unit)</t>
  </si>
  <si>
    <t>Sub-Totals (annual)</t>
  </si>
  <si>
    <t>Stage 1 - Make Dough &amp; Form Buns</t>
  </si>
  <si>
    <t>Stage 2 - Bake Buns</t>
  </si>
  <si>
    <t>Stage 3 - Slice Meat</t>
  </si>
  <si>
    <t>Stage 4 - Assemble Sandwiches</t>
  </si>
  <si>
    <t>Stage 5 - Toast &amp; Test</t>
  </si>
  <si>
    <t>Indirect</t>
  </si>
  <si>
    <t>Total Operating Expenditure</t>
  </si>
  <si>
    <t>Total Capital Expenditure</t>
  </si>
  <si>
    <t>Capital Depreciation</t>
  </si>
  <si>
    <t>Distributed Capital Cost</t>
  </si>
  <si>
    <t>Operating Cost</t>
  </si>
  <si>
    <t>OpEx + Distributed CapEx</t>
  </si>
  <si>
    <t>Plant Design and Installation Cost</t>
  </si>
  <si>
    <t>Bare Equipment + Tools Sub-Total</t>
  </si>
  <si>
    <t>Equipment + Tools Installed Total</t>
  </si>
  <si>
    <t>(pct. of CapEx)</t>
  </si>
  <si>
    <t>(includes labor burden over base wage)</t>
  </si>
  <si>
    <t>(includes labor burden over base salary)</t>
  </si>
  <si>
    <t>grams/gallon</t>
  </si>
  <si>
    <t>(assume 2,800 g/meat block, cut into slices as in 'Production Model')</t>
  </si>
  <si>
    <t>calculated from ingredients (ignoring water evaporation during baking)</t>
  </si>
  <si>
    <t>(see notes --&gt;)</t>
  </si>
  <si>
    <t>Chef</t>
  </si>
  <si>
    <t>chef</t>
  </si>
  <si>
    <t>CapEx</t>
  </si>
  <si>
    <t>Estimate at 0.2 kWh/sq.ft./day (guess for example)</t>
  </si>
  <si>
    <t>e.g. from discussion with potential suppliers</t>
  </si>
  <si>
    <t>OPERATING EXPENDITURES</t>
  </si>
  <si>
    <t>Cost Rates</t>
  </si>
  <si>
    <t>$/kcal</t>
  </si>
  <si>
    <t>Equipment Total</t>
  </si>
  <si>
    <t>PERFORMANCE &amp; COST METRICS</t>
  </si>
  <si>
    <t>PERFORMANCE CALCULATIONS</t>
  </si>
  <si>
    <t>(e.g. referenced from website 'xx')</t>
  </si>
  <si>
    <t>(e.g. from published research paper 'yy')</t>
  </si>
  <si>
    <t>(e.g. common industry average, from experts)</t>
  </si>
  <si>
    <t>(e.g. according to supplier specification)</t>
  </si>
  <si>
    <t>(multiplying by number of slices)</t>
  </si>
  <si>
    <t>SUPPORTING VALUES</t>
  </si>
  <si>
    <t>Baking Oven Cycle Time</t>
  </si>
  <si>
    <t>hours</t>
  </si>
  <si>
    <t>Chart Title</t>
  </si>
  <si>
    <t>slices</t>
  </si>
  <si>
    <t>(Equipment distributed with raw values over project life, not discounted values)</t>
  </si>
  <si>
    <t>Inputs of Interest:</t>
  </si>
  <si>
    <t>Cost of Cheese</t>
  </si>
  <si>
    <t>sandwiches/year</t>
  </si>
  <si>
    <t>Meat per Sandwich</t>
  </si>
  <si>
    <t>Main Results:</t>
  </si>
  <si>
    <t>Other Results:</t>
  </si>
  <si>
    <t>No. of Ovens Req'd</t>
  </si>
  <si>
    <t>Toaster Utilization</t>
  </si>
  <si>
    <t>(max may be capped &lt;100%)</t>
  </si>
  <si>
    <t>UNIT</t>
  </si>
  <si>
    <t>Legend:</t>
  </si>
  <si>
    <t>Input</t>
  </si>
  <si>
    <t>Calculation</t>
  </si>
  <si>
    <t>e.g. referenced from industry experience by so-and-so</t>
  </si>
  <si>
    <t>e.g. material amounts for buns determined from reference recipe</t>
  </si>
  <si>
    <t>COST SENSITIVITY</t>
  </si>
  <si>
    <t>Input Sent to Other Sheet</t>
  </si>
  <si>
    <t>Input from 'Cost Analysis' Sheet</t>
  </si>
  <si>
    <t>Values Legend:</t>
  </si>
  <si>
    <t>Significant Result</t>
  </si>
  <si>
    <t>(Inputs not active here)</t>
  </si>
  <si>
    <t>(just chosen as an example)</t>
  </si>
  <si>
    <t>&lt;-- (Resulting Production Cost)</t>
  </si>
  <si>
    <t>(must send desired output here)--&gt;</t>
  </si>
  <si>
    <t>e.g. do this again but with different equipment (such as a bigger oven or mixer) or other settings</t>
  </si>
  <si>
    <t>Waste Management</t>
  </si>
  <si>
    <t>(pct. of Materials)</t>
  </si>
  <si>
    <t>e.g. Estimate from industry experience</t>
  </si>
  <si>
    <t>Implemented No. Parallel Stations</t>
  </si>
  <si>
    <t>(includes factors for number of parallel stations from 'Production Model')</t>
  </si>
  <si>
    <t>Calories</t>
  </si>
  <si>
    <t>Bread</t>
  </si>
  <si>
    <t>Energy-Mass Density</t>
  </si>
  <si>
    <t>Meat</t>
  </si>
  <si>
    <t>Mass</t>
  </si>
  <si>
    <t>g/sandwich</t>
  </si>
  <si>
    <t>cal/g</t>
  </si>
  <si>
    <t>cal/sandwich</t>
  </si>
  <si>
    <t>Mass of Slice</t>
  </si>
  <si>
    <t>g/slice</t>
  </si>
  <si>
    <t>Sandwich Size</t>
  </si>
  <si>
    <t>bites/sandwich</t>
  </si>
  <si>
    <t>Energy Density</t>
  </si>
  <si>
    <t>cal/bite</t>
  </si>
  <si>
    <t>(supporting calculation in determining performance)</t>
  </si>
  <si>
    <t>e.g. measured from prototype or estimated from design specs</t>
  </si>
  <si>
    <t>(made up for example) from numerous customer conversations--this value determined to be important metric for target sector: more calories per bite supports a higher price</t>
  </si>
  <si>
    <t>(made up for example) discovered through primary research--market and customers impose constraints on this value: customer price per calorie must be below certain values or risk losing market segments either to direct competitors or to alternative food sources</t>
  </si>
  <si>
    <t>Customer Cost Effectiveness</t>
  </si>
  <si>
    <t>Revenue</t>
  </si>
  <si>
    <t>OpEx</t>
  </si>
  <si>
    <t>Fully Loaded Production Cost</t>
  </si>
  <si>
    <t>years</t>
  </si>
  <si>
    <t>Cost of Direct Labor</t>
  </si>
  <si>
    <t>Yield of Final Test</t>
  </si>
  <si>
    <t>Meat Slices per Sandwich</t>
  </si>
  <si>
    <t>MINIMUM</t>
  </si>
  <si>
    <t>MAXIMUM</t>
  </si>
  <si>
    <t>CURRENT VALUE</t>
  </si>
  <si>
    <t>%</t>
  </si>
  <si>
    <t>Axis Labels</t>
  </si>
  <si>
    <t>(Auto-fills for chart values)</t>
  </si>
  <si>
    <t>(plausible range)</t>
  </si>
  <si>
    <t>(ref other sheet to here)</t>
  </si>
  <si>
    <t>Direct Labor</t>
  </si>
  <si>
    <t>Sub-Total</t>
  </si>
  <si>
    <t>($/sandwich)</t>
  </si>
  <si>
    <t>(e.g. no maintenance, mgmt)</t>
  </si>
  <si>
    <t>Fully Loaded Cost</t>
  </si>
  <si>
    <t>(sandwiches/year)</t>
  </si>
  <si>
    <t>Active:</t>
  </si>
  <si>
    <t>Samples:</t>
  </si>
  <si>
    <t>DIRECT COSTS BY STAGE</t>
  </si>
  <si>
    <t>FULLY LOADED COST, SCALING</t>
  </si>
  <si>
    <t>Current Calculation</t>
  </si>
  <si>
    <t>Prod Vol</t>
  </si>
  <si>
    <t>Prod Cost</t>
  </si>
  <si>
    <t>Case 1</t>
  </si>
  <si>
    <t>Case 2</t>
  </si>
  <si>
    <t>Plotted Values</t>
  </si>
  <si>
    <t>Case Descriptions</t>
  </si>
  <si>
    <t>Case 1:</t>
  </si>
  <si>
    <t>Case 2:</t>
  </si>
  <si>
    <t>e.g. Default scenario</t>
  </si>
  <si>
    <t>If needed, a place for supporting calculations to help determine inputs into production model or product performance</t>
  </si>
  <si>
    <t>Product Price</t>
  </si>
  <si>
    <t>kW/line</t>
  </si>
  <si>
    <t>Burden Rate (for all labor)</t>
  </si>
  <si>
    <t>Total Base Area (sum of stages)</t>
  </si>
  <si>
    <t>Total as Implemented</t>
  </si>
  <si>
    <t>(includes factor for number of parallel stations from 'Production Model')</t>
  </si>
  <si>
    <t>Production Volume</t>
  </si>
  <si>
    <t>ITEM</t>
  </si>
  <si>
    <t>VALUE</t>
  </si>
  <si>
    <t>sandwiches/yr</t>
  </si>
  <si>
    <t>Daily PV</t>
  </si>
  <si>
    <t>Operating Days per Year</t>
  </si>
  <si>
    <t>Operating Hours per Operating Day</t>
  </si>
  <si>
    <t>Maximum Allowed Line Utilization</t>
  </si>
  <si>
    <t>days/yr</t>
  </si>
  <si>
    <t>hr/day</t>
  </si>
  <si>
    <t>sandwiches/day</t>
  </si>
  <si>
    <t>Materials</t>
  </si>
  <si>
    <t>Flour</t>
  </si>
  <si>
    <t>Water</t>
  </si>
  <si>
    <t>Yeast</t>
  </si>
  <si>
    <t>Outputs</t>
  </si>
  <si>
    <t>Raw Buns</t>
  </si>
  <si>
    <t>Labor (Direct)</t>
  </si>
  <si>
    <t>Electricity</t>
  </si>
  <si>
    <t>Inputs</t>
  </si>
  <si>
    <t>Operation</t>
  </si>
  <si>
    <t>Cycle Time</t>
  </si>
  <si>
    <t>Required Gross PV</t>
  </si>
  <si>
    <t>Gross Production Capacity</t>
  </si>
  <si>
    <t>Line Utilization</t>
  </si>
  <si>
    <t>NOTES</t>
  </si>
  <si>
    <t>PROCESS VALUE</t>
  </si>
  <si>
    <t>CONSUMPTION/PRODUCTION</t>
  </si>
  <si>
    <t>UNITS</t>
  </si>
  <si>
    <t>COST</t>
  </si>
  <si>
    <t>g/batch</t>
  </si>
  <si>
    <t>gal/batch</t>
  </si>
  <si>
    <t>Salt</t>
  </si>
  <si>
    <t>workers/line</t>
  </si>
  <si>
    <t>kWh/batch</t>
  </si>
  <si>
    <t>buns/batch</t>
  </si>
  <si>
    <t>hours/batch</t>
  </si>
  <si>
    <t>batches/day</t>
  </si>
  <si>
    <t>prod lines</t>
  </si>
  <si>
    <t>g/day</t>
  </si>
  <si>
    <t>gal/day</t>
  </si>
  <si>
    <t>person-hr/day</t>
  </si>
  <si>
    <t>kWh/day</t>
  </si>
  <si>
    <t>buns/day</t>
  </si>
  <si>
    <t>$</t>
  </si>
  <si>
    <t>Herbs</t>
  </si>
  <si>
    <t>Baked Buns</t>
  </si>
  <si>
    <t>Meat Block</t>
  </si>
  <si>
    <t>Sliced Meat</t>
  </si>
  <si>
    <t>blocks/batch</t>
  </si>
  <si>
    <t>slices/batch</t>
  </si>
  <si>
    <t>blocks/day</t>
  </si>
  <si>
    <t>slices/day</t>
  </si>
  <si>
    <t>Cheese</t>
  </si>
  <si>
    <t>Cold Sandwiches</t>
  </si>
  <si>
    <t>sandwiches/batch</t>
  </si>
  <si>
    <t>Toasted Sandwiches</t>
  </si>
  <si>
    <t>Yield Percentage (see NOTES column)</t>
  </si>
  <si>
    <t>Some slices dropped on floor, ends not used</t>
  </si>
  <si>
    <t>sandwiches tested for proper aroma and appearance, usually but not always achieved</t>
  </si>
  <si>
    <t>person-hrs/day</t>
  </si>
  <si>
    <t>PRODUCTION OPERATIONS</t>
  </si>
  <si>
    <t>$/sandwich</t>
  </si>
  <si>
    <t>Labor</t>
  </si>
  <si>
    <t>Meat Blocks</t>
  </si>
  <si>
    <t>$/year</t>
  </si>
  <si>
    <t>$/slice</t>
  </si>
  <si>
    <t>$/hr</t>
  </si>
  <si>
    <t>e.g. quote from website 'xx'</t>
  </si>
  <si>
    <t>e.g. quote from catalogue 'yy' when buying 50 kg</t>
  </si>
  <si>
    <t>Stage 1</t>
  </si>
  <si>
    <t>Stage 2</t>
  </si>
  <si>
    <t>Stage 3</t>
  </si>
  <si>
    <t>Stage 4</t>
  </si>
  <si>
    <t>Stage 5</t>
  </si>
  <si>
    <t>Direct</t>
  </si>
  <si>
    <t>managers</t>
  </si>
  <si>
    <t>Maintenance</t>
  </si>
  <si>
    <t>Management</t>
  </si>
  <si>
    <t>Allows for taxes, benefits, vacations, etc.</t>
  </si>
  <si>
    <t>Electricity - Factory Lighting &amp; HVAC</t>
  </si>
  <si>
    <t>Odor Analyzer</t>
  </si>
  <si>
    <t>Area per Line</t>
  </si>
  <si>
    <t>Building</t>
  </si>
  <si>
    <t>Workflow Space Factor</t>
  </si>
  <si>
    <t>Final Area</t>
  </si>
  <si>
    <t>sq.ft.</t>
  </si>
  <si>
    <t>(price per amount needed for one operating line)</t>
  </si>
  <si>
    <t>Industrial Mixer, 10 gal</t>
  </si>
  <si>
    <t>Materials Handling Tools</t>
  </si>
  <si>
    <t>Oven, Upright, 12 racks</t>
  </si>
  <si>
    <t>Meat Slicer w/ extra blades</t>
  </si>
  <si>
    <t>Table, 24 ft</t>
  </si>
  <si>
    <t>Toaster Oven, Conveyor, 12 sandwich capacity</t>
  </si>
  <si>
    <t>Other</t>
  </si>
</sst>
</file>

<file path=xl/styles.xml><?xml version="1.0" encoding="utf-8"?>
<styleSheet xmlns="http://schemas.openxmlformats.org/spreadsheetml/2006/main">
  <numFmts count="15">
    <numFmt numFmtId="6" formatCode="&quot;$&quot;#,##0_);[Red]\(&quot;$&quot;#,##0\)"/>
    <numFmt numFmtId="8" formatCode="&quot;$&quot;#,##0.00_);[Red]\(&quot;$&quot;#,##0.0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00_);_(&quot;$&quot;* \(#,##0.00\);_(&quot;$&quot;* &quot;-&quot;??_);_(@_)"/>
    <numFmt numFmtId="165" formatCode="_(* #,##0.00_);_(* \(#,##0.00\);_(* &quot;-&quot;??_);_(@_)"/>
    <numFmt numFmtId="166" formatCode="0.00000"/>
    <numFmt numFmtId="167" formatCode="0.0"/>
    <numFmt numFmtId="168" formatCode="#,##0.0"/>
    <numFmt numFmtId="169" formatCode="_(&quot;$&quot;* #,##0_);_(&quot;$&quot;* \(#,##0\);_(&quot;$&quot;* &quot;-&quot;??_);_(@_)"/>
    <numFmt numFmtId="170" formatCode="_(&quot;$&quot;* #,##0.000_);_(&quot;$&quot;* \(#,##0.000\);_(&quot;$&quot;* &quot;-&quot;??_);_(@_)"/>
    <numFmt numFmtId="171" formatCode="_(&quot;$&quot;* #,##0.0000_);_(&quot;$&quot;* \(#,##0.0000\);_(&quot;$&quot;* &quot;-&quot;??_);_(@_)"/>
    <numFmt numFmtId="172" formatCode="_(&quot;$&quot;* #,##0.00000_);_(&quot;$&quot;* \(#,##0.00000\);_(&quot;$&quot;* &quot;-&quot;??_);_(@_)"/>
  </numFmts>
  <fonts count="15">
    <font>
      <sz val="11"/>
      <color theme="1"/>
      <name val="Calibri"/>
      <family val="2"/>
      <scheme val="minor"/>
    </font>
    <font>
      <sz val="11"/>
      <color theme="1"/>
      <name val="Calibri"/>
      <family val="2"/>
      <scheme val="minor"/>
    </font>
    <font>
      <b/>
      <sz val="11"/>
      <color theme="1"/>
      <name val="Calibri"/>
      <family val="2"/>
      <scheme val="minor"/>
    </font>
    <font>
      <b/>
      <u/>
      <sz val="11"/>
      <color theme="1"/>
      <name val="Calibri"/>
      <family val="2"/>
      <scheme val="minor"/>
    </font>
    <font>
      <u/>
      <sz val="11"/>
      <color theme="1"/>
      <name val="Calibri"/>
      <family val="2"/>
      <scheme val="minor"/>
    </font>
    <font>
      <i/>
      <sz val="11"/>
      <color rgb="FF0070C0"/>
      <name val="Calibri"/>
      <family val="2"/>
      <scheme val="minor"/>
    </font>
    <font>
      <u/>
      <sz val="11"/>
      <color theme="0" tint="-0.34998626667073579"/>
      <name val="Calibri"/>
      <family val="2"/>
      <scheme val="minor"/>
    </font>
    <font>
      <sz val="11"/>
      <color theme="0" tint="-0.34998626667073579"/>
      <name val="Calibri"/>
      <family val="2"/>
      <scheme val="minor"/>
    </font>
    <font>
      <sz val="10"/>
      <color indexed="81"/>
      <name val="Tahoma"/>
      <family val="2"/>
    </font>
    <font>
      <b/>
      <sz val="10"/>
      <color indexed="81"/>
      <name val="Tahoma"/>
      <family val="2"/>
    </font>
    <font>
      <u val="singleAccounting"/>
      <sz val="11"/>
      <color theme="1"/>
      <name val="Calibri"/>
      <family val="2"/>
      <scheme val="minor"/>
    </font>
    <font>
      <b/>
      <u val="singleAccounting"/>
      <sz val="11"/>
      <color theme="1"/>
      <name val="Calibri"/>
      <family val="2"/>
      <scheme val="minor"/>
    </font>
    <font>
      <i/>
      <u val="singleAccounting"/>
      <sz val="11"/>
      <color rgb="FF0070C0"/>
      <name val="Calibri"/>
      <family val="2"/>
      <scheme val="minor"/>
    </font>
    <font>
      <i/>
      <sz val="11"/>
      <color theme="4"/>
      <name val="Calibri"/>
      <scheme val="minor"/>
    </font>
    <font>
      <sz val="8"/>
      <name val="Verdana"/>
    </font>
  </fonts>
  <fills count="3">
    <fill>
      <patternFill patternType="none"/>
    </fill>
    <fill>
      <patternFill patternType="gray125"/>
    </fill>
    <fill>
      <patternFill patternType="solid">
        <fgColor theme="4" tint="0.79998168889431442"/>
        <bgColor indexed="64"/>
      </patternFill>
    </fill>
  </fills>
  <borders count="12">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4">
    <xf numFmtId="0" fontId="0" fillId="0" borderId="0"/>
    <xf numFmtId="9" fontId="1" fillId="0" borderId="0" applyFont="0" applyFill="0" applyBorder="0" applyAlignment="0" applyProtection="0"/>
    <xf numFmtId="164" fontId="1" fillId="0" borderId="0" applyFont="0" applyFill="0" applyBorder="0" applyAlignment="0" applyProtection="0"/>
    <xf numFmtId="165" fontId="1" fillId="0" borderId="0" applyFont="0" applyFill="0" applyBorder="0" applyAlignment="0" applyProtection="0"/>
  </cellStyleXfs>
  <cellXfs count="119">
    <xf numFmtId="0" fontId="0" fillId="0" borderId="0" xfId="0"/>
    <xf numFmtId="0" fontId="2" fillId="0" borderId="0" xfId="0" applyFont="1"/>
    <xf numFmtId="0" fontId="3" fillId="0" borderId="0" xfId="0" applyFont="1"/>
    <xf numFmtId="0" fontId="4" fillId="0" borderId="0" xfId="0" applyFont="1"/>
    <xf numFmtId="0" fontId="4" fillId="0" borderId="0" xfId="0" applyFont="1" applyAlignment="1">
      <alignment horizontal="center"/>
    </xf>
    <xf numFmtId="11" fontId="0" fillId="0" borderId="0" xfId="0" applyNumberFormat="1"/>
    <xf numFmtId="9" fontId="0" fillId="0" borderId="0" xfId="1" applyFont="1"/>
    <xf numFmtId="0" fontId="0" fillId="0" borderId="0" xfId="0" applyFont="1"/>
    <xf numFmtId="0" fontId="0" fillId="0" borderId="0" xfId="0" applyFont="1" applyAlignment="1">
      <alignment horizontal="left" indent="1"/>
    </xf>
    <xf numFmtId="0" fontId="0" fillId="0" borderId="0" xfId="0" applyAlignment="1">
      <alignment horizontal="left" indent="1"/>
    </xf>
    <xf numFmtId="0" fontId="4" fillId="0" borderId="0" xfId="0" applyFont="1" applyAlignment="1">
      <alignment horizontal="center" wrapText="1"/>
    </xf>
    <xf numFmtId="0" fontId="4" fillId="0" borderId="0" xfId="0" applyFont="1" applyAlignment="1">
      <alignment horizontal="left"/>
    </xf>
    <xf numFmtId="0" fontId="0" fillId="0" borderId="0" xfId="0" applyAlignment="1">
      <alignment horizontal="left"/>
    </xf>
    <xf numFmtId="0" fontId="0" fillId="0" borderId="0" xfId="0" applyAlignment="1">
      <alignment wrapText="1"/>
    </xf>
    <xf numFmtId="0" fontId="0" fillId="0" borderId="0" xfId="0" applyAlignment="1">
      <alignment horizontal="center"/>
    </xf>
    <xf numFmtId="0" fontId="0" fillId="0" borderId="0" xfId="0"/>
    <xf numFmtId="0" fontId="0" fillId="0" borderId="0" xfId="0"/>
    <xf numFmtId="0" fontId="4" fillId="0" borderId="0" xfId="0" applyFont="1"/>
    <xf numFmtId="0" fontId="2" fillId="0" borderId="0" xfId="0" applyFont="1"/>
    <xf numFmtId="0" fontId="3" fillId="0" borderId="0" xfId="0" applyFont="1"/>
    <xf numFmtId="0" fontId="4" fillId="0" borderId="0" xfId="0" applyFont="1" applyAlignment="1">
      <alignment horizontal="center"/>
    </xf>
    <xf numFmtId="2" fontId="0" fillId="0" borderId="0" xfId="0" applyNumberFormat="1"/>
    <xf numFmtId="0" fontId="0" fillId="0" borderId="0" xfId="0" applyAlignment="1">
      <alignment wrapText="1"/>
    </xf>
    <xf numFmtId="0" fontId="0" fillId="0" borderId="0" xfId="0" applyAlignment="1">
      <alignment horizontal="right"/>
    </xf>
    <xf numFmtId="164" fontId="0" fillId="0" borderId="0" xfId="2" applyFont="1"/>
    <xf numFmtId="164" fontId="0" fillId="0" borderId="0" xfId="0" applyNumberFormat="1"/>
    <xf numFmtId="167" fontId="0" fillId="0" borderId="0" xfId="0" applyNumberFormat="1"/>
    <xf numFmtId="0" fontId="0" fillId="0" borderId="0" xfId="0" applyAlignment="1">
      <alignment horizontal="left"/>
    </xf>
    <xf numFmtId="0" fontId="4" fillId="0" borderId="0" xfId="0" applyFont="1" applyAlignment="1">
      <alignment horizontal="center"/>
    </xf>
    <xf numFmtId="3" fontId="0" fillId="0" borderId="0" xfId="0" applyNumberFormat="1"/>
    <xf numFmtId="3" fontId="2" fillId="0" borderId="0" xfId="0" applyNumberFormat="1" applyFont="1"/>
    <xf numFmtId="169" fontId="0" fillId="0" borderId="0" xfId="2" applyNumberFormat="1" applyFont="1"/>
    <xf numFmtId="169" fontId="2" fillId="0" borderId="0" xfId="2" applyNumberFormat="1" applyFont="1"/>
    <xf numFmtId="2" fontId="2" fillId="0" borderId="0" xfId="0" applyNumberFormat="1" applyFont="1"/>
    <xf numFmtId="3" fontId="0" fillId="0" borderId="0" xfId="3" applyNumberFormat="1" applyFont="1"/>
    <xf numFmtId="11" fontId="5" fillId="0" borderId="0" xfId="0" applyNumberFormat="1" applyFont="1"/>
    <xf numFmtId="0" fontId="5" fillId="0" borderId="0" xfId="0" applyFont="1"/>
    <xf numFmtId="9" fontId="5" fillId="0" borderId="0" xfId="1" applyFont="1"/>
    <xf numFmtId="166" fontId="5" fillId="0" borderId="0" xfId="0" applyNumberFormat="1" applyFont="1"/>
    <xf numFmtId="0" fontId="5" fillId="0" borderId="0" xfId="0" applyFont="1" applyFill="1"/>
    <xf numFmtId="3" fontId="5" fillId="0" borderId="0" xfId="0" applyNumberFormat="1" applyFont="1"/>
    <xf numFmtId="168" fontId="5" fillId="0" borderId="0" xfId="0" applyNumberFormat="1" applyFont="1"/>
    <xf numFmtId="1" fontId="0" fillId="0" borderId="0" xfId="0" applyNumberFormat="1"/>
    <xf numFmtId="1" fontId="4" fillId="0" borderId="0" xfId="0" applyNumberFormat="1" applyFont="1"/>
    <xf numFmtId="1" fontId="2" fillId="0" borderId="0" xfId="0" applyNumberFormat="1" applyFont="1"/>
    <xf numFmtId="169" fontId="0" fillId="0" borderId="0" xfId="0" applyNumberFormat="1"/>
    <xf numFmtId="9" fontId="2" fillId="0" borderId="0" xfId="1" applyFont="1"/>
    <xf numFmtId="9" fontId="2" fillId="0" borderId="0" xfId="0" applyNumberFormat="1" applyFont="1"/>
    <xf numFmtId="0" fontId="4" fillId="0" borderId="0" xfId="0" applyFont="1" applyAlignment="1">
      <alignment horizontal="center"/>
    </xf>
    <xf numFmtId="0" fontId="0" fillId="0" borderId="0" xfId="0" applyAlignment="1">
      <alignment horizontal="left"/>
    </xf>
    <xf numFmtId="0" fontId="4" fillId="0" borderId="0" xfId="0" applyFont="1" applyAlignment="1"/>
    <xf numFmtId="0" fontId="0" fillId="0" borderId="0" xfId="0" applyAlignment="1"/>
    <xf numFmtId="167" fontId="2" fillId="0" borderId="0" xfId="0" applyNumberFormat="1" applyFont="1"/>
    <xf numFmtId="2" fontId="5" fillId="0" borderId="0" xfId="0" applyNumberFormat="1" applyFont="1"/>
    <xf numFmtId="164" fontId="0" fillId="0" borderId="0" xfId="2" applyNumberFormat="1" applyFont="1"/>
    <xf numFmtId="164" fontId="2" fillId="0" borderId="0" xfId="2" applyNumberFormat="1" applyFont="1"/>
    <xf numFmtId="0" fontId="4" fillId="0" borderId="2" xfId="0" applyFont="1" applyBorder="1"/>
    <xf numFmtId="0" fontId="4" fillId="0" borderId="4" xfId="0" applyFont="1" applyBorder="1"/>
    <xf numFmtId="11" fontId="0" fillId="0" borderId="4" xfId="0" applyNumberFormat="1" applyBorder="1"/>
    <xf numFmtId="0" fontId="0" fillId="0" borderId="0" xfId="0" applyFont="1" applyFill="1" applyBorder="1"/>
    <xf numFmtId="0" fontId="5" fillId="2" borderId="0" xfId="0" applyFont="1" applyFill="1"/>
    <xf numFmtId="0" fontId="6" fillId="0" borderId="5" xfId="0" applyFont="1" applyBorder="1" applyAlignment="1">
      <alignment horizontal="center"/>
    </xf>
    <xf numFmtId="0" fontId="7" fillId="0" borderId="4" xfId="0" applyFont="1" applyBorder="1"/>
    <xf numFmtId="0" fontId="7" fillId="0" borderId="0" xfId="0" applyFont="1" applyBorder="1"/>
    <xf numFmtId="0" fontId="7" fillId="0" borderId="5" xfId="0" applyFont="1" applyBorder="1"/>
    <xf numFmtId="164" fontId="7" fillId="0" borderId="4" xfId="2" applyNumberFormat="1" applyFont="1" applyBorder="1"/>
    <xf numFmtId="164" fontId="7" fillId="0" borderId="0" xfId="2" applyNumberFormat="1" applyFont="1" applyBorder="1"/>
    <xf numFmtId="0" fontId="6" fillId="0" borderId="5" xfId="0" applyFont="1" applyBorder="1"/>
    <xf numFmtId="0" fontId="7" fillId="0" borderId="6" xfId="0" applyFont="1" applyBorder="1"/>
    <xf numFmtId="0" fontId="7" fillId="0" borderId="7" xfId="0" applyFont="1" applyBorder="1"/>
    <xf numFmtId="0" fontId="7" fillId="0" borderId="8" xfId="0" applyFont="1" applyBorder="1"/>
    <xf numFmtId="0" fontId="0" fillId="0" borderId="7" xfId="0" applyBorder="1" applyAlignment="1">
      <alignment horizontal="right"/>
    </xf>
    <xf numFmtId="164" fontId="0" fillId="0" borderId="7" xfId="2" applyFont="1" applyBorder="1"/>
    <xf numFmtId="11" fontId="2" fillId="0" borderId="0" xfId="0" applyNumberFormat="1" applyFont="1"/>
    <xf numFmtId="4" fontId="2" fillId="0" borderId="0" xfId="0" applyNumberFormat="1" applyFont="1"/>
    <xf numFmtId="0" fontId="4" fillId="0" borderId="9" xfId="0" applyFont="1" applyBorder="1"/>
    <xf numFmtId="0" fontId="5" fillId="0" borderId="10" xfId="0" applyFont="1" applyBorder="1" applyAlignment="1">
      <alignment horizontal="right"/>
    </xf>
    <xf numFmtId="0" fontId="0" fillId="0" borderId="11" xfId="0" applyBorder="1" applyAlignment="1">
      <alignment horizontal="right"/>
    </xf>
    <xf numFmtId="0" fontId="5" fillId="2" borderId="7" xfId="0" applyFont="1" applyFill="1" applyBorder="1"/>
    <xf numFmtId="0" fontId="5" fillId="2" borderId="10" xfId="0" applyFont="1" applyFill="1" applyBorder="1" applyAlignment="1">
      <alignment horizontal="right"/>
    </xf>
    <xf numFmtId="11" fontId="5" fillId="2" borderId="0" xfId="0" applyNumberFormat="1" applyFont="1" applyFill="1"/>
    <xf numFmtId="9" fontId="5" fillId="2" borderId="0" xfId="1" applyFont="1" applyFill="1"/>
    <xf numFmtId="0" fontId="0" fillId="0" borderId="10" xfId="0" applyBorder="1" applyAlignment="1">
      <alignment horizontal="right"/>
    </xf>
    <xf numFmtId="0" fontId="2" fillId="0" borderId="11" xfId="0" applyFont="1" applyBorder="1" applyAlignment="1">
      <alignment horizontal="right"/>
    </xf>
    <xf numFmtId="164" fontId="0" fillId="0" borderId="2" xfId="2" applyFont="1" applyBorder="1"/>
    <xf numFmtId="164" fontId="2" fillId="0" borderId="1" xfId="2" applyFont="1" applyBorder="1"/>
    <xf numFmtId="0" fontId="2" fillId="0" borderId="0" xfId="0" applyFont="1" applyBorder="1" applyAlignment="1">
      <alignment horizontal="right"/>
    </xf>
    <xf numFmtId="0" fontId="3" fillId="0" borderId="0" xfId="0" applyFont="1" applyAlignment="1">
      <alignment horizontal="center"/>
    </xf>
    <xf numFmtId="0" fontId="6" fillId="0" borderId="4" xfId="0" applyFont="1" applyBorder="1" applyAlignment="1">
      <alignment horizontal="center"/>
    </xf>
    <xf numFmtId="0" fontId="6" fillId="0" borderId="0" xfId="0" applyFont="1" applyBorder="1" applyAlignment="1">
      <alignment horizontal="center"/>
    </xf>
    <xf numFmtId="164" fontId="5" fillId="0" borderId="0" xfId="2" applyFont="1"/>
    <xf numFmtId="170" fontId="5" fillId="0" borderId="0" xfId="2" applyNumberFormat="1" applyFont="1"/>
    <xf numFmtId="171" fontId="5" fillId="0" borderId="0" xfId="2" applyNumberFormat="1" applyFont="1"/>
    <xf numFmtId="172" fontId="5" fillId="0" borderId="0" xfId="2" applyNumberFormat="1" applyFont="1"/>
    <xf numFmtId="164" fontId="5" fillId="2" borderId="0" xfId="2" applyFont="1" applyFill="1"/>
    <xf numFmtId="169" fontId="5" fillId="0" borderId="0" xfId="2" applyNumberFormat="1" applyFont="1"/>
    <xf numFmtId="164" fontId="4" fillId="0" borderId="0" xfId="2" applyFont="1"/>
    <xf numFmtId="164" fontId="2" fillId="0" borderId="0" xfId="2" applyFont="1"/>
    <xf numFmtId="169" fontId="4" fillId="0" borderId="0" xfId="2" applyNumberFormat="1" applyFont="1"/>
    <xf numFmtId="170" fontId="0" fillId="0" borderId="0" xfId="2" applyNumberFormat="1" applyFont="1"/>
    <xf numFmtId="171" fontId="0" fillId="0" borderId="0" xfId="2" applyNumberFormat="1" applyFont="1"/>
    <xf numFmtId="172" fontId="0" fillId="0" borderId="0" xfId="2" applyNumberFormat="1" applyFont="1"/>
    <xf numFmtId="0" fontId="0" fillId="0" borderId="0" xfId="0" applyFill="1" applyBorder="1"/>
    <xf numFmtId="164" fontId="10" fillId="0" borderId="0" xfId="0" applyNumberFormat="1" applyFont="1"/>
    <xf numFmtId="169" fontId="10" fillId="0" borderId="0" xfId="0" applyNumberFormat="1" applyFont="1"/>
    <xf numFmtId="164" fontId="2" fillId="0" borderId="0" xfId="0" applyNumberFormat="1" applyFont="1"/>
    <xf numFmtId="169" fontId="2" fillId="0" borderId="0" xfId="0" applyNumberFormat="1" applyFont="1"/>
    <xf numFmtId="169" fontId="11" fillId="0" borderId="0" xfId="2" applyNumberFormat="1" applyFont="1"/>
    <xf numFmtId="169" fontId="12" fillId="0" borderId="0" xfId="2" applyNumberFormat="1" applyFont="1"/>
    <xf numFmtId="0" fontId="13" fillId="0" borderId="0" xfId="0" applyFont="1"/>
    <xf numFmtId="0" fontId="3" fillId="0" borderId="0" xfId="0" applyFont="1" applyAlignment="1">
      <alignment horizontal="center"/>
    </xf>
    <xf numFmtId="0" fontId="6" fillId="0" borderId="4" xfId="0" applyFont="1" applyBorder="1" applyAlignment="1">
      <alignment horizontal="center"/>
    </xf>
    <xf numFmtId="0" fontId="6" fillId="0" borderId="0" xfId="0" applyFont="1" applyBorder="1" applyAlignment="1">
      <alignment horizontal="center"/>
    </xf>
    <xf numFmtId="0" fontId="4" fillId="0" borderId="0" xfId="0" applyFont="1" applyAlignment="1">
      <alignment horizontal="center"/>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0" xfId="0" applyAlignment="1">
      <alignment horizontal="center"/>
    </xf>
    <xf numFmtId="0" fontId="0" fillId="0" borderId="0" xfId="0" applyAlignment="1">
      <alignment horizontal="left"/>
    </xf>
  </cellXfs>
  <cellStyles count="4">
    <cellStyle name="Comma" xfId="3" builtinId="3"/>
    <cellStyle name="Currency" xfId="2" builtinId="4"/>
    <cellStyle name="Normal" xfId="0" builtinId="0"/>
    <cellStyle name="Percent" xfId="1" builtinId="5"/>
  </cellStyles>
  <dxfs count="0"/>
  <tableStyles count="0" defaultTableStyle="TableStyleMedium9"/>
</styleSheet>
</file>

<file path=xl/_rels/workbook.xml.rels><?xml version="1.0" encoding="UTF-8" standalone="yes"?>
<Relationships xmlns="http://schemas.openxmlformats.org/package/2006/relationships"><Relationship Id="rId11" Type="http://schemas.openxmlformats.org/officeDocument/2006/relationships/sharedStrings" Target="sharedStrings.xml"/><Relationship Id="rId12"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c:lang val="en-US"/>
  <c:style val="2"/>
  <c:chart>
    <c:title>
      <c:tx>
        <c:strRef>
          <c:f>'Cost Analysis'!$K$20</c:f>
          <c:strCache>
            <c:ptCount val="1"/>
            <c:pt idx="0">
              <c:v>Production Cost Sensitivity
(baseline: 3.51 $/sandwich)</c:v>
            </c:pt>
          </c:strCache>
        </c:strRef>
      </c:tx>
    </c:title>
    <c:plotArea>
      <c:layout/>
      <c:barChart>
        <c:barDir val="bar"/>
        <c:grouping val="clustered"/>
        <c:ser>
          <c:idx val="0"/>
          <c:order val="0"/>
          <c:dLbls>
            <c:dLbl>
              <c:idx val="0"/>
              <c:tx>
                <c:strRef>
                  <c:f>'Cost Analysis'!$I$10</c:f>
                  <c:strCache>
                    <c:ptCount val="1"/>
                    <c:pt idx="0">
                      <c:v>15</c:v>
                    </c:pt>
                  </c:strCache>
                </c:strRef>
              </c:tx>
              <c:showVal val="1"/>
            </c:dLbl>
            <c:dLbl>
              <c:idx val="1"/>
              <c:tx>
                <c:strRef>
                  <c:f>'Cost Analysis'!$I$12</c:f>
                  <c:strCache>
                    <c:ptCount val="1"/>
                    <c:pt idx="0">
                      <c:v>0.99</c:v>
                    </c:pt>
                  </c:strCache>
                </c:strRef>
              </c:tx>
              <c:showVal val="1"/>
            </c:dLbl>
            <c:dLbl>
              <c:idx val="2"/>
              <c:tx>
                <c:strRef>
                  <c:f>'Cost Analysis'!$I$14</c:f>
                  <c:strCache>
                    <c:ptCount val="1"/>
                    <c:pt idx="0">
                      <c:v>1.2</c:v>
                    </c:pt>
                  </c:strCache>
                </c:strRef>
              </c:tx>
              <c:showVal val="1"/>
            </c:dLbl>
            <c:dLbl>
              <c:idx val="3"/>
              <c:tx>
                <c:strRef>
                  <c:f>'Cost Analysis'!$I$16</c:f>
                  <c:strCache>
                    <c:ptCount val="1"/>
                    <c:pt idx="0">
                      <c:v>2</c:v>
                    </c:pt>
                  </c:strCache>
                </c:strRef>
              </c:tx>
              <c:showVal val="1"/>
            </c:dLbl>
            <c:showVal val="1"/>
          </c:dLbls>
          <c:cat>
            <c:strRef>
              <c:f>('Cost Analysis'!$K$10,'Cost Analysis'!$K$12,'Cost Analysis'!$K$14,'Cost Analysis'!$K$16)</c:f>
              <c:strCache>
                <c:ptCount val="4"/>
                <c:pt idx="0">
                  <c:v>Cost of Direct Labor
(18.75 $/hr)</c:v>
                </c:pt>
                <c:pt idx="1">
                  <c:v>Yield of Final Test
(0.98 %)</c:v>
                </c:pt>
                <c:pt idx="2">
                  <c:v>Baking Oven Cycle Time
(1.5 hours)</c:v>
                </c:pt>
                <c:pt idx="3">
                  <c:v>Meat Slices per Sandwich
(3 slices)</c:v>
                </c:pt>
              </c:strCache>
            </c:strRef>
          </c:cat>
          <c:val>
            <c:numRef>
              <c:f>('Cost Analysis'!$I$11,'Cost Analysis'!$I$13,'Cost Analysis'!$I$15,'Cost Analysis'!$I$17)</c:f>
              <c:numCache>
                <c:formatCode>_(\$* #,##0.00_);_(\$* \(#,##0.00\);_(\$* "-"??_);_(@_)</c:formatCode>
                <c:ptCount val="4"/>
                <c:pt idx="0">
                  <c:v>3.22092735765201</c:v>
                </c:pt>
                <c:pt idx="1">
                  <c:v>3.467476373466625</c:v>
                </c:pt>
                <c:pt idx="2">
                  <c:v>3.498510964216285</c:v>
                </c:pt>
                <c:pt idx="3">
                  <c:v>3.239912804443509</c:v>
                </c:pt>
              </c:numCache>
            </c:numRef>
          </c:val>
        </c:ser>
        <c:ser>
          <c:idx val="1"/>
          <c:order val="1"/>
          <c:dLbls>
            <c:dLbl>
              <c:idx val="0"/>
              <c:tx>
                <c:strRef>
                  <c:f>'Cost Analysis'!$J$10</c:f>
                  <c:strCache>
                    <c:ptCount val="1"/>
                    <c:pt idx="0">
                      <c:v>20</c:v>
                    </c:pt>
                  </c:strCache>
                </c:strRef>
              </c:tx>
              <c:showVal val="1"/>
            </c:dLbl>
            <c:dLbl>
              <c:idx val="1"/>
              <c:tx>
                <c:strRef>
                  <c:f>'Cost Analysis'!$J$12</c:f>
                  <c:strCache>
                    <c:ptCount val="1"/>
                    <c:pt idx="0">
                      <c:v>0.95</c:v>
                    </c:pt>
                  </c:strCache>
                </c:strRef>
              </c:tx>
              <c:showVal val="1"/>
            </c:dLbl>
            <c:dLbl>
              <c:idx val="2"/>
              <c:tx>
                <c:strRef>
                  <c:f>'Cost Analysis'!$J$14</c:f>
                  <c:strCache>
                    <c:ptCount val="1"/>
                    <c:pt idx="0">
                      <c:v>2.5</c:v>
                    </c:pt>
                  </c:strCache>
                </c:strRef>
              </c:tx>
              <c:showVal val="1"/>
            </c:dLbl>
            <c:dLbl>
              <c:idx val="3"/>
              <c:tx>
                <c:strRef>
                  <c:f>'Cost Analysis'!$J$16</c:f>
                  <c:strCache>
                    <c:ptCount val="1"/>
                    <c:pt idx="0">
                      <c:v>4</c:v>
                    </c:pt>
                  </c:strCache>
                </c:strRef>
              </c:tx>
              <c:showVal val="1"/>
            </c:dLbl>
            <c:showVal val="1"/>
          </c:dLbls>
          <c:cat>
            <c:strRef>
              <c:f>('Cost Analysis'!$K$10,'Cost Analysis'!$K$12,'Cost Analysis'!$K$14,'Cost Analysis'!$K$16)</c:f>
              <c:strCache>
                <c:ptCount val="4"/>
                <c:pt idx="0">
                  <c:v>Cost of Direct Labor
(18.75 $/hr)</c:v>
                </c:pt>
                <c:pt idx="1">
                  <c:v>Yield of Final Test
(0.98 %)</c:v>
                </c:pt>
                <c:pt idx="2">
                  <c:v>Baking Oven Cycle Time
(1.5 hours)</c:v>
                </c:pt>
                <c:pt idx="3">
                  <c:v>Meat Slices per Sandwich
(3 slices)</c:v>
                </c:pt>
              </c:strCache>
            </c:strRef>
          </c:cat>
          <c:val>
            <c:numRef>
              <c:f>('Cost Analysis'!$J$11,'Cost Analysis'!$J$13,'Cost Analysis'!$J$15,'Cost Analysis'!$J$17)</c:f>
              <c:numCache>
                <c:formatCode>_(\$* #,##0.00_);_(\$* \(#,##0.00\);_(\$* "-"??_);_(@_)</c:formatCode>
                <c:ptCount val="4"/>
                <c:pt idx="0">
                  <c:v>3.606276084771723</c:v>
                </c:pt>
                <c:pt idx="1">
                  <c:v>3.60628785866522</c:v>
                </c:pt>
                <c:pt idx="2">
                  <c:v>3.550336032243496</c:v>
                </c:pt>
                <c:pt idx="3">
                  <c:v>3.77996500154008</c:v>
                </c:pt>
              </c:numCache>
            </c:numRef>
          </c:val>
        </c:ser>
        <c:dLbls/>
        <c:gapWidth val="75"/>
        <c:overlap val="100"/>
        <c:axId val="612172056"/>
        <c:axId val="612063096"/>
      </c:barChart>
      <c:catAx>
        <c:axId val="612172056"/>
        <c:scaling>
          <c:orientation val="maxMin"/>
        </c:scaling>
        <c:axPos val="l"/>
        <c:numFmt formatCode="General" sourceLinked="1"/>
        <c:majorTickMark val="none"/>
        <c:tickLblPos val="low"/>
        <c:spPr>
          <a:ln w="38100"/>
        </c:spPr>
        <c:crossAx val="612063096"/>
        <c:crossesAt val="3.51"/>
        <c:auto val="1"/>
        <c:lblAlgn val="ctr"/>
        <c:lblOffset val="100"/>
      </c:catAx>
      <c:valAx>
        <c:axId val="612063096"/>
        <c:scaling>
          <c:orientation val="minMax"/>
        </c:scaling>
        <c:axPos val="t"/>
        <c:majorGridlines/>
        <c:numFmt formatCode="_(\$* #,##0.00_);_(\$* \(#,##0.00\);_(\$* &quot;-&quot;??_);_(@_)" sourceLinked="1"/>
        <c:tickLblPos val="nextTo"/>
        <c:spPr>
          <a:ln w="38100"/>
        </c:spPr>
        <c:crossAx val="612172056"/>
        <c:crosses val="autoZero"/>
        <c:crossBetween val="between"/>
      </c:valAx>
    </c:plotArea>
    <c:plotVisOnly val="1"/>
    <c:dispBlanksAs val="gap"/>
  </c:chart>
  <c:spPr>
    <a:solidFill>
      <a:schemeClr val="accent3">
        <a:lumMod val="60000"/>
        <a:lumOff val="40000"/>
      </a:schemeClr>
    </a:solidFill>
  </c:spPr>
  <c:printSettings>
    <c:headerFooter/>
    <c:pageMargins b="0.750000000000001" l="0.700000000000001" r="0.700000000000001" t="0.750000000000001"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lang val="en-US"/>
  <c:style val="2"/>
  <c:chart>
    <c:title>
      <c:tx>
        <c:rich>
          <a:bodyPr/>
          <a:lstStyle/>
          <a:p>
            <a:pPr>
              <a:defRPr/>
            </a:pPr>
            <a:r>
              <a:rPr lang="en-US"/>
              <a:t>Direct Costs By Stage</a:t>
            </a:r>
          </a:p>
        </c:rich>
      </c:tx>
    </c:title>
    <c:plotArea>
      <c:layout/>
      <c:barChart>
        <c:barDir val="col"/>
        <c:grouping val="stacked"/>
        <c:ser>
          <c:idx val="0"/>
          <c:order val="0"/>
          <c:tx>
            <c:strRef>
              <c:f>'Cost Analysis'!$C$46</c:f>
              <c:strCache>
                <c:ptCount val="1"/>
                <c:pt idx="0">
                  <c:v>Materials</c:v>
                </c:pt>
              </c:strCache>
            </c:strRef>
          </c:tx>
          <c:val>
            <c:numRef>
              <c:f>'Cost Analysis'!$C$47:$C$51</c:f>
              <c:numCache>
                <c:formatCode>_(\$* #,##0.00_);_(\$* \(#,##0.00\);_(\$* "-"??_);_(@_)</c:formatCode>
                <c:ptCount val="5"/>
                <c:pt idx="0">
                  <c:v>0.201255102040816</c:v>
                </c:pt>
                <c:pt idx="1">
                  <c:v>0.318877551020408</c:v>
                </c:pt>
                <c:pt idx="2">
                  <c:v>0.599621291815695</c:v>
                </c:pt>
                <c:pt idx="3">
                  <c:v>0.357142857142857</c:v>
                </c:pt>
                <c:pt idx="4">
                  <c:v>0.0</c:v>
                </c:pt>
              </c:numCache>
            </c:numRef>
          </c:val>
        </c:ser>
        <c:ser>
          <c:idx val="1"/>
          <c:order val="1"/>
          <c:tx>
            <c:strRef>
              <c:f>'Cost Analysis'!$D$46</c:f>
              <c:strCache>
                <c:ptCount val="1"/>
                <c:pt idx="0">
                  <c:v>Direct Labor</c:v>
                </c:pt>
              </c:strCache>
            </c:strRef>
          </c:tx>
          <c:val>
            <c:numRef>
              <c:f>'Cost Analysis'!$D$47:$D$51</c:f>
              <c:numCache>
                <c:formatCode>_(\$* #,##0.00_);_(\$* \(#,##0.00\);_(\$* "-"??_);_(@_)</c:formatCode>
                <c:ptCount val="5"/>
                <c:pt idx="0">
                  <c:v>0.717474489795918</c:v>
                </c:pt>
                <c:pt idx="1">
                  <c:v>0.039859693877551</c:v>
                </c:pt>
                <c:pt idx="2">
                  <c:v>0.177519461392805</c:v>
                </c:pt>
                <c:pt idx="3">
                  <c:v>0.318877551020408</c:v>
                </c:pt>
                <c:pt idx="4">
                  <c:v>0.191326530612245</c:v>
                </c:pt>
              </c:numCache>
            </c:numRef>
          </c:val>
        </c:ser>
        <c:ser>
          <c:idx val="2"/>
          <c:order val="2"/>
          <c:tx>
            <c:strRef>
              <c:f>'Cost Analysis'!$E$46</c:f>
              <c:strCache>
                <c:ptCount val="1"/>
                <c:pt idx="0">
                  <c:v>Electricity</c:v>
                </c:pt>
              </c:strCache>
            </c:strRef>
          </c:tx>
          <c:val>
            <c:numRef>
              <c:f>'Cost Analysis'!$E$47:$E$51</c:f>
              <c:numCache>
                <c:formatCode>_(\$* #,##0.00_);_(\$* \(#,##0.00\);_(\$* "-"??_);_(@_)</c:formatCode>
                <c:ptCount val="5"/>
                <c:pt idx="0">
                  <c:v>0.0153061224489796</c:v>
                </c:pt>
                <c:pt idx="1">
                  <c:v>0.0318877551020408</c:v>
                </c:pt>
                <c:pt idx="2">
                  <c:v>0.000710077845571218</c:v>
                </c:pt>
                <c:pt idx="3">
                  <c:v>0.0</c:v>
                </c:pt>
                <c:pt idx="4">
                  <c:v>0.0073469387755102</c:v>
                </c:pt>
              </c:numCache>
            </c:numRef>
          </c:val>
        </c:ser>
        <c:ser>
          <c:idx val="3"/>
          <c:order val="3"/>
          <c:tx>
            <c:strRef>
              <c:f>'Cost Analysis'!$F$46</c:f>
              <c:strCache>
                <c:ptCount val="1"/>
                <c:pt idx="0">
                  <c:v>Equipment+Space</c:v>
                </c:pt>
              </c:strCache>
            </c:strRef>
          </c:tx>
          <c:val>
            <c:numRef>
              <c:f>'Cost Analysis'!$F$47:$F$51</c:f>
              <c:numCache>
                <c:formatCode>_(\$* #,##0.00_);_(\$* \(#,##0.00\);_(\$* "-"??_);_(@_)</c:formatCode>
                <c:ptCount val="5"/>
                <c:pt idx="0">
                  <c:v>0.084</c:v>
                </c:pt>
                <c:pt idx="1">
                  <c:v>0.0483</c:v>
                </c:pt>
                <c:pt idx="2">
                  <c:v>0.01686</c:v>
                </c:pt>
                <c:pt idx="3">
                  <c:v>0.033176</c:v>
                </c:pt>
                <c:pt idx="4">
                  <c:v>0.05775</c:v>
                </c:pt>
              </c:numCache>
            </c:numRef>
          </c:val>
        </c:ser>
        <c:dLbls/>
        <c:overlap val="100"/>
        <c:axId val="611374888"/>
        <c:axId val="390728248"/>
      </c:barChart>
      <c:catAx>
        <c:axId val="611374888"/>
        <c:scaling>
          <c:orientation val="minMax"/>
        </c:scaling>
        <c:axPos val="b"/>
        <c:title>
          <c:tx>
            <c:rich>
              <a:bodyPr/>
              <a:lstStyle/>
              <a:p>
                <a:pPr>
                  <a:defRPr/>
                </a:pPr>
                <a:r>
                  <a:rPr lang="en-US"/>
                  <a:t>Production Stage</a:t>
                </a:r>
              </a:p>
            </c:rich>
          </c:tx>
        </c:title>
        <c:tickLblPos val="nextTo"/>
        <c:crossAx val="390728248"/>
        <c:crosses val="autoZero"/>
        <c:auto val="1"/>
        <c:lblAlgn val="ctr"/>
        <c:lblOffset val="100"/>
      </c:catAx>
      <c:valAx>
        <c:axId val="390728248"/>
        <c:scaling>
          <c:orientation val="minMax"/>
        </c:scaling>
        <c:axPos val="l"/>
        <c:majorGridlines/>
        <c:title>
          <c:tx>
            <c:rich>
              <a:bodyPr rot="-5400000" vert="horz"/>
              <a:lstStyle/>
              <a:p>
                <a:pPr>
                  <a:defRPr/>
                </a:pPr>
                <a:r>
                  <a:rPr lang="en-US"/>
                  <a:t>Cost ($/sandwich)</a:t>
                </a:r>
              </a:p>
            </c:rich>
          </c:tx>
        </c:title>
        <c:numFmt formatCode="_(\$* #,##0.00_);_(\$* \(#,##0.00\);_(\$* &quot;-&quot;??_);_(@_)" sourceLinked="1"/>
        <c:tickLblPos val="nextTo"/>
        <c:crossAx val="611374888"/>
        <c:crosses val="autoZero"/>
        <c:crossBetween val="between"/>
      </c:valAx>
    </c:plotArea>
    <c:legend>
      <c:legendPos val="r"/>
    </c:legend>
    <c:plotVisOnly val="1"/>
    <c:dispBlanksAs val="gap"/>
  </c:chart>
  <c:spPr>
    <a:solidFill>
      <a:srgbClr val="9BBB59">
        <a:lumMod val="60000"/>
        <a:lumOff val="40000"/>
      </a:srgbClr>
    </a:solidFill>
  </c:spPr>
  <c:printSettings>
    <c:headerFooter/>
    <c:pageMargins b="0.750000000000001" l="0.700000000000001" r="0.700000000000001" t="0.750000000000001"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lang val="en-US"/>
  <c:style val="2"/>
  <c:chart>
    <c:title>
      <c:tx>
        <c:strRef>
          <c:f>'Cost Analysis'!$K$20</c:f>
          <c:strCache>
            <c:ptCount val="1"/>
            <c:pt idx="0">
              <c:v>Production Cost Sensitivity
(baseline: 3.51 $/sandwich)</c:v>
            </c:pt>
          </c:strCache>
        </c:strRef>
      </c:tx>
    </c:title>
    <c:plotArea>
      <c:layout/>
      <c:barChart>
        <c:barDir val="bar"/>
        <c:grouping val="clustered"/>
        <c:ser>
          <c:idx val="0"/>
          <c:order val="0"/>
          <c:dLbls>
            <c:dLbl>
              <c:idx val="0"/>
              <c:tx>
                <c:strRef>
                  <c:f>'Cost Analysis'!$I$10</c:f>
                  <c:strCache>
                    <c:ptCount val="1"/>
                    <c:pt idx="0">
                      <c:v>15</c:v>
                    </c:pt>
                  </c:strCache>
                </c:strRef>
              </c:tx>
              <c:showVal val="1"/>
            </c:dLbl>
            <c:dLbl>
              <c:idx val="1"/>
              <c:tx>
                <c:strRef>
                  <c:f>'Cost Analysis'!$I$12</c:f>
                  <c:strCache>
                    <c:ptCount val="1"/>
                    <c:pt idx="0">
                      <c:v>0.99</c:v>
                    </c:pt>
                  </c:strCache>
                </c:strRef>
              </c:tx>
              <c:showVal val="1"/>
            </c:dLbl>
            <c:dLbl>
              <c:idx val="2"/>
              <c:tx>
                <c:strRef>
                  <c:f>'Cost Analysis'!$I$14</c:f>
                  <c:strCache>
                    <c:ptCount val="1"/>
                    <c:pt idx="0">
                      <c:v>1.2</c:v>
                    </c:pt>
                  </c:strCache>
                </c:strRef>
              </c:tx>
              <c:showVal val="1"/>
            </c:dLbl>
            <c:dLbl>
              <c:idx val="3"/>
              <c:tx>
                <c:strRef>
                  <c:f>'Cost Analysis'!$I$16</c:f>
                  <c:strCache>
                    <c:ptCount val="1"/>
                    <c:pt idx="0">
                      <c:v>2</c:v>
                    </c:pt>
                  </c:strCache>
                </c:strRef>
              </c:tx>
              <c:showVal val="1"/>
            </c:dLbl>
            <c:showVal val="1"/>
          </c:dLbls>
          <c:cat>
            <c:strRef>
              <c:f>('Cost Analysis'!$K$10,'Cost Analysis'!$K$12,'Cost Analysis'!$K$14,'Cost Analysis'!$K$16)</c:f>
              <c:strCache>
                <c:ptCount val="4"/>
                <c:pt idx="0">
                  <c:v>Cost of Direct Labor
(18.75 $/hr)</c:v>
                </c:pt>
                <c:pt idx="1">
                  <c:v>Yield of Final Test
(0.98 %)</c:v>
                </c:pt>
                <c:pt idx="2">
                  <c:v>Baking Oven Cycle Time
(1.5 hours)</c:v>
                </c:pt>
                <c:pt idx="3">
                  <c:v>Meat Slices per Sandwich
(3 slices)</c:v>
                </c:pt>
              </c:strCache>
            </c:strRef>
          </c:cat>
          <c:val>
            <c:numRef>
              <c:f>('Cost Analysis'!$I$11,'Cost Analysis'!$I$13,'Cost Analysis'!$I$15,'Cost Analysis'!$I$17)</c:f>
              <c:numCache>
                <c:formatCode>_(\$* #,##0.00_);_(\$* \(#,##0.00\);_(\$* "-"??_);_(@_)</c:formatCode>
                <c:ptCount val="4"/>
                <c:pt idx="0">
                  <c:v>3.22092735765201</c:v>
                </c:pt>
                <c:pt idx="1">
                  <c:v>3.467476373466625</c:v>
                </c:pt>
                <c:pt idx="2">
                  <c:v>3.498510964216285</c:v>
                </c:pt>
                <c:pt idx="3">
                  <c:v>3.239912804443509</c:v>
                </c:pt>
              </c:numCache>
            </c:numRef>
          </c:val>
        </c:ser>
        <c:ser>
          <c:idx val="1"/>
          <c:order val="1"/>
          <c:dLbls>
            <c:dLbl>
              <c:idx val="0"/>
              <c:tx>
                <c:strRef>
                  <c:f>'Cost Analysis'!$J$10</c:f>
                  <c:strCache>
                    <c:ptCount val="1"/>
                    <c:pt idx="0">
                      <c:v>20</c:v>
                    </c:pt>
                  </c:strCache>
                </c:strRef>
              </c:tx>
              <c:showVal val="1"/>
            </c:dLbl>
            <c:dLbl>
              <c:idx val="1"/>
              <c:tx>
                <c:strRef>
                  <c:f>'Cost Analysis'!$J$12</c:f>
                  <c:strCache>
                    <c:ptCount val="1"/>
                    <c:pt idx="0">
                      <c:v>0.95</c:v>
                    </c:pt>
                  </c:strCache>
                </c:strRef>
              </c:tx>
              <c:showVal val="1"/>
            </c:dLbl>
            <c:dLbl>
              <c:idx val="2"/>
              <c:tx>
                <c:strRef>
                  <c:f>'Cost Analysis'!$J$14</c:f>
                  <c:strCache>
                    <c:ptCount val="1"/>
                    <c:pt idx="0">
                      <c:v>2.5</c:v>
                    </c:pt>
                  </c:strCache>
                </c:strRef>
              </c:tx>
              <c:showVal val="1"/>
            </c:dLbl>
            <c:dLbl>
              <c:idx val="3"/>
              <c:tx>
                <c:strRef>
                  <c:f>'Cost Analysis'!$J$16</c:f>
                  <c:strCache>
                    <c:ptCount val="1"/>
                    <c:pt idx="0">
                      <c:v>4</c:v>
                    </c:pt>
                  </c:strCache>
                </c:strRef>
              </c:tx>
              <c:showVal val="1"/>
            </c:dLbl>
            <c:showVal val="1"/>
          </c:dLbls>
          <c:cat>
            <c:strRef>
              <c:f>('Cost Analysis'!$K$10,'Cost Analysis'!$K$12,'Cost Analysis'!$K$14,'Cost Analysis'!$K$16)</c:f>
              <c:strCache>
                <c:ptCount val="4"/>
                <c:pt idx="0">
                  <c:v>Cost of Direct Labor
(18.75 $/hr)</c:v>
                </c:pt>
                <c:pt idx="1">
                  <c:v>Yield of Final Test
(0.98 %)</c:v>
                </c:pt>
                <c:pt idx="2">
                  <c:v>Baking Oven Cycle Time
(1.5 hours)</c:v>
                </c:pt>
                <c:pt idx="3">
                  <c:v>Meat Slices per Sandwich
(3 slices)</c:v>
                </c:pt>
              </c:strCache>
            </c:strRef>
          </c:cat>
          <c:val>
            <c:numRef>
              <c:f>('Cost Analysis'!$J$11,'Cost Analysis'!$J$13,'Cost Analysis'!$J$15,'Cost Analysis'!$J$17)</c:f>
              <c:numCache>
                <c:formatCode>_(\$* #,##0.00_);_(\$* \(#,##0.00\);_(\$* "-"??_);_(@_)</c:formatCode>
                <c:ptCount val="4"/>
                <c:pt idx="0">
                  <c:v>3.606276084771723</c:v>
                </c:pt>
                <c:pt idx="1">
                  <c:v>3.60628785866522</c:v>
                </c:pt>
                <c:pt idx="2">
                  <c:v>3.550336032243496</c:v>
                </c:pt>
                <c:pt idx="3">
                  <c:v>3.77996500154008</c:v>
                </c:pt>
              </c:numCache>
            </c:numRef>
          </c:val>
        </c:ser>
        <c:dLbls/>
        <c:gapWidth val="75"/>
        <c:overlap val="100"/>
        <c:axId val="435884680"/>
        <c:axId val="435887928"/>
      </c:barChart>
      <c:catAx>
        <c:axId val="435884680"/>
        <c:scaling>
          <c:orientation val="maxMin"/>
        </c:scaling>
        <c:axPos val="l"/>
        <c:numFmt formatCode="General" sourceLinked="1"/>
        <c:majorTickMark val="none"/>
        <c:tickLblPos val="low"/>
        <c:spPr>
          <a:ln w="38100"/>
        </c:spPr>
        <c:crossAx val="435887928"/>
        <c:crossesAt val="3.51"/>
        <c:auto val="1"/>
        <c:lblAlgn val="ctr"/>
        <c:lblOffset val="100"/>
      </c:catAx>
      <c:valAx>
        <c:axId val="435887928"/>
        <c:scaling>
          <c:orientation val="minMax"/>
        </c:scaling>
        <c:axPos val="t"/>
        <c:majorGridlines/>
        <c:numFmt formatCode="_(\$* #,##0.00_);_(\$* \(#,##0.00\);_(\$* &quot;-&quot;??_);_(@_)" sourceLinked="1"/>
        <c:tickLblPos val="nextTo"/>
        <c:spPr>
          <a:ln w="38100"/>
        </c:spPr>
        <c:crossAx val="435884680"/>
        <c:crosses val="autoZero"/>
        <c:crossBetween val="between"/>
      </c:valAx>
    </c:plotArea>
    <c:plotVisOnly val="1"/>
    <c:dispBlanksAs val="gap"/>
  </c:chart>
  <c:spPr>
    <a:solidFill>
      <a:schemeClr val="accent3">
        <a:lumMod val="60000"/>
        <a:lumOff val="40000"/>
      </a:schemeClr>
    </a:solidFill>
  </c:spPr>
  <c:printSettings>
    <c:headerFooter/>
    <c:pageMargins b="0.750000000000001" l="0.700000000000001" r="0.700000000000001" t="0.750000000000001"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lang val="en-US"/>
  <c:style val="2"/>
  <c:chart>
    <c:title>
      <c:tx>
        <c:rich>
          <a:bodyPr/>
          <a:lstStyle/>
          <a:p>
            <a:pPr>
              <a:defRPr/>
            </a:pPr>
            <a:r>
              <a:rPr lang="en-US"/>
              <a:t>Direct Costs By Stage</a:t>
            </a:r>
          </a:p>
        </c:rich>
      </c:tx>
    </c:title>
    <c:plotArea>
      <c:layout/>
      <c:barChart>
        <c:barDir val="col"/>
        <c:grouping val="stacked"/>
        <c:ser>
          <c:idx val="0"/>
          <c:order val="0"/>
          <c:tx>
            <c:strRef>
              <c:f>'Cost Analysis'!$C$46</c:f>
              <c:strCache>
                <c:ptCount val="1"/>
                <c:pt idx="0">
                  <c:v>Materials</c:v>
                </c:pt>
              </c:strCache>
            </c:strRef>
          </c:tx>
          <c:val>
            <c:numRef>
              <c:f>'Cost Analysis'!$C$47:$C$51</c:f>
              <c:numCache>
                <c:formatCode>_(\$* #,##0.00_);_(\$* \(#,##0.00\);_(\$* "-"??_);_(@_)</c:formatCode>
                <c:ptCount val="5"/>
                <c:pt idx="0">
                  <c:v>0.201255102040816</c:v>
                </c:pt>
                <c:pt idx="1">
                  <c:v>0.318877551020408</c:v>
                </c:pt>
                <c:pt idx="2">
                  <c:v>0.599621291815695</c:v>
                </c:pt>
                <c:pt idx="3">
                  <c:v>0.357142857142857</c:v>
                </c:pt>
                <c:pt idx="4">
                  <c:v>0.0</c:v>
                </c:pt>
              </c:numCache>
            </c:numRef>
          </c:val>
        </c:ser>
        <c:ser>
          <c:idx val="1"/>
          <c:order val="1"/>
          <c:tx>
            <c:strRef>
              <c:f>'Cost Analysis'!$D$46</c:f>
              <c:strCache>
                <c:ptCount val="1"/>
                <c:pt idx="0">
                  <c:v>Direct Labor</c:v>
                </c:pt>
              </c:strCache>
            </c:strRef>
          </c:tx>
          <c:val>
            <c:numRef>
              <c:f>'Cost Analysis'!$D$47:$D$51</c:f>
              <c:numCache>
                <c:formatCode>_(\$* #,##0.00_);_(\$* \(#,##0.00\);_(\$* "-"??_);_(@_)</c:formatCode>
                <c:ptCount val="5"/>
                <c:pt idx="0">
                  <c:v>0.717474489795918</c:v>
                </c:pt>
                <c:pt idx="1">
                  <c:v>0.039859693877551</c:v>
                </c:pt>
                <c:pt idx="2">
                  <c:v>0.177519461392805</c:v>
                </c:pt>
                <c:pt idx="3">
                  <c:v>0.318877551020408</c:v>
                </c:pt>
                <c:pt idx="4">
                  <c:v>0.191326530612245</c:v>
                </c:pt>
              </c:numCache>
            </c:numRef>
          </c:val>
        </c:ser>
        <c:ser>
          <c:idx val="2"/>
          <c:order val="2"/>
          <c:tx>
            <c:strRef>
              <c:f>'Cost Analysis'!$E$46</c:f>
              <c:strCache>
                <c:ptCount val="1"/>
                <c:pt idx="0">
                  <c:v>Electricity</c:v>
                </c:pt>
              </c:strCache>
            </c:strRef>
          </c:tx>
          <c:val>
            <c:numRef>
              <c:f>'Cost Analysis'!$E$47:$E$51</c:f>
              <c:numCache>
                <c:formatCode>_(\$* #,##0.00_);_(\$* \(#,##0.00\);_(\$* "-"??_);_(@_)</c:formatCode>
                <c:ptCount val="5"/>
                <c:pt idx="0">
                  <c:v>0.0153061224489796</c:v>
                </c:pt>
                <c:pt idx="1">
                  <c:v>0.0318877551020408</c:v>
                </c:pt>
                <c:pt idx="2">
                  <c:v>0.000710077845571218</c:v>
                </c:pt>
                <c:pt idx="3">
                  <c:v>0.0</c:v>
                </c:pt>
                <c:pt idx="4">
                  <c:v>0.0073469387755102</c:v>
                </c:pt>
              </c:numCache>
            </c:numRef>
          </c:val>
        </c:ser>
        <c:ser>
          <c:idx val="3"/>
          <c:order val="3"/>
          <c:tx>
            <c:strRef>
              <c:f>'Cost Analysis'!$F$46</c:f>
              <c:strCache>
                <c:ptCount val="1"/>
                <c:pt idx="0">
                  <c:v>Equipment+Space</c:v>
                </c:pt>
              </c:strCache>
            </c:strRef>
          </c:tx>
          <c:val>
            <c:numRef>
              <c:f>'Cost Analysis'!$F$47:$F$51</c:f>
              <c:numCache>
                <c:formatCode>_(\$* #,##0.00_);_(\$* \(#,##0.00\);_(\$* "-"??_);_(@_)</c:formatCode>
                <c:ptCount val="5"/>
                <c:pt idx="0">
                  <c:v>0.084</c:v>
                </c:pt>
                <c:pt idx="1">
                  <c:v>0.0483</c:v>
                </c:pt>
                <c:pt idx="2">
                  <c:v>0.01686</c:v>
                </c:pt>
                <c:pt idx="3">
                  <c:v>0.033176</c:v>
                </c:pt>
                <c:pt idx="4">
                  <c:v>0.05775</c:v>
                </c:pt>
              </c:numCache>
            </c:numRef>
          </c:val>
        </c:ser>
        <c:dLbls/>
        <c:overlap val="100"/>
        <c:axId val="436155944"/>
        <c:axId val="541829464"/>
      </c:barChart>
      <c:catAx>
        <c:axId val="436155944"/>
        <c:scaling>
          <c:orientation val="minMax"/>
        </c:scaling>
        <c:axPos val="b"/>
        <c:title>
          <c:tx>
            <c:rich>
              <a:bodyPr/>
              <a:lstStyle/>
              <a:p>
                <a:pPr>
                  <a:defRPr/>
                </a:pPr>
                <a:r>
                  <a:rPr lang="en-US"/>
                  <a:t>Production Stage</a:t>
                </a:r>
              </a:p>
            </c:rich>
          </c:tx>
        </c:title>
        <c:tickLblPos val="nextTo"/>
        <c:crossAx val="541829464"/>
        <c:crosses val="autoZero"/>
        <c:auto val="1"/>
        <c:lblAlgn val="ctr"/>
        <c:lblOffset val="100"/>
      </c:catAx>
      <c:valAx>
        <c:axId val="541829464"/>
        <c:scaling>
          <c:orientation val="minMax"/>
        </c:scaling>
        <c:axPos val="l"/>
        <c:majorGridlines/>
        <c:title>
          <c:tx>
            <c:rich>
              <a:bodyPr rot="-5400000" vert="horz"/>
              <a:lstStyle/>
              <a:p>
                <a:pPr>
                  <a:defRPr/>
                </a:pPr>
                <a:r>
                  <a:rPr lang="en-US"/>
                  <a:t>Cost ($/sandwich)</a:t>
                </a:r>
              </a:p>
            </c:rich>
          </c:tx>
        </c:title>
        <c:numFmt formatCode="_(\$* #,##0.00_);_(\$* \(#,##0.00\);_(\$* &quot;-&quot;??_);_(@_)" sourceLinked="1"/>
        <c:tickLblPos val="nextTo"/>
        <c:crossAx val="436155944"/>
        <c:crosses val="autoZero"/>
        <c:crossBetween val="between"/>
      </c:valAx>
    </c:plotArea>
    <c:legend>
      <c:legendPos val="r"/>
    </c:legend>
    <c:plotVisOnly val="1"/>
    <c:dispBlanksAs val="gap"/>
  </c:chart>
  <c:spPr>
    <a:solidFill>
      <a:srgbClr val="9BBB59">
        <a:lumMod val="60000"/>
        <a:lumOff val="40000"/>
      </a:srgbClr>
    </a:solidFill>
  </c:spPr>
  <c:printSettings>
    <c:headerFooter/>
    <c:pageMargins b="0.750000000000001" l="0.700000000000001" r="0.700000000000001" t="0.750000000000001"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lang val="en-US"/>
  <c:style val="2"/>
  <c:chart>
    <c:title>
      <c:tx>
        <c:rich>
          <a:bodyPr/>
          <a:lstStyle/>
          <a:p>
            <a:pPr>
              <a:defRPr/>
            </a:pPr>
            <a:r>
              <a:rPr lang="en-US"/>
              <a:t>Cost Scaling</a:t>
            </a:r>
          </a:p>
        </c:rich>
      </c:tx>
    </c:title>
    <c:plotArea>
      <c:layout/>
      <c:scatterChart>
        <c:scatterStyle val="lineMarker"/>
        <c:ser>
          <c:idx val="0"/>
          <c:order val="0"/>
          <c:tx>
            <c:strRef>
              <c:f>'Cost Analysis'!$F$84:$G$84</c:f>
              <c:strCache>
                <c:ptCount val="1"/>
                <c:pt idx="0">
                  <c:v>Case 1</c:v>
                </c:pt>
              </c:strCache>
            </c:strRef>
          </c:tx>
          <c:xVal>
            <c:numRef>
              <c:f>'Cost Analysis'!$F$86:$F$96</c:f>
              <c:numCache>
                <c:formatCode>General</c:formatCode>
                <c:ptCount val="11"/>
                <c:pt idx="0">
                  <c:v>10000.0</c:v>
                </c:pt>
                <c:pt idx="1">
                  <c:v>20000.0</c:v>
                </c:pt>
                <c:pt idx="2">
                  <c:v>50000.0</c:v>
                </c:pt>
                <c:pt idx="3">
                  <c:v>100000.0</c:v>
                </c:pt>
                <c:pt idx="4">
                  <c:v>200000.0</c:v>
                </c:pt>
                <c:pt idx="5">
                  <c:v>500000.0</c:v>
                </c:pt>
                <c:pt idx="6">
                  <c:v>1.0E6</c:v>
                </c:pt>
                <c:pt idx="7">
                  <c:v>2.0E6</c:v>
                </c:pt>
                <c:pt idx="8">
                  <c:v>5.0E6</c:v>
                </c:pt>
                <c:pt idx="9">
                  <c:v>1.0E7</c:v>
                </c:pt>
                <c:pt idx="10">
                  <c:v>2.0E7</c:v>
                </c:pt>
              </c:numCache>
            </c:numRef>
          </c:xVal>
          <c:yVal>
            <c:numRef>
              <c:f>'Cost Analysis'!$G$86:$G$96</c:f>
              <c:numCache>
                <c:formatCode>General</c:formatCode>
                <c:ptCount val="11"/>
                <c:pt idx="0">
                  <c:v>36.6984742629918</c:v>
                </c:pt>
                <c:pt idx="1">
                  <c:v>19.87476226299179</c:v>
                </c:pt>
                <c:pt idx="2">
                  <c:v>9.780535062991793</c:v>
                </c:pt>
                <c:pt idx="3">
                  <c:v>6.450151062991794</c:v>
                </c:pt>
                <c:pt idx="4">
                  <c:v>4.844171862991795</c:v>
                </c:pt>
                <c:pt idx="5">
                  <c:v>3.842798742991795</c:v>
                </c:pt>
                <c:pt idx="6">
                  <c:v>3.509938902991795</c:v>
                </c:pt>
                <c:pt idx="7">
                  <c:v>3.341888982991795</c:v>
                </c:pt>
                <c:pt idx="8">
                  <c:v>3.241600470991795</c:v>
                </c:pt>
                <c:pt idx="9">
                  <c:v>3.207990486991795</c:v>
                </c:pt>
                <c:pt idx="10">
                  <c:v>3.191358294991795</c:v>
                </c:pt>
              </c:numCache>
            </c:numRef>
          </c:yVal>
        </c:ser>
        <c:dLbls/>
        <c:axId val="541450088"/>
        <c:axId val="436019912"/>
      </c:scatterChart>
      <c:valAx>
        <c:axId val="541450088"/>
        <c:scaling>
          <c:logBase val="10.0"/>
          <c:orientation val="minMax"/>
          <c:min val="10000.0"/>
        </c:scaling>
        <c:axPos val="b"/>
        <c:title>
          <c:tx>
            <c:rich>
              <a:bodyPr/>
              <a:lstStyle/>
              <a:p>
                <a:pPr>
                  <a:defRPr/>
                </a:pPr>
                <a:r>
                  <a:rPr lang="en-US"/>
                  <a:t>Production Volume (sandwiches/year)</a:t>
                </a:r>
              </a:p>
            </c:rich>
          </c:tx>
        </c:title>
        <c:numFmt formatCode="#,##0" sourceLinked="0"/>
        <c:tickLblPos val="nextTo"/>
        <c:crossAx val="436019912"/>
        <c:crosses val="autoZero"/>
        <c:crossBetween val="midCat"/>
      </c:valAx>
      <c:valAx>
        <c:axId val="436019912"/>
        <c:scaling>
          <c:orientation val="minMax"/>
        </c:scaling>
        <c:axPos val="l"/>
        <c:majorGridlines/>
        <c:title>
          <c:tx>
            <c:rich>
              <a:bodyPr rot="-5400000" vert="horz"/>
              <a:lstStyle/>
              <a:p>
                <a:pPr>
                  <a:defRPr/>
                </a:pPr>
                <a:r>
                  <a:rPr lang="en-US"/>
                  <a:t>Production Cost ($/sandwich)</a:t>
                </a:r>
              </a:p>
            </c:rich>
          </c:tx>
        </c:title>
        <c:numFmt formatCode="General" sourceLinked="1"/>
        <c:tickLblPos val="nextTo"/>
        <c:crossAx val="541450088"/>
        <c:crosses val="autoZero"/>
        <c:crossBetween val="midCat"/>
      </c:valAx>
    </c:plotArea>
    <c:legend>
      <c:legendPos val="r"/>
    </c:legend>
    <c:plotVisOnly val="1"/>
    <c:dispBlanksAs val="gap"/>
  </c:chart>
  <c:spPr>
    <a:solidFill>
      <a:srgbClr val="9BBB59">
        <a:lumMod val="60000"/>
        <a:lumOff val="40000"/>
      </a:srgbClr>
    </a:solidFill>
  </c:spPr>
  <c:printSettings>
    <c:headerFooter/>
    <c:pageMargins b="0.750000000000001" l="0.700000000000001" r="0.700000000000001" t="0.750000000000001"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lang val="en-US"/>
  <c:style val="2"/>
  <c:chart>
    <c:title>
      <c:tx>
        <c:rich>
          <a:bodyPr/>
          <a:lstStyle/>
          <a:p>
            <a:pPr>
              <a:defRPr/>
            </a:pPr>
            <a:r>
              <a:rPr lang="en-US"/>
              <a:t>Direct</a:t>
            </a:r>
            <a:r>
              <a:rPr lang="en-US" baseline="0"/>
              <a:t> Costs ($/sandwich)</a:t>
            </a:r>
          </a:p>
        </c:rich>
      </c:tx>
    </c:title>
    <c:plotArea>
      <c:layout/>
      <c:pieChart>
        <c:varyColors val="1"/>
        <c:ser>
          <c:idx val="0"/>
          <c:order val="0"/>
          <c:tx>
            <c:strRef>
              <c:f>'Cost Analysis'!$C$52:$F$52</c:f>
              <c:strCache>
                <c:ptCount val="1"/>
                <c:pt idx="0">
                  <c:v> $1.48   $1.45   $0.06   $0.24 </c:v>
                </c:pt>
              </c:strCache>
            </c:strRef>
          </c:tx>
          <c:dLbls>
            <c:showVal val="1"/>
            <c:showLeaderLines val="1"/>
          </c:dLbls>
          <c:cat>
            <c:strRef>
              <c:f>'Cost Analysis'!$C$46:$F$46</c:f>
              <c:strCache>
                <c:ptCount val="4"/>
                <c:pt idx="0">
                  <c:v>Materials</c:v>
                </c:pt>
                <c:pt idx="1">
                  <c:v>Direct Labor</c:v>
                </c:pt>
                <c:pt idx="2">
                  <c:v>Electricity</c:v>
                </c:pt>
                <c:pt idx="3">
                  <c:v>Equipment+Space</c:v>
                </c:pt>
              </c:strCache>
            </c:strRef>
          </c:cat>
          <c:val>
            <c:numRef>
              <c:f>'Cost Analysis'!$C$52:$F$52</c:f>
              <c:numCache>
                <c:formatCode>_(\$* #,##0.00_);_(\$* \(#,##0.00\);_(\$* "-"??_);_(@_)</c:formatCode>
                <c:ptCount val="4"/>
                <c:pt idx="0">
                  <c:v>1.476896802019777</c:v>
                </c:pt>
                <c:pt idx="1">
                  <c:v>1.445057726698927</c:v>
                </c:pt>
                <c:pt idx="2">
                  <c:v>0.0552508941721018</c:v>
                </c:pt>
                <c:pt idx="3">
                  <c:v>0.240086</c:v>
                </c:pt>
              </c:numCache>
            </c:numRef>
          </c:val>
        </c:ser>
        <c:dLbls/>
        <c:firstSliceAng val="0"/>
      </c:pieChart>
    </c:plotArea>
    <c:legend>
      <c:legendPos val="r"/>
      <c:txPr>
        <a:bodyPr/>
        <a:lstStyle/>
        <a:p>
          <a:pPr rtl="0">
            <a:defRPr/>
          </a:pPr>
          <a:endParaRPr lang="en-US"/>
        </a:p>
      </c:txPr>
    </c:legend>
    <c:plotVisOnly val="1"/>
    <c:dispBlanksAs val="zero"/>
  </c:chart>
  <c:spPr>
    <a:solidFill>
      <a:schemeClr val="bg1">
        <a:lumMod val="95000"/>
      </a:schemeClr>
    </a:solidFill>
  </c:spPr>
  <c:printSettings>
    <c:headerFooter/>
    <c:pageMargins b="0.750000000000001" l="0.700000000000001" r="0.700000000000001" t="0.750000000000001" header="0.3" footer="0.3"/>
    <c:pageSetup/>
  </c:printSettings>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_rels/drawing5.xml.rels><?xml version="1.0" encoding="UTF-8" standalone="yes"?>
<Relationships xmlns="http://schemas.openxmlformats.org/package/2006/relationships"><Relationship Id="rId3" Type="http://schemas.openxmlformats.org/officeDocument/2006/relationships/chart" Target="../charts/chart5.xml"/><Relationship Id="rId4" Type="http://schemas.openxmlformats.org/officeDocument/2006/relationships/chart" Target="../charts/chart6.xml"/><Relationship Id="rId1" Type="http://schemas.openxmlformats.org/officeDocument/2006/relationships/chart" Target="../charts/chart3.xml"/><Relationship Id="rId2"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342900</xdr:colOff>
      <xdr:row>1</xdr:row>
      <xdr:rowOff>133350</xdr:rowOff>
    </xdr:from>
    <xdr:to>
      <xdr:col>17</xdr:col>
      <xdr:colOff>228599</xdr:colOff>
      <xdr:row>16</xdr:row>
      <xdr:rowOff>180975</xdr:rowOff>
    </xdr:to>
    <xdr:grpSp>
      <xdr:nvGrpSpPr>
        <xdr:cNvPr id="56" name="Group 55"/>
        <xdr:cNvGrpSpPr/>
      </xdr:nvGrpSpPr>
      <xdr:grpSpPr>
        <a:xfrm>
          <a:off x="342900" y="311150"/>
          <a:ext cx="11328399" cy="2714625"/>
          <a:chOff x="352425" y="228600"/>
          <a:chExt cx="10248899" cy="2905125"/>
        </a:xfrm>
      </xdr:grpSpPr>
      <xdr:sp macro="" textlink="">
        <xdr:nvSpPr>
          <xdr:cNvPr id="2" name="Rounded Rectangle 1"/>
          <xdr:cNvSpPr/>
        </xdr:nvSpPr>
        <xdr:spPr>
          <a:xfrm>
            <a:off x="352425" y="228600"/>
            <a:ext cx="10248899" cy="2905125"/>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sp macro="" textlink="">
        <xdr:nvSpPr>
          <xdr:cNvPr id="3" name="TextBox 2"/>
          <xdr:cNvSpPr txBox="1"/>
        </xdr:nvSpPr>
        <xdr:spPr>
          <a:xfrm>
            <a:off x="4533900" y="276225"/>
            <a:ext cx="1893532"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sz="1200" b="1" u="sng"/>
              <a:t>PROCESS</a:t>
            </a:r>
            <a:r>
              <a:rPr lang="en-US" sz="1200" b="1" u="sng" baseline="0"/>
              <a:t> BLOCK DIAGRAM</a:t>
            </a:r>
            <a:endParaRPr lang="en-US" sz="1200" b="1" u="sng"/>
          </a:p>
        </xdr:txBody>
      </xdr:sp>
      <xdr:sp macro="" textlink="">
        <xdr:nvSpPr>
          <xdr:cNvPr id="4" name="TextBox 3"/>
          <xdr:cNvSpPr txBox="1"/>
        </xdr:nvSpPr>
        <xdr:spPr>
          <a:xfrm>
            <a:off x="819151" y="1095375"/>
            <a:ext cx="1333500" cy="542925"/>
          </a:xfrm>
          <a:prstGeom prst="rect">
            <a:avLst/>
          </a:prstGeom>
          <a:solidFill>
            <a:schemeClr val="accent1">
              <a:lumMod val="75000"/>
            </a:schemeClr>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wrap="square" rtlCol="0" anchor="ctr">
            <a:noAutofit/>
          </a:bodyPr>
          <a:lstStyle/>
          <a:p>
            <a:pPr algn="ctr"/>
            <a:r>
              <a:rPr lang="en-US" sz="1400">
                <a:solidFill>
                  <a:schemeClr val="bg1"/>
                </a:solidFill>
              </a:rPr>
              <a:t>1: Make Dough &amp; Form</a:t>
            </a:r>
            <a:r>
              <a:rPr lang="en-US" sz="1400" baseline="0">
                <a:solidFill>
                  <a:schemeClr val="bg1"/>
                </a:solidFill>
              </a:rPr>
              <a:t> Buns</a:t>
            </a:r>
            <a:endParaRPr lang="en-US" sz="1400">
              <a:solidFill>
                <a:schemeClr val="bg1"/>
              </a:solidFill>
            </a:endParaRPr>
          </a:p>
        </xdr:txBody>
      </xdr:sp>
      <xdr:sp macro="" textlink="">
        <xdr:nvSpPr>
          <xdr:cNvPr id="5" name="TextBox 4"/>
          <xdr:cNvSpPr txBox="1"/>
        </xdr:nvSpPr>
        <xdr:spPr>
          <a:xfrm>
            <a:off x="3038476" y="1095375"/>
            <a:ext cx="1333500" cy="542925"/>
          </a:xfrm>
          <a:prstGeom prst="rect">
            <a:avLst/>
          </a:prstGeom>
          <a:solidFill>
            <a:schemeClr val="accent1">
              <a:lumMod val="75000"/>
            </a:schemeClr>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wrap="square" rtlCol="0" anchor="ctr">
            <a:noAutofit/>
          </a:bodyPr>
          <a:lstStyle/>
          <a:p>
            <a:pPr algn="ctr"/>
            <a:r>
              <a:rPr lang="en-US" sz="1400">
                <a:solidFill>
                  <a:schemeClr val="bg1"/>
                </a:solidFill>
              </a:rPr>
              <a:t>2: Bake Buns</a:t>
            </a:r>
          </a:p>
        </xdr:txBody>
      </xdr:sp>
      <xdr:sp macro="" textlink="">
        <xdr:nvSpPr>
          <xdr:cNvPr id="6" name="TextBox 5"/>
          <xdr:cNvSpPr txBox="1"/>
        </xdr:nvSpPr>
        <xdr:spPr>
          <a:xfrm>
            <a:off x="3048001" y="2276475"/>
            <a:ext cx="1333500" cy="542925"/>
          </a:xfrm>
          <a:prstGeom prst="rect">
            <a:avLst/>
          </a:prstGeom>
          <a:solidFill>
            <a:schemeClr val="accent1">
              <a:lumMod val="75000"/>
            </a:schemeClr>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wrap="square" rtlCol="0" anchor="ctr">
            <a:noAutofit/>
          </a:bodyPr>
          <a:lstStyle/>
          <a:p>
            <a:pPr algn="ctr"/>
            <a:r>
              <a:rPr lang="en-US" sz="1400">
                <a:solidFill>
                  <a:schemeClr val="bg1"/>
                </a:solidFill>
              </a:rPr>
              <a:t>3: Slice Meat</a:t>
            </a:r>
          </a:p>
        </xdr:txBody>
      </xdr:sp>
      <xdr:sp macro="" textlink="">
        <xdr:nvSpPr>
          <xdr:cNvPr id="7" name="TextBox 6"/>
          <xdr:cNvSpPr txBox="1"/>
        </xdr:nvSpPr>
        <xdr:spPr>
          <a:xfrm>
            <a:off x="5181601" y="1685925"/>
            <a:ext cx="1333500" cy="542925"/>
          </a:xfrm>
          <a:prstGeom prst="rect">
            <a:avLst/>
          </a:prstGeom>
          <a:solidFill>
            <a:schemeClr val="accent1">
              <a:lumMod val="75000"/>
            </a:schemeClr>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wrap="square" rtlCol="0" anchor="ctr">
            <a:noAutofit/>
          </a:bodyPr>
          <a:lstStyle/>
          <a:p>
            <a:pPr algn="ctr"/>
            <a:r>
              <a:rPr lang="en-US" sz="1400">
                <a:solidFill>
                  <a:schemeClr val="bg1"/>
                </a:solidFill>
              </a:rPr>
              <a:t>4: Assemble Sandwiches</a:t>
            </a:r>
          </a:p>
        </xdr:txBody>
      </xdr:sp>
      <xdr:sp macro="" textlink="">
        <xdr:nvSpPr>
          <xdr:cNvPr id="8" name="TextBox 7"/>
          <xdr:cNvSpPr txBox="1"/>
        </xdr:nvSpPr>
        <xdr:spPr>
          <a:xfrm>
            <a:off x="7639051" y="1685925"/>
            <a:ext cx="1333500" cy="542925"/>
          </a:xfrm>
          <a:prstGeom prst="rect">
            <a:avLst/>
          </a:prstGeom>
          <a:solidFill>
            <a:schemeClr val="accent1">
              <a:lumMod val="75000"/>
            </a:schemeClr>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wrap="square" rtlCol="0" anchor="ctr">
            <a:noAutofit/>
          </a:bodyPr>
          <a:lstStyle/>
          <a:p>
            <a:pPr algn="ctr"/>
            <a:r>
              <a:rPr lang="en-US" sz="1400">
                <a:solidFill>
                  <a:schemeClr val="bg1"/>
                </a:solidFill>
              </a:rPr>
              <a:t>5:</a:t>
            </a:r>
            <a:r>
              <a:rPr lang="en-US" sz="1400" baseline="0">
                <a:solidFill>
                  <a:schemeClr val="bg1"/>
                </a:solidFill>
              </a:rPr>
              <a:t> Toast &amp; Test</a:t>
            </a:r>
            <a:endParaRPr lang="en-US" sz="1400">
              <a:solidFill>
                <a:schemeClr val="bg1"/>
              </a:solidFill>
            </a:endParaRPr>
          </a:p>
        </xdr:txBody>
      </xdr:sp>
      <xdr:sp macro="" textlink="">
        <xdr:nvSpPr>
          <xdr:cNvPr id="9" name="TextBox 8"/>
          <xdr:cNvSpPr txBox="1"/>
        </xdr:nvSpPr>
        <xdr:spPr>
          <a:xfrm>
            <a:off x="733425" y="371475"/>
            <a:ext cx="544380" cy="7812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sz="1100"/>
              <a:t>Flour</a:t>
            </a:r>
          </a:p>
          <a:p>
            <a:r>
              <a:rPr lang="en-US" sz="1100"/>
              <a:t>Water</a:t>
            </a:r>
          </a:p>
          <a:p>
            <a:r>
              <a:rPr lang="en-US" sz="1100"/>
              <a:t>Yeast</a:t>
            </a:r>
          </a:p>
          <a:p>
            <a:r>
              <a:rPr lang="en-US" sz="1100"/>
              <a:t>Salt</a:t>
            </a:r>
          </a:p>
        </xdr:txBody>
      </xdr:sp>
      <xdr:sp macro="" textlink="">
        <xdr:nvSpPr>
          <xdr:cNvPr id="10" name="TextBox 9"/>
          <xdr:cNvSpPr txBox="1"/>
        </xdr:nvSpPr>
        <xdr:spPr>
          <a:xfrm>
            <a:off x="2209800" y="1133475"/>
            <a:ext cx="74174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sz="1100"/>
              <a:t>Raw Buns</a:t>
            </a:r>
          </a:p>
        </xdr:txBody>
      </xdr:sp>
      <xdr:cxnSp macro="">
        <xdr:nvCxnSpPr>
          <xdr:cNvPr id="12" name="Straight Arrow Connector 11"/>
          <xdr:cNvCxnSpPr>
            <a:stCxn id="4" idx="3"/>
            <a:endCxn id="5" idx="1"/>
          </xdr:cNvCxnSpPr>
        </xdr:nvCxnSpPr>
        <xdr:spPr>
          <a:xfrm>
            <a:off x="2152651" y="1366838"/>
            <a:ext cx="885825" cy="0"/>
          </a:xfrm>
          <a:prstGeom prst="straightConnector1">
            <a:avLst/>
          </a:prstGeom>
          <a:ln w="25400">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17" name="TextBox 16"/>
          <xdr:cNvSpPr txBox="1"/>
        </xdr:nvSpPr>
        <xdr:spPr>
          <a:xfrm>
            <a:off x="2971800" y="847725"/>
            <a:ext cx="521233"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sz="1100"/>
              <a:t>Herbs</a:t>
            </a:r>
          </a:p>
        </xdr:txBody>
      </xdr:sp>
      <xdr:sp macro="" textlink="">
        <xdr:nvSpPr>
          <xdr:cNvPr id="18" name="TextBox 17"/>
          <xdr:cNvSpPr txBox="1"/>
        </xdr:nvSpPr>
        <xdr:spPr>
          <a:xfrm rot="2176551">
            <a:off x="4457700" y="1371600"/>
            <a:ext cx="46480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sz="1100"/>
              <a:t>Buns</a:t>
            </a:r>
          </a:p>
        </xdr:txBody>
      </xdr:sp>
      <xdr:cxnSp macro="">
        <xdr:nvCxnSpPr>
          <xdr:cNvPr id="19" name="Straight Arrow Connector 18"/>
          <xdr:cNvCxnSpPr>
            <a:stCxn id="5" idx="3"/>
            <a:endCxn id="7" idx="1"/>
          </xdr:cNvCxnSpPr>
        </xdr:nvCxnSpPr>
        <xdr:spPr>
          <a:xfrm>
            <a:off x="4371976" y="1366838"/>
            <a:ext cx="809625" cy="590550"/>
          </a:xfrm>
          <a:prstGeom prst="straightConnector1">
            <a:avLst/>
          </a:prstGeom>
          <a:ln w="25400">
            <a:tailEnd type="arrow"/>
          </a:ln>
        </xdr:spPr>
        <xdr:style>
          <a:lnRef idx="1">
            <a:schemeClr val="accent1"/>
          </a:lnRef>
          <a:fillRef idx="0">
            <a:schemeClr val="accent1"/>
          </a:fillRef>
          <a:effectRef idx="0">
            <a:schemeClr val="accent1"/>
          </a:effectRef>
          <a:fontRef idx="minor">
            <a:schemeClr val="tx1"/>
          </a:fontRef>
        </xdr:style>
      </xdr:cxnSp>
      <xdr:cxnSp macro="">
        <xdr:nvCxnSpPr>
          <xdr:cNvPr id="20" name="Straight Arrow Connector 19"/>
          <xdr:cNvCxnSpPr>
            <a:stCxn id="6" idx="3"/>
            <a:endCxn id="7" idx="1"/>
          </xdr:cNvCxnSpPr>
        </xdr:nvCxnSpPr>
        <xdr:spPr>
          <a:xfrm flipV="1">
            <a:off x="4381501" y="1957388"/>
            <a:ext cx="800100" cy="590550"/>
          </a:xfrm>
          <a:prstGeom prst="straightConnector1">
            <a:avLst/>
          </a:prstGeom>
          <a:ln w="25400">
            <a:tailEnd type="arrow"/>
          </a:ln>
        </xdr:spPr>
        <xdr:style>
          <a:lnRef idx="1">
            <a:schemeClr val="accent1"/>
          </a:lnRef>
          <a:fillRef idx="0">
            <a:schemeClr val="accent1"/>
          </a:fillRef>
          <a:effectRef idx="0">
            <a:schemeClr val="accent1"/>
          </a:effectRef>
          <a:fontRef idx="minor">
            <a:schemeClr val="tx1"/>
          </a:fontRef>
        </xdr:style>
      </xdr:cxnSp>
      <xdr:cxnSp macro="">
        <xdr:nvCxnSpPr>
          <xdr:cNvPr id="21" name="Straight Arrow Connector 20"/>
          <xdr:cNvCxnSpPr>
            <a:stCxn id="7" idx="3"/>
            <a:endCxn id="8" idx="1"/>
          </xdr:cNvCxnSpPr>
        </xdr:nvCxnSpPr>
        <xdr:spPr>
          <a:xfrm>
            <a:off x="6515101" y="1957388"/>
            <a:ext cx="1123950" cy="0"/>
          </a:xfrm>
          <a:prstGeom prst="straightConnector1">
            <a:avLst/>
          </a:prstGeom>
          <a:ln w="25400">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28" name="TextBox 27"/>
          <xdr:cNvSpPr txBox="1"/>
        </xdr:nvSpPr>
        <xdr:spPr>
          <a:xfrm>
            <a:off x="2990850" y="2028825"/>
            <a:ext cx="82945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sz="1100"/>
              <a:t>Meat Block</a:t>
            </a:r>
          </a:p>
        </xdr:txBody>
      </xdr:sp>
      <xdr:sp macro="" textlink="">
        <xdr:nvSpPr>
          <xdr:cNvPr id="32" name="TextBox 31"/>
          <xdr:cNvSpPr txBox="1"/>
        </xdr:nvSpPr>
        <xdr:spPr>
          <a:xfrm rot="19401526">
            <a:off x="4281281" y="2095500"/>
            <a:ext cx="85574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sz="1100"/>
              <a:t>Sliced</a:t>
            </a:r>
            <a:r>
              <a:rPr lang="en-US" sz="1100" baseline="0"/>
              <a:t> Meat</a:t>
            </a:r>
            <a:endParaRPr lang="en-US" sz="1100"/>
          </a:p>
        </xdr:txBody>
      </xdr:sp>
      <xdr:sp macro="" textlink="">
        <xdr:nvSpPr>
          <xdr:cNvPr id="36" name="TextBox 35"/>
          <xdr:cNvSpPr txBox="1"/>
        </xdr:nvSpPr>
        <xdr:spPr>
          <a:xfrm>
            <a:off x="5095875" y="1457325"/>
            <a:ext cx="59978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sz="1100"/>
              <a:t>Cheese</a:t>
            </a:r>
          </a:p>
        </xdr:txBody>
      </xdr:sp>
      <xdr:sp macro="" textlink="">
        <xdr:nvSpPr>
          <xdr:cNvPr id="37" name="TextBox 36"/>
          <xdr:cNvSpPr txBox="1"/>
        </xdr:nvSpPr>
        <xdr:spPr>
          <a:xfrm>
            <a:off x="6448425" y="1724025"/>
            <a:ext cx="114563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sz="1100"/>
              <a:t>Cold Sandwiches</a:t>
            </a:r>
          </a:p>
        </xdr:txBody>
      </xdr:sp>
      <xdr:cxnSp macro="">
        <xdr:nvCxnSpPr>
          <xdr:cNvPr id="41" name="Straight Arrow Connector 40"/>
          <xdr:cNvCxnSpPr>
            <a:stCxn id="8" idx="3"/>
          </xdr:cNvCxnSpPr>
        </xdr:nvCxnSpPr>
        <xdr:spPr>
          <a:xfrm>
            <a:off x="8972551" y="1957388"/>
            <a:ext cx="228599" cy="4762"/>
          </a:xfrm>
          <a:prstGeom prst="straightConnector1">
            <a:avLst/>
          </a:prstGeom>
          <a:ln w="25400">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44" name="TextBox 43"/>
          <xdr:cNvSpPr txBox="1"/>
        </xdr:nvSpPr>
        <xdr:spPr>
          <a:xfrm>
            <a:off x="9144000" y="1828800"/>
            <a:ext cx="1373453"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sz="1100" b="1"/>
              <a:t>Toasted Sandwiches</a:t>
            </a:r>
          </a:p>
        </xdr:txBody>
      </xdr:sp>
    </xdr:grpSp>
    <xdr:clientData/>
  </xdr:twoCellAnchor>
  <xdr:twoCellAnchor>
    <xdr:from>
      <xdr:col>0</xdr:col>
      <xdr:colOff>438151</xdr:colOff>
      <xdr:row>19</xdr:row>
      <xdr:rowOff>57151</xdr:rowOff>
    </xdr:from>
    <xdr:to>
      <xdr:col>5</xdr:col>
      <xdr:colOff>133351</xdr:colOff>
      <xdr:row>28</xdr:row>
      <xdr:rowOff>1</xdr:rowOff>
    </xdr:to>
    <xdr:grpSp>
      <xdr:nvGrpSpPr>
        <xdr:cNvPr id="53" name="Group 52"/>
        <xdr:cNvGrpSpPr/>
      </xdr:nvGrpSpPr>
      <xdr:grpSpPr>
        <a:xfrm>
          <a:off x="438151" y="3435351"/>
          <a:ext cx="3060700" cy="1543050"/>
          <a:chOff x="2914651" y="3990976"/>
          <a:chExt cx="2743200" cy="1657350"/>
        </a:xfrm>
      </xdr:grpSpPr>
      <xdr:sp macro="" textlink="">
        <xdr:nvSpPr>
          <xdr:cNvPr id="46" name="Rounded Rectangle 45"/>
          <xdr:cNvSpPr/>
        </xdr:nvSpPr>
        <xdr:spPr>
          <a:xfrm>
            <a:off x="2914651" y="3990976"/>
            <a:ext cx="2743200" cy="165735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sp macro="" textlink="">
        <xdr:nvSpPr>
          <xdr:cNvPr id="47" name="TextBox 46"/>
          <xdr:cNvSpPr txBox="1"/>
        </xdr:nvSpPr>
        <xdr:spPr>
          <a:xfrm>
            <a:off x="3933825" y="4019550"/>
            <a:ext cx="696344"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sz="1200" b="1" u="sng"/>
              <a:t>LEGEND</a:t>
            </a:r>
            <a:endParaRPr lang="en-US" sz="1100" b="1" u="sng"/>
          </a:p>
        </xdr:txBody>
      </xdr:sp>
      <xdr:sp macro="" textlink="">
        <xdr:nvSpPr>
          <xdr:cNvPr id="45" name="TextBox 44"/>
          <xdr:cNvSpPr txBox="1"/>
        </xdr:nvSpPr>
        <xdr:spPr>
          <a:xfrm>
            <a:off x="3152776" y="4695825"/>
            <a:ext cx="1495424" cy="723900"/>
          </a:xfrm>
          <a:prstGeom prst="rect">
            <a:avLst/>
          </a:prstGeom>
          <a:solidFill>
            <a:schemeClr val="accent1">
              <a:lumMod val="75000"/>
            </a:schemeClr>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wrap="square" rtlCol="0" anchor="ctr">
            <a:noAutofit/>
          </a:bodyPr>
          <a:lstStyle/>
          <a:p>
            <a:pPr algn="ctr"/>
            <a:r>
              <a:rPr lang="en-US" sz="1400">
                <a:solidFill>
                  <a:schemeClr val="bg1"/>
                </a:solidFill>
              </a:rPr>
              <a:t>(Stage Number): (Stage Name)</a:t>
            </a:r>
          </a:p>
        </xdr:txBody>
      </xdr:sp>
      <xdr:sp macro="" textlink="">
        <xdr:nvSpPr>
          <xdr:cNvPr id="48" name="TextBox 47"/>
          <xdr:cNvSpPr txBox="1"/>
        </xdr:nvSpPr>
        <xdr:spPr>
          <a:xfrm>
            <a:off x="3038475" y="4438650"/>
            <a:ext cx="114954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sz="1100"/>
              <a:t>(Material</a:t>
            </a:r>
            <a:r>
              <a:rPr lang="en-US" sz="1100" baseline="0"/>
              <a:t> Inputs)</a:t>
            </a:r>
            <a:endParaRPr lang="en-US" sz="1100"/>
          </a:p>
        </xdr:txBody>
      </xdr:sp>
      <xdr:cxnSp macro="">
        <xdr:nvCxnSpPr>
          <xdr:cNvPr id="49" name="Straight Arrow Connector 48"/>
          <xdr:cNvCxnSpPr>
            <a:stCxn id="45" idx="3"/>
          </xdr:cNvCxnSpPr>
        </xdr:nvCxnSpPr>
        <xdr:spPr>
          <a:xfrm>
            <a:off x="4648200" y="5057775"/>
            <a:ext cx="647700" cy="0"/>
          </a:xfrm>
          <a:prstGeom prst="straightConnector1">
            <a:avLst/>
          </a:prstGeom>
          <a:ln w="25400">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52" name="TextBox 51"/>
          <xdr:cNvSpPr txBox="1"/>
        </xdr:nvSpPr>
        <xdr:spPr>
          <a:xfrm>
            <a:off x="4581525" y="4781550"/>
            <a:ext cx="102868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sz="1100"/>
              <a:t>(Stage</a:t>
            </a:r>
            <a:r>
              <a:rPr lang="en-US" sz="1100" baseline="0"/>
              <a:t> Output)</a:t>
            </a:r>
            <a:endParaRPr lang="en-US" sz="1100"/>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9525</xdr:colOff>
      <xdr:row>2</xdr:row>
      <xdr:rowOff>0</xdr:rowOff>
    </xdr:from>
    <xdr:to>
      <xdr:col>17</xdr:col>
      <xdr:colOff>161924</xdr:colOff>
      <xdr:row>19</xdr:row>
      <xdr:rowOff>114300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9525</xdr:colOff>
      <xdr:row>22</xdr:row>
      <xdr:rowOff>10583</xdr:rowOff>
    </xdr:from>
    <xdr:to>
      <xdr:col>17</xdr:col>
      <xdr:colOff>257176</xdr:colOff>
      <xdr:row>43</xdr:row>
      <xdr:rowOff>29633</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oneCellAnchor>
    <xdr:from>
      <xdr:col>2</xdr:col>
      <xdr:colOff>9524</xdr:colOff>
      <xdr:row>1</xdr:row>
      <xdr:rowOff>19050</xdr:rowOff>
    </xdr:from>
    <xdr:ext cx="8658226" cy="1685925"/>
    <xdr:sp macro="" textlink="">
      <xdr:nvSpPr>
        <xdr:cNvPr id="2" name="TextBox 1"/>
        <xdr:cNvSpPr txBox="1"/>
      </xdr:nvSpPr>
      <xdr:spPr>
        <a:xfrm>
          <a:off x="3381374" y="209550"/>
          <a:ext cx="8658226" cy="1685925"/>
        </a:xfrm>
        <a:prstGeom prst="rect">
          <a:avLst/>
        </a:prstGeom>
        <a:solidFill>
          <a:schemeClr val="bg1">
            <a:lumMod val="95000"/>
          </a:schemeClr>
        </a:solidFill>
        <a:ln w="19050">
          <a:solidFill>
            <a:sysClr val="windowText" lastClr="000000">
              <a:tint val="75000"/>
              <a:shade val="95000"/>
              <a:satMod val="105000"/>
            </a:sysClr>
          </a:solidFill>
        </a:ln>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r>
            <a:rPr lang="en-US" sz="1100" b="1" u="sng"/>
            <a:t>Sheet Description</a:t>
          </a:r>
          <a:r>
            <a:rPr lang="en-US" sz="1100"/>
            <a:t>:</a:t>
          </a:r>
        </a:p>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latin typeface="+mn-lt"/>
              <a:ea typeface="+mn-ea"/>
              <a:cs typeface="+mn-cs"/>
            </a:rPr>
            <a:t>This</a:t>
          </a:r>
          <a:r>
            <a:rPr lang="en-US" sz="1100" baseline="0">
              <a:solidFill>
                <a:schemeClr val="tx1"/>
              </a:solidFill>
              <a:latin typeface="+mn-lt"/>
              <a:ea typeface="+mn-ea"/>
              <a:cs typeface="+mn-cs"/>
            </a:rPr>
            <a:t> sheet contains a production line model that employs annual production volume as an independent variable.   Cycle time and batch size for a single workstation (or single set of machinery/equipment/tools ) at each stage are used in calculating resource (e.g. labor, materials, capital, etc.) requirements for production at the desired scale. </a:t>
          </a:r>
        </a:p>
        <a:p>
          <a:pPr marL="0" marR="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tx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aseline="0">
              <a:solidFill>
                <a:schemeClr val="tx1"/>
              </a:solidFill>
              <a:latin typeface="+mn-lt"/>
              <a:ea typeface="+mn-ea"/>
              <a:cs typeface="+mn-cs"/>
            </a:rPr>
            <a:t>This sheet uses the operating requirements and cost rates for process inputs to estimate operating expenditures.  It provides capital requirements (i.e. number of stations per stage) to the 'CapEx' sheet for estimating capital expenditures.</a:t>
          </a:r>
        </a:p>
        <a:p>
          <a:pPr marL="0" marR="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tx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aseline="0">
              <a:solidFill>
                <a:schemeClr val="tx1"/>
              </a:solidFill>
              <a:latin typeface="+mn-lt"/>
              <a:ea typeface="+mn-ea"/>
              <a:cs typeface="+mn-cs"/>
            </a:rPr>
            <a:t>(For continuous processes, reduce the cycle time and batch size as far as necessary for calculation while maintaining their ratio, which is the rate.)</a:t>
          </a:r>
          <a:endParaRPr lang="en-US"/>
        </a:p>
        <a:p>
          <a:endParaRPr lang="en-US" sz="1100" baseline="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638175</xdr:colOff>
      <xdr:row>1</xdr:row>
      <xdr:rowOff>9525</xdr:rowOff>
    </xdr:from>
    <xdr:ext cx="6553200" cy="1609726"/>
    <xdr:sp macro="" textlink="">
      <xdr:nvSpPr>
        <xdr:cNvPr id="2" name="TextBox 1"/>
        <xdr:cNvSpPr txBox="1"/>
      </xdr:nvSpPr>
      <xdr:spPr>
        <a:xfrm>
          <a:off x="2667000" y="200025"/>
          <a:ext cx="6553200" cy="1609726"/>
        </a:xfrm>
        <a:prstGeom prst="rect">
          <a:avLst/>
        </a:prstGeom>
        <a:solidFill>
          <a:schemeClr val="bg1">
            <a:lumMod val="95000"/>
          </a:schemeClr>
        </a:solidFill>
        <a:ln w="19050">
          <a:solidFill>
            <a:sysClr val="windowText" lastClr="000000">
              <a:tint val="75000"/>
              <a:shade val="95000"/>
              <a:satMod val="105000"/>
            </a:sysClr>
          </a:solidFill>
        </a:ln>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r>
            <a:rPr lang="en-US" sz="1100" b="1" u="sng"/>
            <a:t>Sheet</a:t>
          </a:r>
          <a:r>
            <a:rPr lang="en-US" sz="1100" b="1" u="sng" baseline="0"/>
            <a:t> Description</a:t>
          </a:r>
          <a:r>
            <a:rPr lang="en-US" sz="1100" baseline="0"/>
            <a:t>:</a:t>
          </a:r>
        </a:p>
        <a:p>
          <a:r>
            <a:rPr lang="en-US" sz="1100" baseline="0"/>
            <a:t>This sheet captures measures of product performance that help determine the target market segment and/or the potential product price.   When possible, link calculations here to values in the production model (or to pricing) to see impact of process design decisions.  (Contextualizing the performance and cost metrics  may require industry and market research outside of what can be captured in this spreadsheet.)</a:t>
          </a:r>
        </a:p>
        <a:p>
          <a:endParaRPr lang="en-US" sz="1100" baseline="0"/>
        </a:p>
        <a:p>
          <a:r>
            <a:rPr lang="en-US" sz="1100" baseline="0"/>
            <a:t>(If modeling the operation of the product, such as when the product itself is used directly to generate subsequent revenue-earning materials or energy, this sheet could be expanded to include that.)</a:t>
          </a:r>
        </a:p>
        <a:p>
          <a:endParaRPr lang="en-US" sz="1100"/>
        </a:p>
      </xdr:txBody>
    </xdr:sp>
    <xdr:clientData/>
  </xdr:oneCellAnchor>
</xdr:wsDr>
</file>

<file path=xl/drawings/drawing5.xml><?xml version="1.0" encoding="utf-8"?>
<xdr:wsDr xmlns:xdr="http://schemas.openxmlformats.org/drawingml/2006/spreadsheetDrawing" xmlns:a="http://schemas.openxmlformats.org/drawingml/2006/main">
  <xdr:twoCellAnchor>
    <xdr:from>
      <xdr:col>0</xdr:col>
      <xdr:colOff>1866901</xdr:colOff>
      <xdr:row>21</xdr:row>
      <xdr:rowOff>0</xdr:rowOff>
    </xdr:from>
    <xdr:to>
      <xdr:col>7</xdr:col>
      <xdr:colOff>647700</xdr:colOff>
      <xdr:row>38</xdr:row>
      <xdr:rowOff>114300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1857374</xdr:colOff>
      <xdr:row>53</xdr:row>
      <xdr:rowOff>28575</xdr:rowOff>
    </xdr:from>
    <xdr:to>
      <xdr:col>7</xdr:col>
      <xdr:colOff>733425</xdr:colOff>
      <xdr:row>74</xdr:row>
      <xdr:rowOff>47625</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9524</xdr:colOff>
      <xdr:row>102</xdr:row>
      <xdr:rowOff>9524</xdr:rowOff>
    </xdr:from>
    <xdr:to>
      <xdr:col>7</xdr:col>
      <xdr:colOff>742950</xdr:colOff>
      <xdr:row>120</xdr:row>
      <xdr:rowOff>190499</xdr:rowOff>
    </xdr:to>
    <xdr:graphicFrame macro="">
      <xdr:nvGraphicFramePr>
        <xdr:cNvPr id="7"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504825</xdr:colOff>
      <xdr:row>53</xdr:row>
      <xdr:rowOff>0</xdr:rowOff>
    </xdr:from>
    <xdr:to>
      <xdr:col>10</xdr:col>
      <xdr:colOff>3105150</xdr:colOff>
      <xdr:row>67</xdr:row>
      <xdr:rowOff>76200</xdr:rowOff>
    </xdr:to>
    <xdr:graphicFrame macro="">
      <xdr:nvGraphicFramePr>
        <xdr:cNvPr id="8" name="Chart 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oneCellAnchor>
    <xdr:from>
      <xdr:col>8</xdr:col>
      <xdr:colOff>914400</xdr:colOff>
      <xdr:row>25</xdr:row>
      <xdr:rowOff>66675</xdr:rowOff>
    </xdr:from>
    <xdr:ext cx="184731" cy="264560"/>
    <xdr:sp macro="" textlink="">
      <xdr:nvSpPr>
        <xdr:cNvPr id="9" name="TextBox 8"/>
        <xdr:cNvSpPr txBox="1"/>
      </xdr:nvSpPr>
      <xdr:spPr>
        <a:xfrm>
          <a:off x="10382250" y="48291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8</xdr:col>
      <xdr:colOff>9525</xdr:colOff>
      <xdr:row>22</xdr:row>
      <xdr:rowOff>0</xdr:rowOff>
    </xdr:from>
    <xdr:ext cx="4714875" cy="2667000"/>
    <xdr:sp macro="" textlink="">
      <xdr:nvSpPr>
        <xdr:cNvPr id="10" name="TextBox 9"/>
        <xdr:cNvSpPr txBox="1"/>
      </xdr:nvSpPr>
      <xdr:spPr>
        <a:xfrm>
          <a:off x="9477375" y="4191000"/>
          <a:ext cx="4714875" cy="2667000"/>
        </a:xfrm>
        <a:prstGeom prst="rect">
          <a:avLst/>
        </a:prstGeom>
        <a:solidFill>
          <a:schemeClr val="bg1">
            <a:lumMod val="95000"/>
          </a:schemeClr>
        </a:solidFill>
        <a:ln w="19050">
          <a:solidFill>
            <a:sysClr val="windowText" lastClr="000000">
              <a:tint val="75000"/>
              <a:shade val="95000"/>
              <a:satMod val="105000"/>
            </a:sysClr>
          </a:solidFill>
        </a:ln>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r>
            <a:rPr lang="en-US" sz="1100" b="1" u="sng"/>
            <a:t>Cost Sensitivity "Tornado"</a:t>
          </a:r>
          <a:r>
            <a:rPr lang="en-US" sz="1100" b="1" u="sng" baseline="0"/>
            <a:t> Chart Tips</a:t>
          </a:r>
          <a:r>
            <a:rPr lang="en-US" sz="1100" baseline="0"/>
            <a:t>:</a:t>
          </a:r>
        </a:p>
        <a:p>
          <a:r>
            <a:rPr lang="en-US" sz="1100" baseline="0"/>
            <a:t>All charted values and labels are configured in this example to update automatically except the following:</a:t>
          </a:r>
        </a:p>
        <a:p>
          <a:endParaRPr lang="en-US" sz="1100" baseline="0"/>
        </a:p>
        <a:p>
          <a:r>
            <a:rPr lang="en-US" sz="1100" baseline="0"/>
            <a:t>1) VERTICAL AXIS CROSSING: When the baseline cost changes, the location of the vertical axis must be manually updated--right-click on the horizontal axis, select 'Format Axis',  type the new baseline cost into the 'Vertical Axis Crosses' entry box. (And do it to the chart on 'Results Summary' sheet.)</a:t>
          </a:r>
        </a:p>
        <a:p>
          <a:endParaRPr lang="en-US" sz="1100"/>
        </a:p>
        <a:p>
          <a:r>
            <a:rPr lang="en-US" sz="1100"/>
            <a:t>2) DATA LABELS: When changing the order of appearance of variables or adding new ones, the data</a:t>
          </a:r>
          <a:r>
            <a:rPr lang="en-US" sz="1100" baseline="0"/>
            <a:t> labels appearing adjacent to the bars will not update correctly--left-click on a data label to select a set, left-click on it again to select the individual one, and refer its value to the desired cell (organized in the Auto-fills area for ease of use for this purpose).</a:t>
          </a:r>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2" Type="http://schemas.openxmlformats.org/officeDocument/2006/relationships/vmlDrawing" Target="../drawings/vmlDrawing1.vml"/><Relationship Id="rId3"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 Id="rId2" Type="http://schemas.openxmlformats.org/officeDocument/2006/relationships/vmlDrawing" Target="../drawings/vmlDrawing3.vml"/><Relationship Id="rId3"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B22:J33"/>
  <sheetViews>
    <sheetView tabSelected="1" workbookViewId="0">
      <selection activeCell="B31" sqref="B31:E33"/>
    </sheetView>
  </sheetViews>
  <sheetFormatPr baseColWidth="10" defaultColWidth="8.83203125" defaultRowHeight="14"/>
  <sheetData>
    <row r="22" spans="2:10">
      <c r="J22" t="s">
        <v>23</v>
      </c>
    </row>
    <row r="23" spans="2:10">
      <c r="J23" t="s">
        <v>24</v>
      </c>
    </row>
    <row r="31" spans="2:10">
      <c r="B31" s="16" t="s">
        <v>25</v>
      </c>
      <c r="C31" s="16"/>
      <c r="D31" s="16"/>
      <c r="E31" s="16"/>
    </row>
    <row r="32" spans="2:10">
      <c r="B32" s="16" t="s">
        <v>26</v>
      </c>
      <c r="C32" s="16"/>
      <c r="D32" s="16"/>
      <c r="E32" s="16"/>
    </row>
    <row r="33" spans="2:5">
      <c r="B33" s="16" t="s">
        <v>27</v>
      </c>
      <c r="C33" s="16"/>
      <c r="D33" s="16"/>
      <c r="E33" s="16"/>
    </row>
  </sheetData>
  <phoneticPr fontId="14" type="noConversion"/>
  <pageMargins left="0.7" right="0.7" top="0.75" bottom="0.75" header="0.3" footer="0.3"/>
  <drawing r:id="rId1"/>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3:D21"/>
  <sheetViews>
    <sheetView workbookViewId="0"/>
  </sheetViews>
  <sheetFormatPr baseColWidth="10" defaultColWidth="8.83203125" defaultRowHeight="14"/>
  <cols>
    <col min="1" max="1" width="26.1640625" bestFit="1" customWidth="1"/>
    <col min="2" max="2" width="15.83203125" customWidth="1"/>
    <col min="3" max="3" width="17.33203125" customWidth="1"/>
    <col min="4" max="4" width="39.5" customWidth="1"/>
  </cols>
  <sheetData>
    <row r="3" spans="1:4">
      <c r="A3" s="28" t="s">
        <v>204</v>
      </c>
      <c r="B3" s="28" t="s">
        <v>205</v>
      </c>
      <c r="C3" s="28" t="s">
        <v>121</v>
      </c>
      <c r="D3" s="28" t="s">
        <v>228</v>
      </c>
    </row>
    <row r="5" spans="1:4">
      <c r="A5" s="19" t="s">
        <v>112</v>
      </c>
      <c r="B5" s="18"/>
      <c r="C5" s="18"/>
      <c r="D5" s="16" t="s">
        <v>132</v>
      </c>
    </row>
    <row r="6" spans="1:4">
      <c r="A6" s="18" t="s">
        <v>203</v>
      </c>
      <c r="B6" s="73">
        <f>'Production Model &amp; OpEx'!B15</f>
        <v>1000000</v>
      </c>
      <c r="C6" s="18" t="s">
        <v>114</v>
      </c>
    </row>
    <row r="7" spans="1:4">
      <c r="A7" s="18" t="s">
        <v>115</v>
      </c>
      <c r="B7" s="18">
        <f>'Production Model &amp; OpEx'!B83</f>
        <v>3</v>
      </c>
      <c r="C7" s="18" t="s">
        <v>110</v>
      </c>
    </row>
    <row r="8" spans="1:4">
      <c r="A8" s="18" t="s">
        <v>113</v>
      </c>
      <c r="B8" s="18">
        <f>'Production Model &amp; OpEx'!H135</f>
        <v>0.35</v>
      </c>
      <c r="C8" s="18" t="s">
        <v>269</v>
      </c>
      <c r="D8" s="16" t="s">
        <v>133</v>
      </c>
    </row>
    <row r="9" spans="1:4">
      <c r="A9" s="18" t="s">
        <v>197</v>
      </c>
      <c r="B9" s="33">
        <f>Financial!B20</f>
        <v>4.1500000000000004</v>
      </c>
      <c r="C9" s="18" t="s">
        <v>265</v>
      </c>
    </row>
    <row r="10" spans="1:4">
      <c r="A10" s="18"/>
      <c r="B10" s="18"/>
      <c r="C10" s="18"/>
    </row>
    <row r="12" spans="1:4">
      <c r="A12" s="19" t="s">
        <v>116</v>
      </c>
      <c r="B12" s="18"/>
      <c r="C12" s="18"/>
    </row>
    <row r="13" spans="1:4">
      <c r="A13" s="18" t="s">
        <v>162</v>
      </c>
      <c r="B13" s="30">
        <f>'Production Model &amp; OpEx'!E146</f>
        <v>3365031.7029917953</v>
      </c>
      <c r="C13" s="18" t="s">
        <v>268</v>
      </c>
    </row>
    <row r="14" spans="1:4" s="16" customFormat="1">
      <c r="A14" s="18" t="s">
        <v>92</v>
      </c>
      <c r="B14" s="30">
        <f>CapEx!B62</f>
        <v>724536</v>
      </c>
      <c r="C14" s="18" t="s">
        <v>247</v>
      </c>
    </row>
    <row r="15" spans="1:4">
      <c r="A15" s="18" t="s">
        <v>163</v>
      </c>
      <c r="B15" s="74">
        <f>Financial!B16</f>
        <v>3.5099389029917951</v>
      </c>
      <c r="C15" s="18" t="s">
        <v>265</v>
      </c>
    </row>
    <row r="16" spans="1:4">
      <c r="A16" s="18" t="s">
        <v>9</v>
      </c>
      <c r="B16" s="52">
        <f>Financial!B27</f>
        <v>0.92301307296290303</v>
      </c>
      <c r="C16" s="18" t="s">
        <v>164</v>
      </c>
    </row>
    <row r="18" spans="1:4">
      <c r="A18" s="18"/>
      <c r="B18" s="18"/>
      <c r="C18" s="18"/>
    </row>
    <row r="19" spans="1:4">
      <c r="A19" s="19" t="s">
        <v>117</v>
      </c>
      <c r="B19" s="18"/>
      <c r="C19" s="18"/>
    </row>
    <row r="20" spans="1:4">
      <c r="A20" s="18" t="s">
        <v>118</v>
      </c>
      <c r="B20" s="18">
        <f>'Production Model &amp; OpEx'!B57</f>
        <v>7</v>
      </c>
      <c r="C20" s="18"/>
    </row>
    <row r="21" spans="1:4">
      <c r="A21" s="18" t="s">
        <v>119</v>
      </c>
      <c r="B21" s="47">
        <f>'Production Model &amp; OpEx'!B110</f>
        <v>0.72886297376093301</v>
      </c>
      <c r="C21" s="18"/>
      <c r="D21" s="16" t="s">
        <v>120</v>
      </c>
    </row>
  </sheetData>
  <pageMargins left="0.7" right="0.7" top="0.75" bottom="0.75" header="0.3" footer="0.3"/>
  <drawing r:id="rId1"/>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2:K146"/>
  <sheetViews>
    <sheetView workbookViewId="0"/>
  </sheetViews>
  <sheetFormatPr baseColWidth="10" defaultColWidth="8.83203125" defaultRowHeight="14"/>
  <cols>
    <col min="1" max="1" width="36.5" customWidth="1"/>
    <col min="2" max="2" width="14.1640625" customWidth="1"/>
    <col min="3" max="3" width="17.33203125" bestFit="1" customWidth="1"/>
    <col min="4" max="4" width="2.83203125" customWidth="1"/>
    <col min="5" max="5" width="15.83203125" customWidth="1"/>
    <col min="6" max="6" width="15.5" bestFit="1" customWidth="1"/>
    <col min="7" max="7" width="2.83203125" customWidth="1"/>
    <col min="8" max="8" width="12.6640625" customWidth="1"/>
    <col min="9" max="9" width="11.1640625" bestFit="1" customWidth="1"/>
    <col min="10" max="10" width="2.83203125" customWidth="1"/>
    <col min="11" max="11" width="59.83203125" customWidth="1"/>
  </cols>
  <sheetData>
    <row r="2" spans="1:5" s="16" customFormat="1">
      <c r="A2" s="75" t="s">
        <v>130</v>
      </c>
    </row>
    <row r="3" spans="1:5" s="16" customFormat="1">
      <c r="A3" s="76" t="s">
        <v>123</v>
      </c>
    </row>
    <row r="4" spans="1:5" s="16" customFormat="1">
      <c r="A4" s="79" t="s">
        <v>129</v>
      </c>
    </row>
    <row r="5" spans="1:5" s="16" customFormat="1">
      <c r="A5" s="82" t="s">
        <v>124</v>
      </c>
    </row>
    <row r="6" spans="1:5">
      <c r="A6" s="83" t="s">
        <v>131</v>
      </c>
    </row>
    <row r="7" spans="1:5" s="16" customFormat="1"/>
    <row r="8" spans="1:5" s="16" customFormat="1"/>
    <row r="9" spans="1:5" s="16" customFormat="1"/>
    <row r="10" spans="1:5" s="16" customFormat="1"/>
    <row r="11" spans="1:5" s="16" customFormat="1"/>
    <row r="12" spans="1:5">
      <c r="A12" s="4" t="s">
        <v>204</v>
      </c>
      <c r="B12" s="4" t="s">
        <v>205</v>
      </c>
      <c r="C12" s="4" t="s">
        <v>231</v>
      </c>
      <c r="D12" s="4"/>
      <c r="E12" s="48" t="s">
        <v>228</v>
      </c>
    </row>
    <row r="14" spans="1:5">
      <c r="A14" s="110" t="s">
        <v>51</v>
      </c>
      <c r="B14" s="110"/>
      <c r="C14" s="110"/>
    </row>
    <row r="15" spans="1:5">
      <c r="A15" s="16" t="s">
        <v>50</v>
      </c>
      <c r="B15" s="80">
        <f>'Cost Analysis'!C85</f>
        <v>1000000</v>
      </c>
      <c r="C15" t="s">
        <v>206</v>
      </c>
      <c r="E15" s="16" t="s">
        <v>40</v>
      </c>
    </row>
    <row r="16" spans="1:5">
      <c r="A16" t="s">
        <v>208</v>
      </c>
      <c r="B16" s="36">
        <v>250</v>
      </c>
      <c r="C16" t="s">
        <v>211</v>
      </c>
      <c r="E16" s="16" t="s">
        <v>41</v>
      </c>
    </row>
    <row r="17" spans="1:11">
      <c r="A17" t="s">
        <v>207</v>
      </c>
      <c r="B17" s="5">
        <f>B15/B16</f>
        <v>4000</v>
      </c>
      <c r="C17" t="s">
        <v>213</v>
      </c>
    </row>
    <row r="18" spans="1:11">
      <c r="A18" t="s">
        <v>209</v>
      </c>
      <c r="B18" s="36">
        <v>8</v>
      </c>
      <c r="C18" t="s">
        <v>212</v>
      </c>
      <c r="E18" s="16" t="s">
        <v>42</v>
      </c>
    </row>
    <row r="19" spans="1:11">
      <c r="A19" t="s">
        <v>210</v>
      </c>
      <c r="B19" s="37">
        <v>0.85</v>
      </c>
      <c r="E19" s="16" t="s">
        <v>43</v>
      </c>
    </row>
    <row r="23" spans="1:11">
      <c r="A23" s="110" t="s">
        <v>264</v>
      </c>
      <c r="B23" s="110"/>
      <c r="C23" s="110"/>
    </row>
    <row r="25" spans="1:11" ht="28">
      <c r="A25" s="10" t="s">
        <v>204</v>
      </c>
      <c r="B25" s="10" t="s">
        <v>229</v>
      </c>
      <c r="C25" s="10" t="s">
        <v>231</v>
      </c>
      <c r="E25" s="10" t="s">
        <v>230</v>
      </c>
      <c r="F25" s="10" t="s">
        <v>231</v>
      </c>
      <c r="H25" s="10" t="s">
        <v>232</v>
      </c>
      <c r="I25" s="10" t="s">
        <v>231</v>
      </c>
      <c r="K25" s="10" t="s">
        <v>228</v>
      </c>
    </row>
    <row r="27" spans="1:11">
      <c r="A27" s="19" t="s">
        <v>68</v>
      </c>
    </row>
    <row r="28" spans="1:11">
      <c r="A28" s="3" t="s">
        <v>222</v>
      </c>
    </row>
    <row r="29" spans="1:11">
      <c r="A29" s="8" t="s">
        <v>215</v>
      </c>
      <c r="B29" s="39">
        <v>2000</v>
      </c>
      <c r="C29" t="s">
        <v>233</v>
      </c>
      <c r="E29" s="26">
        <f>B29*B39</f>
        <v>680272.1088435374</v>
      </c>
      <c r="F29" t="s">
        <v>242</v>
      </c>
      <c r="H29" s="24">
        <f>E29*H129/B17</f>
        <v>0.17006802721088438</v>
      </c>
      <c r="I29" s="16" t="s">
        <v>52</v>
      </c>
      <c r="K29" s="16" t="s">
        <v>126</v>
      </c>
    </row>
    <row r="30" spans="1:11">
      <c r="A30" s="9" t="s">
        <v>216</v>
      </c>
      <c r="B30" s="39">
        <v>0.13</v>
      </c>
      <c r="C30" t="s">
        <v>234</v>
      </c>
      <c r="E30" s="26">
        <f>B30*B39</f>
        <v>44.217687074829932</v>
      </c>
      <c r="F30" t="s">
        <v>243</v>
      </c>
      <c r="H30" s="24">
        <f>E30*H130/B17</f>
        <v>1.1054421768707484E-3</v>
      </c>
      <c r="I30" s="16" t="s">
        <v>52</v>
      </c>
    </row>
    <row r="31" spans="1:11">
      <c r="A31" s="8" t="s">
        <v>217</v>
      </c>
      <c r="B31" s="39">
        <v>36</v>
      </c>
      <c r="C31" t="s">
        <v>233</v>
      </c>
      <c r="E31" s="26">
        <f>B31*B39</f>
        <v>12244.897959183672</v>
      </c>
      <c r="F31" t="s">
        <v>242</v>
      </c>
      <c r="H31" s="24">
        <f>E31*H131/B17</f>
        <v>2.9387755102040811E-2</v>
      </c>
      <c r="I31" s="16" t="s">
        <v>52</v>
      </c>
    </row>
    <row r="32" spans="1:11">
      <c r="A32" s="9" t="s">
        <v>235</v>
      </c>
      <c r="B32" s="39">
        <v>24</v>
      </c>
      <c r="C32" t="s">
        <v>233</v>
      </c>
      <c r="E32" s="26">
        <f>B32*B39</f>
        <v>8163.2653061224482</v>
      </c>
      <c r="F32" t="s">
        <v>242</v>
      </c>
      <c r="H32" s="24">
        <f>E32*H132/B17</f>
        <v>6.938775510204082E-4</v>
      </c>
      <c r="I32" s="16" t="s">
        <v>52</v>
      </c>
    </row>
    <row r="33" spans="1:9">
      <c r="A33" s="8" t="s">
        <v>220</v>
      </c>
      <c r="B33" s="39">
        <v>1.5</v>
      </c>
      <c r="C33" t="s">
        <v>236</v>
      </c>
      <c r="E33" s="26">
        <f>B33*B18*B40*B42</f>
        <v>153.0612244897959</v>
      </c>
      <c r="F33" t="s">
        <v>244</v>
      </c>
      <c r="H33" s="24">
        <f>E33*H137/B17</f>
        <v>0.71747448979591832</v>
      </c>
      <c r="I33" s="16" t="s">
        <v>52</v>
      </c>
    </row>
    <row r="34" spans="1:9">
      <c r="A34" s="8" t="s">
        <v>221</v>
      </c>
      <c r="B34" s="39">
        <v>2</v>
      </c>
      <c r="C34" t="s">
        <v>237</v>
      </c>
      <c r="E34" s="26">
        <f>B34*B39</f>
        <v>680.27210884353735</v>
      </c>
      <c r="F34" t="s">
        <v>245</v>
      </c>
      <c r="H34" s="24">
        <f>E34*H140/B17</f>
        <v>1.530612244897959E-2</v>
      </c>
      <c r="I34" s="16" t="s">
        <v>52</v>
      </c>
    </row>
    <row r="35" spans="1:9">
      <c r="A35" s="3" t="s">
        <v>218</v>
      </c>
    </row>
    <row r="36" spans="1:9">
      <c r="A36" s="9" t="s">
        <v>219</v>
      </c>
      <c r="B36" s="36">
        <v>12</v>
      </c>
      <c r="C36" t="s">
        <v>238</v>
      </c>
      <c r="E36" s="26">
        <f>B36*B39</f>
        <v>4081.6326530612241</v>
      </c>
      <c r="F36" t="s">
        <v>246</v>
      </c>
    </row>
    <row r="37" spans="1:9">
      <c r="A37" s="3" t="s">
        <v>223</v>
      </c>
    </row>
    <row r="38" spans="1:9">
      <c r="A38" s="9" t="s">
        <v>224</v>
      </c>
      <c r="B38" s="36">
        <v>0.3</v>
      </c>
      <c r="C38" t="s">
        <v>239</v>
      </c>
    </row>
    <row r="39" spans="1:9">
      <c r="A39" s="9" t="s">
        <v>225</v>
      </c>
      <c r="B39" s="26">
        <f>B48/B36*B56</f>
        <v>340.13605442176868</v>
      </c>
      <c r="C39" t="s">
        <v>240</v>
      </c>
    </row>
    <row r="40" spans="1:9">
      <c r="A40" s="9" t="s">
        <v>140</v>
      </c>
      <c r="B40">
        <f>CEILING(B39/(B18/B38)/B19,1)</f>
        <v>16</v>
      </c>
      <c r="C40" t="s">
        <v>241</v>
      </c>
    </row>
    <row r="41" spans="1:9">
      <c r="A41" s="9" t="s">
        <v>226</v>
      </c>
      <c r="B41" s="26">
        <f>B40*B18/B38</f>
        <v>426.66666666666669</v>
      </c>
      <c r="C41" t="s">
        <v>240</v>
      </c>
    </row>
    <row r="42" spans="1:9">
      <c r="A42" s="9" t="s">
        <v>227</v>
      </c>
      <c r="B42" s="6">
        <f>B39/B41</f>
        <v>0.79719387755102034</v>
      </c>
    </row>
    <row r="46" spans="1:9">
      <c r="A46" s="19" t="s">
        <v>69</v>
      </c>
    </row>
    <row r="47" spans="1:9">
      <c r="A47" s="3" t="s">
        <v>222</v>
      </c>
    </row>
    <row r="48" spans="1:9">
      <c r="A48" s="9" t="s">
        <v>219</v>
      </c>
      <c r="B48" s="36">
        <v>144</v>
      </c>
      <c r="C48" t="s">
        <v>238</v>
      </c>
      <c r="E48" s="26">
        <f>B48*B$56</f>
        <v>4081.6326530612246</v>
      </c>
      <c r="F48" t="s">
        <v>246</v>
      </c>
    </row>
    <row r="49" spans="1:9">
      <c r="A49" s="9" t="s">
        <v>248</v>
      </c>
      <c r="B49" s="36">
        <v>60</v>
      </c>
      <c r="C49" t="s">
        <v>233</v>
      </c>
      <c r="E49" s="26">
        <f>B49*B56</f>
        <v>1700.6802721088436</v>
      </c>
      <c r="F49" t="s">
        <v>242</v>
      </c>
      <c r="H49" s="24">
        <f>E49*H133/B17</f>
        <v>0.31887755102040821</v>
      </c>
      <c r="I49" s="16" t="s">
        <v>52</v>
      </c>
    </row>
    <row r="50" spans="1:9">
      <c r="A50" s="9" t="s">
        <v>220</v>
      </c>
      <c r="B50" s="36">
        <v>0.2</v>
      </c>
      <c r="C50" t="s">
        <v>236</v>
      </c>
      <c r="E50" s="26">
        <f>B50*B18*B57*B59</f>
        <v>8.5034013605442187</v>
      </c>
      <c r="F50" t="s">
        <v>244</v>
      </c>
      <c r="H50" s="24">
        <f>E50*H137/B17</f>
        <v>3.9859693877551026E-2</v>
      </c>
      <c r="I50" s="16" t="s">
        <v>52</v>
      </c>
    </row>
    <row r="51" spans="1:9">
      <c r="A51" s="9" t="s">
        <v>221</v>
      </c>
      <c r="B51" s="36">
        <v>50</v>
      </c>
      <c r="C51" t="s">
        <v>237</v>
      </c>
      <c r="E51" s="26">
        <f>B51*B56</f>
        <v>1417.2335600907029</v>
      </c>
      <c r="F51" t="s">
        <v>245</v>
      </c>
      <c r="H51" s="24">
        <f>E51*H140/B17</f>
        <v>3.188775510204081E-2</v>
      </c>
      <c r="I51" s="16" t="s">
        <v>52</v>
      </c>
    </row>
    <row r="52" spans="1:9">
      <c r="A52" s="3" t="s">
        <v>218</v>
      </c>
    </row>
    <row r="53" spans="1:9">
      <c r="A53" s="9" t="s">
        <v>249</v>
      </c>
      <c r="B53" s="36">
        <v>144</v>
      </c>
      <c r="C53" t="s">
        <v>238</v>
      </c>
      <c r="E53" s="26">
        <f>B53*B56</f>
        <v>4081.6326530612246</v>
      </c>
      <c r="F53" t="s">
        <v>246</v>
      </c>
    </row>
    <row r="54" spans="1:9">
      <c r="A54" s="3" t="s">
        <v>223</v>
      </c>
    </row>
    <row r="55" spans="1:9">
      <c r="A55" s="9" t="s">
        <v>224</v>
      </c>
      <c r="B55" s="60">
        <f>'Cost Analysis'!C14</f>
        <v>1.5</v>
      </c>
      <c r="C55" t="s">
        <v>239</v>
      </c>
    </row>
    <row r="56" spans="1:9">
      <c r="A56" s="9" t="s">
        <v>225</v>
      </c>
      <c r="B56" s="21">
        <f>B84/B53*B90</f>
        <v>28.344671201814059</v>
      </c>
      <c r="C56" t="s">
        <v>240</v>
      </c>
    </row>
    <row r="57" spans="1:9">
      <c r="A57" s="9" t="s">
        <v>140</v>
      </c>
      <c r="B57">
        <f>CEILING(B56/(B18/B55)/B19,1)</f>
        <v>7</v>
      </c>
      <c r="C57" t="s">
        <v>241</v>
      </c>
    </row>
    <row r="58" spans="1:9">
      <c r="A58" s="9" t="s">
        <v>226</v>
      </c>
      <c r="B58" s="21">
        <f>B57*B18/B55</f>
        <v>37.333333333333336</v>
      </c>
      <c r="C58" t="s">
        <v>240</v>
      </c>
    </row>
    <row r="59" spans="1:9">
      <c r="A59" s="9" t="s">
        <v>227</v>
      </c>
      <c r="B59" s="6">
        <f>B56/B58</f>
        <v>0.75923226433430513</v>
      </c>
    </row>
    <row r="63" spans="1:9">
      <c r="A63" s="19" t="s">
        <v>70</v>
      </c>
    </row>
    <row r="64" spans="1:9">
      <c r="A64" s="3" t="s">
        <v>222</v>
      </c>
    </row>
    <row r="65" spans="1:11">
      <c r="A65" s="9" t="s">
        <v>250</v>
      </c>
      <c r="B65" s="36">
        <v>1</v>
      </c>
      <c r="C65" t="s">
        <v>252</v>
      </c>
      <c r="E65" s="26">
        <f>B65*B73</f>
        <v>126.23606143488323</v>
      </c>
      <c r="F65" t="s">
        <v>254</v>
      </c>
      <c r="H65" s="24">
        <f>E65*H134/B17</f>
        <v>0.59962129181569535</v>
      </c>
      <c r="I65" s="16" t="s">
        <v>52</v>
      </c>
    </row>
    <row r="66" spans="1:11">
      <c r="A66" s="9" t="s">
        <v>220</v>
      </c>
      <c r="B66" s="36">
        <v>1</v>
      </c>
      <c r="C66" t="s">
        <v>236</v>
      </c>
      <c r="E66" s="26">
        <f>B66*B18*B74*B76</f>
        <v>37.870818430464965</v>
      </c>
      <c r="F66" t="s">
        <v>244</v>
      </c>
      <c r="H66" s="24">
        <f>E66*H137/B17</f>
        <v>0.17751946139280453</v>
      </c>
      <c r="I66" s="16" t="s">
        <v>52</v>
      </c>
    </row>
    <row r="67" spans="1:11">
      <c r="A67" s="9" t="s">
        <v>221</v>
      </c>
      <c r="B67" s="36">
        <v>0.25</v>
      </c>
      <c r="C67" t="s">
        <v>237</v>
      </c>
      <c r="E67" s="26">
        <f>B67*B73</f>
        <v>31.559015358720806</v>
      </c>
      <c r="F67" t="s">
        <v>245</v>
      </c>
      <c r="H67" s="24">
        <f>E67*H140/B17</f>
        <v>7.1007784557121812E-4</v>
      </c>
      <c r="I67" s="16" t="s">
        <v>52</v>
      </c>
      <c r="K67" s="16" t="s">
        <v>44</v>
      </c>
    </row>
    <row r="68" spans="1:11">
      <c r="A68" s="3" t="s">
        <v>218</v>
      </c>
    </row>
    <row r="69" spans="1:11">
      <c r="A69" s="9" t="s">
        <v>251</v>
      </c>
      <c r="B69" s="36">
        <v>100</v>
      </c>
      <c r="C69" t="s">
        <v>253</v>
      </c>
      <c r="E69" s="26">
        <f>B69*B73*B70</f>
        <v>12244.897959183672</v>
      </c>
      <c r="F69" t="s">
        <v>255</v>
      </c>
    </row>
    <row r="70" spans="1:11">
      <c r="A70" s="9" t="s">
        <v>260</v>
      </c>
      <c r="B70" s="37">
        <v>0.97</v>
      </c>
      <c r="E70" s="16" t="s">
        <v>89</v>
      </c>
      <c r="K70" t="s">
        <v>261</v>
      </c>
    </row>
    <row r="71" spans="1:11">
      <c r="A71" s="3" t="s">
        <v>223</v>
      </c>
    </row>
    <row r="72" spans="1:11">
      <c r="A72" s="9" t="s">
        <v>224</v>
      </c>
      <c r="B72" s="36">
        <v>0.3</v>
      </c>
      <c r="C72" t="s">
        <v>239</v>
      </c>
    </row>
    <row r="73" spans="1:11">
      <c r="A73" s="9" t="s">
        <v>225</v>
      </c>
      <c r="B73" s="26">
        <f>B83/B69*B90/B70</f>
        <v>126.23606143488323</v>
      </c>
      <c r="C73" t="s">
        <v>240</v>
      </c>
    </row>
    <row r="74" spans="1:11">
      <c r="A74" s="9" t="s">
        <v>140</v>
      </c>
      <c r="B74">
        <f>CEILING(B73/(B18/B72)/B19,1)</f>
        <v>6</v>
      </c>
      <c r="C74" t="s">
        <v>241</v>
      </c>
    </row>
    <row r="75" spans="1:11">
      <c r="A75" s="9" t="s">
        <v>226</v>
      </c>
      <c r="B75" s="26">
        <f>B74*B18/B72</f>
        <v>160</v>
      </c>
      <c r="C75" t="s">
        <v>240</v>
      </c>
    </row>
    <row r="76" spans="1:11">
      <c r="A76" s="9" t="s">
        <v>227</v>
      </c>
      <c r="B76" s="6">
        <f>B73/B75</f>
        <v>0.78897538396802014</v>
      </c>
    </row>
    <row r="80" spans="1:11">
      <c r="A80" s="19" t="s">
        <v>71</v>
      </c>
    </row>
    <row r="81" spans="1:9">
      <c r="A81" s="3" t="s">
        <v>222</v>
      </c>
    </row>
    <row r="82" spans="1:9">
      <c r="A82" s="9" t="s">
        <v>256</v>
      </c>
      <c r="B82" s="36">
        <v>1</v>
      </c>
      <c r="C82" t="s">
        <v>253</v>
      </c>
      <c r="E82" s="26">
        <f>B82*B90</f>
        <v>4081.6326530612246</v>
      </c>
      <c r="F82" t="s">
        <v>255</v>
      </c>
      <c r="H82" s="24">
        <f>E82*H135/B17</f>
        <v>0.3571428571428571</v>
      </c>
      <c r="I82" s="16" t="s">
        <v>52</v>
      </c>
    </row>
    <row r="83" spans="1:9">
      <c r="A83" s="9" t="s">
        <v>251</v>
      </c>
      <c r="B83" s="60">
        <f>'Cost Analysis'!C16</f>
        <v>3</v>
      </c>
      <c r="C83" t="s">
        <v>253</v>
      </c>
      <c r="E83" s="26">
        <f>B83*B90</f>
        <v>12244.897959183674</v>
      </c>
      <c r="F83" t="s">
        <v>255</v>
      </c>
    </row>
    <row r="84" spans="1:9">
      <c r="A84" s="9" t="s">
        <v>249</v>
      </c>
      <c r="B84" s="36">
        <v>1</v>
      </c>
      <c r="C84" t="s">
        <v>238</v>
      </c>
      <c r="E84" s="26">
        <f>B84*B90</f>
        <v>4081.6326530612246</v>
      </c>
      <c r="F84" t="s">
        <v>246</v>
      </c>
    </row>
    <row r="85" spans="1:9">
      <c r="A85" s="9" t="s">
        <v>220</v>
      </c>
      <c r="B85" s="36">
        <v>1</v>
      </c>
      <c r="C85" t="s">
        <v>236</v>
      </c>
      <c r="E85" s="26">
        <f>B85*B91*B18*B93</f>
        <v>68.02721088435375</v>
      </c>
      <c r="F85" t="s">
        <v>263</v>
      </c>
      <c r="H85" s="24">
        <f>E85*H137/B17</f>
        <v>0.31887755102040821</v>
      </c>
      <c r="I85" s="16" t="s">
        <v>52</v>
      </c>
    </row>
    <row r="86" spans="1:9">
      <c r="A86" s="3" t="s">
        <v>218</v>
      </c>
    </row>
    <row r="87" spans="1:9">
      <c r="A87" s="9" t="s">
        <v>257</v>
      </c>
      <c r="B87" s="36">
        <v>1</v>
      </c>
      <c r="C87" t="s">
        <v>258</v>
      </c>
      <c r="E87" s="26">
        <f>B87*B90</f>
        <v>4081.6326530612246</v>
      </c>
      <c r="F87" t="s">
        <v>213</v>
      </c>
    </row>
    <row r="88" spans="1:9">
      <c r="A88" s="3" t="s">
        <v>223</v>
      </c>
    </row>
    <row r="89" spans="1:9">
      <c r="A89" s="9" t="s">
        <v>224</v>
      </c>
      <c r="B89" s="38">
        <f>1/60</f>
        <v>1.6666666666666666E-2</v>
      </c>
      <c r="C89" t="s">
        <v>239</v>
      </c>
    </row>
    <row r="90" spans="1:9">
      <c r="A90" s="9" t="s">
        <v>225</v>
      </c>
      <c r="B90" s="26">
        <f>B99/B87*B107</f>
        <v>4081.6326530612246</v>
      </c>
      <c r="C90" t="s">
        <v>240</v>
      </c>
    </row>
    <row r="91" spans="1:9">
      <c r="A91" s="9" t="s">
        <v>140</v>
      </c>
      <c r="B91">
        <f>CEILING(B90/(B18/B89)/B19,1)</f>
        <v>11</v>
      </c>
      <c r="C91" t="s">
        <v>241</v>
      </c>
    </row>
    <row r="92" spans="1:9">
      <c r="A92" s="9" t="s">
        <v>226</v>
      </c>
      <c r="B92">
        <f>B91*B18/B89</f>
        <v>5280</v>
      </c>
      <c r="C92" t="s">
        <v>240</v>
      </c>
    </row>
    <row r="93" spans="1:9">
      <c r="A93" s="9" t="s">
        <v>227</v>
      </c>
      <c r="B93" s="6">
        <f>B90/B92</f>
        <v>0.77303648732220165</v>
      </c>
    </row>
    <row r="97" spans="1:11">
      <c r="A97" s="19" t="s">
        <v>72</v>
      </c>
    </row>
    <row r="98" spans="1:11">
      <c r="A98" s="3" t="s">
        <v>222</v>
      </c>
    </row>
    <row r="99" spans="1:11">
      <c r="A99" s="9" t="s">
        <v>257</v>
      </c>
      <c r="B99" s="36">
        <v>10</v>
      </c>
      <c r="C99" t="s">
        <v>258</v>
      </c>
      <c r="E99" s="26">
        <f>B99*B107</f>
        <v>4081.6326530612246</v>
      </c>
      <c r="F99" t="s">
        <v>213</v>
      </c>
    </row>
    <row r="100" spans="1:11">
      <c r="A100" s="9" t="s">
        <v>220</v>
      </c>
      <c r="B100" s="36">
        <v>1</v>
      </c>
      <c r="C100" t="s">
        <v>236</v>
      </c>
      <c r="E100" s="26">
        <f>B100*B108*B18*B110</f>
        <v>40.816326530612251</v>
      </c>
      <c r="F100" t="s">
        <v>263</v>
      </c>
      <c r="H100" s="24">
        <f>E100*H137/B17</f>
        <v>0.19132653061224494</v>
      </c>
      <c r="I100" s="16" t="s">
        <v>52</v>
      </c>
      <c r="K100" s="16" t="s">
        <v>125</v>
      </c>
    </row>
    <row r="101" spans="1:11">
      <c r="A101" s="9" t="s">
        <v>221</v>
      </c>
      <c r="B101" s="36">
        <v>8</v>
      </c>
      <c r="C101" s="16" t="s">
        <v>198</v>
      </c>
      <c r="E101" s="26">
        <f>B101*B108*B18*B110</f>
        <v>326.53061224489801</v>
      </c>
      <c r="F101" t="s">
        <v>245</v>
      </c>
      <c r="H101" s="24">
        <f>E101*H140/B17</f>
        <v>7.3469387755102054E-3</v>
      </c>
      <c r="I101" s="16" t="s">
        <v>52</v>
      </c>
      <c r="K101" s="16" t="s">
        <v>45</v>
      </c>
    </row>
    <row r="102" spans="1:11">
      <c r="A102" s="3" t="s">
        <v>218</v>
      </c>
    </row>
    <row r="103" spans="1:11">
      <c r="A103" s="9" t="s">
        <v>259</v>
      </c>
      <c r="B103" s="36">
        <v>10</v>
      </c>
      <c r="C103" t="s">
        <v>258</v>
      </c>
      <c r="E103" s="26">
        <f>B103*B107*B104</f>
        <v>4000</v>
      </c>
      <c r="F103" s="16" t="s">
        <v>213</v>
      </c>
    </row>
    <row r="104" spans="1:11">
      <c r="A104" s="9" t="s">
        <v>260</v>
      </c>
      <c r="B104" s="81">
        <f>'Cost Analysis'!C12</f>
        <v>0.98</v>
      </c>
      <c r="K104" t="s">
        <v>262</v>
      </c>
    </row>
    <row r="105" spans="1:11">
      <c r="A105" s="3" t="s">
        <v>223</v>
      </c>
    </row>
    <row r="106" spans="1:11">
      <c r="A106" s="9" t="s">
        <v>224</v>
      </c>
      <c r="B106" s="36">
        <f>6/60</f>
        <v>0.1</v>
      </c>
      <c r="C106" t="s">
        <v>239</v>
      </c>
    </row>
    <row r="107" spans="1:11">
      <c r="A107" s="9" t="s">
        <v>225</v>
      </c>
      <c r="B107" s="21">
        <f>B17/B103/B104</f>
        <v>408.16326530612247</v>
      </c>
      <c r="C107" t="s">
        <v>240</v>
      </c>
    </row>
    <row r="108" spans="1:11">
      <c r="A108" s="9" t="s">
        <v>140</v>
      </c>
      <c r="B108">
        <f>CEILING(B107/(B18/B106)/B19,1)</f>
        <v>7</v>
      </c>
      <c r="C108" t="s">
        <v>241</v>
      </c>
    </row>
    <row r="109" spans="1:11">
      <c r="A109" s="9" t="s">
        <v>226</v>
      </c>
      <c r="B109">
        <f>B108*B18/B106</f>
        <v>560</v>
      </c>
      <c r="C109" t="s">
        <v>240</v>
      </c>
    </row>
    <row r="110" spans="1:11">
      <c r="A110" s="9" t="s">
        <v>227</v>
      </c>
      <c r="B110" s="6">
        <f>B107/B109</f>
        <v>0.72886297376093301</v>
      </c>
    </row>
    <row r="114" spans="1:11">
      <c r="A114" s="19" t="s">
        <v>73</v>
      </c>
    </row>
    <row r="115" spans="1:11">
      <c r="A115" s="3" t="s">
        <v>266</v>
      </c>
    </row>
    <row r="116" spans="1:11">
      <c r="A116" s="9" t="s">
        <v>281</v>
      </c>
      <c r="B116" s="36">
        <v>2</v>
      </c>
      <c r="C116" t="s">
        <v>279</v>
      </c>
    </row>
    <row r="117" spans="1:11" s="16" customFormat="1">
      <c r="A117" s="9" t="s">
        <v>90</v>
      </c>
      <c r="B117" s="36">
        <v>1</v>
      </c>
      <c r="C117" s="16" t="s">
        <v>91</v>
      </c>
    </row>
    <row r="118" spans="1:11">
      <c r="A118" s="9" t="s">
        <v>199</v>
      </c>
      <c r="B118" s="37">
        <v>0.5</v>
      </c>
      <c r="K118" t="s">
        <v>282</v>
      </c>
    </row>
    <row r="119" spans="1:11">
      <c r="A119" t="s">
        <v>280</v>
      </c>
      <c r="B119" s="37">
        <v>0.04</v>
      </c>
      <c r="C119" s="16" t="s">
        <v>83</v>
      </c>
      <c r="H119" s="5"/>
      <c r="I119" s="16"/>
      <c r="K119" s="16" t="s">
        <v>139</v>
      </c>
    </row>
    <row r="120" spans="1:11">
      <c r="A120" s="49" t="s">
        <v>137</v>
      </c>
      <c r="B120" s="37">
        <v>0.05</v>
      </c>
      <c r="C120" s="16" t="s">
        <v>138</v>
      </c>
      <c r="K120" s="16" t="s">
        <v>47</v>
      </c>
    </row>
    <row r="121" spans="1:11">
      <c r="A121" t="s">
        <v>283</v>
      </c>
      <c r="B121">
        <f>0.2*CapEx!B56</f>
        <v>3463.92</v>
      </c>
      <c r="C121" t="s">
        <v>245</v>
      </c>
      <c r="H121" s="24">
        <f>B121*H140/B17</f>
        <v>7.7938199999999999E-2</v>
      </c>
      <c r="I121" s="16" t="s">
        <v>52</v>
      </c>
      <c r="K121" s="16" t="s">
        <v>93</v>
      </c>
    </row>
    <row r="124" spans="1:11">
      <c r="A124" s="19"/>
    </row>
    <row r="125" spans="1:11" s="16" customFormat="1">
      <c r="A125" s="110" t="s">
        <v>95</v>
      </c>
      <c r="B125" s="110"/>
      <c r="C125" s="110"/>
    </row>
    <row r="126" spans="1:11" s="16" customFormat="1">
      <c r="A126" s="87"/>
      <c r="B126" s="87"/>
      <c r="C126" s="87"/>
    </row>
    <row r="127" spans="1:11">
      <c r="B127" s="110" t="s">
        <v>66</v>
      </c>
      <c r="C127" s="110"/>
      <c r="E127" s="110" t="s">
        <v>67</v>
      </c>
      <c r="F127" s="110"/>
    </row>
    <row r="128" spans="1:11">
      <c r="A128" s="3" t="s">
        <v>214</v>
      </c>
      <c r="B128" s="96">
        <f>SUM(B129:B135)</f>
        <v>1.4768968020197772</v>
      </c>
      <c r="C128" s="7" t="s">
        <v>52</v>
      </c>
      <c r="E128" s="98">
        <f>B128*B$15</f>
        <v>1476896.8020197772</v>
      </c>
      <c r="F128" s="7" t="s">
        <v>60</v>
      </c>
      <c r="H128" s="110" t="s">
        <v>96</v>
      </c>
      <c r="I128" s="110"/>
    </row>
    <row r="129" spans="1:11">
      <c r="A129" s="9" t="s">
        <v>215</v>
      </c>
      <c r="B129" s="24">
        <f>H29</f>
        <v>0.17006802721088438</v>
      </c>
      <c r="C129" s="16" t="s">
        <v>52</v>
      </c>
      <c r="E129" s="31">
        <f t="shared" ref="E129:E142" si="0">B129*B$15</f>
        <v>170068.02721088438</v>
      </c>
      <c r="F129" s="16" t="s">
        <v>60</v>
      </c>
      <c r="H129" s="92">
        <v>1E-3</v>
      </c>
      <c r="I129" s="16" t="s">
        <v>53</v>
      </c>
      <c r="K129" t="s">
        <v>271</v>
      </c>
    </row>
    <row r="130" spans="1:11">
      <c r="A130" s="9" t="s">
        <v>216</v>
      </c>
      <c r="B130" s="100">
        <f>H30</f>
        <v>1.1054421768707484E-3</v>
      </c>
      <c r="C130" s="16" t="s">
        <v>52</v>
      </c>
      <c r="E130" s="31">
        <f t="shared" si="0"/>
        <v>1105.4421768707484</v>
      </c>
      <c r="F130" s="16" t="s">
        <v>60</v>
      </c>
      <c r="H130" s="90">
        <v>0.1</v>
      </c>
      <c r="I130" s="16" t="s">
        <v>54</v>
      </c>
    </row>
    <row r="131" spans="1:11">
      <c r="A131" s="9" t="s">
        <v>217</v>
      </c>
      <c r="B131" s="99">
        <f>H31</f>
        <v>2.9387755102040811E-2</v>
      </c>
      <c r="C131" s="16" t="s">
        <v>52</v>
      </c>
      <c r="E131" s="31">
        <f t="shared" si="0"/>
        <v>29387.75510204081</v>
      </c>
      <c r="F131" s="16" t="s">
        <v>60</v>
      </c>
      <c r="H131" s="91">
        <v>9.5999999999999992E-3</v>
      </c>
      <c r="I131" s="16" t="s">
        <v>53</v>
      </c>
    </row>
    <row r="132" spans="1:11">
      <c r="A132" s="9" t="s">
        <v>235</v>
      </c>
      <c r="B132" s="101">
        <f>H32</f>
        <v>6.938775510204082E-4</v>
      </c>
      <c r="C132" s="16" t="s">
        <v>52</v>
      </c>
      <c r="E132" s="31">
        <f t="shared" si="0"/>
        <v>693.87755102040819</v>
      </c>
      <c r="F132" s="16" t="s">
        <v>60</v>
      </c>
      <c r="H132" s="93">
        <v>3.4000000000000002E-4</v>
      </c>
      <c r="I132" s="16" t="s">
        <v>53</v>
      </c>
      <c r="K132" t="s">
        <v>272</v>
      </c>
    </row>
    <row r="133" spans="1:11">
      <c r="A133" s="9" t="s">
        <v>248</v>
      </c>
      <c r="B133" s="24">
        <f>H49</f>
        <v>0.31887755102040821</v>
      </c>
      <c r="C133" s="16" t="s">
        <v>52</v>
      </c>
      <c r="E133" s="31">
        <f t="shared" si="0"/>
        <v>318877.55102040822</v>
      </c>
      <c r="F133" s="16" t="s">
        <v>60</v>
      </c>
      <c r="H133" s="90">
        <v>0.75</v>
      </c>
      <c r="I133" s="16" t="s">
        <v>53</v>
      </c>
    </row>
    <row r="134" spans="1:11">
      <c r="A134" s="9" t="s">
        <v>267</v>
      </c>
      <c r="B134" s="24">
        <f>H65</f>
        <v>0.59962129181569535</v>
      </c>
      <c r="C134" s="16" t="s">
        <v>52</v>
      </c>
      <c r="E134" s="31">
        <f t="shared" si="0"/>
        <v>599621.29181569535</v>
      </c>
      <c r="F134" s="16" t="s">
        <v>60</v>
      </c>
      <c r="H134" s="90">
        <v>19</v>
      </c>
      <c r="I134" s="16" t="s">
        <v>55</v>
      </c>
      <c r="K134" s="16" t="s">
        <v>46</v>
      </c>
    </row>
    <row r="135" spans="1:11">
      <c r="A135" s="9" t="s">
        <v>256</v>
      </c>
      <c r="B135" s="24">
        <f>H82</f>
        <v>0.3571428571428571</v>
      </c>
      <c r="C135" s="16" t="s">
        <v>52</v>
      </c>
      <c r="E135" s="31">
        <f t="shared" si="0"/>
        <v>357142.8571428571</v>
      </c>
      <c r="F135" s="16" t="s">
        <v>60</v>
      </c>
      <c r="H135" s="90">
        <v>0.35</v>
      </c>
      <c r="I135" s="16" t="s">
        <v>56</v>
      </c>
      <c r="K135" s="16" t="s">
        <v>94</v>
      </c>
    </row>
    <row r="136" spans="1:11">
      <c r="A136" s="3" t="s">
        <v>266</v>
      </c>
      <c r="B136" s="96">
        <f>SUM(B137:B139)</f>
        <v>1.7300577266989272</v>
      </c>
      <c r="C136" s="16" t="s">
        <v>52</v>
      </c>
      <c r="E136" s="98">
        <f t="shared" si="0"/>
        <v>1730057.7266989271</v>
      </c>
      <c r="F136" s="16" t="s">
        <v>60</v>
      </c>
    </row>
    <row r="137" spans="1:11">
      <c r="A137" s="8" t="s">
        <v>278</v>
      </c>
      <c r="B137" s="24">
        <f>SUM(H33,H50,H66,H85,H100)</f>
        <v>1.4450577266989271</v>
      </c>
      <c r="C137" s="16" t="s">
        <v>52</v>
      </c>
      <c r="E137" s="31">
        <f t="shared" si="0"/>
        <v>1445057.7266989271</v>
      </c>
      <c r="F137" s="16" t="s">
        <v>60</v>
      </c>
      <c r="H137" s="94">
        <f>'Cost Analysis'!C10</f>
        <v>18.75</v>
      </c>
      <c r="I137" s="16" t="s">
        <v>57</v>
      </c>
      <c r="K137" s="16" t="s">
        <v>84</v>
      </c>
    </row>
    <row r="138" spans="1:11">
      <c r="A138" s="9" t="s">
        <v>281</v>
      </c>
      <c r="B138" s="24">
        <f>H138*B116/B15</f>
        <v>0.16500000000000001</v>
      </c>
      <c r="C138" s="16" t="s">
        <v>52</v>
      </c>
      <c r="E138" s="31">
        <f t="shared" si="0"/>
        <v>165000</v>
      </c>
      <c r="F138" s="16" t="s">
        <v>60</v>
      </c>
      <c r="H138" s="95">
        <f>55000*(1+B118)</f>
        <v>82500</v>
      </c>
      <c r="I138" s="16" t="s">
        <v>58</v>
      </c>
      <c r="K138" s="16" t="s">
        <v>85</v>
      </c>
    </row>
    <row r="139" spans="1:11" s="16" customFormat="1">
      <c r="A139" s="9" t="s">
        <v>90</v>
      </c>
      <c r="B139" s="24">
        <f>B117*H139/B15</f>
        <v>0.12</v>
      </c>
      <c r="C139" s="16" t="s">
        <v>52</v>
      </c>
      <c r="E139" s="31">
        <f t="shared" si="0"/>
        <v>120000</v>
      </c>
      <c r="F139" s="16" t="s">
        <v>60</v>
      </c>
      <c r="H139" s="95">
        <f>80000*(1+B118)</f>
        <v>120000</v>
      </c>
      <c r="I139" s="16" t="s">
        <v>58</v>
      </c>
      <c r="K139" s="16" t="s">
        <v>85</v>
      </c>
    </row>
    <row r="140" spans="1:11">
      <c r="A140" s="3" t="s">
        <v>221</v>
      </c>
      <c r="B140" s="96">
        <f>SUM(H34,H51,H67,H101)</f>
        <v>5.5250894172101828E-2</v>
      </c>
      <c r="C140" s="16" t="s">
        <v>52</v>
      </c>
      <c r="E140" s="98">
        <f t="shared" si="0"/>
        <v>55250.894172101827</v>
      </c>
      <c r="F140" s="16" t="s">
        <v>60</v>
      </c>
      <c r="H140" s="90">
        <v>0.09</v>
      </c>
      <c r="I140" s="7" t="s">
        <v>59</v>
      </c>
    </row>
    <row r="141" spans="1:11">
      <c r="A141" s="11" t="s">
        <v>280</v>
      </c>
      <c r="B141" s="96">
        <f>E141/B15</f>
        <v>2.8981440000000001E-2</v>
      </c>
      <c r="C141" s="16" t="s">
        <v>52</v>
      </c>
      <c r="E141" s="98">
        <f>B119*CapEx!B62</f>
        <v>28981.440000000002</v>
      </c>
      <c r="F141" s="16" t="s">
        <v>60</v>
      </c>
    </row>
    <row r="142" spans="1:11">
      <c r="A142" s="11" t="s">
        <v>137</v>
      </c>
      <c r="B142" s="96">
        <f>B120*B128</f>
        <v>7.3844840100988865E-2</v>
      </c>
      <c r="C142" s="16" t="s">
        <v>52</v>
      </c>
      <c r="E142" s="98">
        <f t="shared" si="0"/>
        <v>73844.840100988862</v>
      </c>
      <c r="F142" s="16" t="s">
        <v>60</v>
      </c>
    </row>
    <row r="143" spans="1:11" ht="17">
      <c r="A143" s="17" t="s">
        <v>64</v>
      </c>
      <c r="B143" s="103">
        <f>E143/B15</f>
        <v>0.17319599999999999</v>
      </c>
      <c r="C143" s="16" t="s">
        <v>52</v>
      </c>
      <c r="E143" s="104">
        <f>H143*CapEx!B56</f>
        <v>173196</v>
      </c>
      <c r="F143" s="16" t="s">
        <v>60</v>
      </c>
      <c r="H143" s="95">
        <v>10</v>
      </c>
      <c r="I143" s="16" t="s">
        <v>21</v>
      </c>
      <c r="K143" s="16" t="s">
        <v>65</v>
      </c>
    </row>
    <row r="146" spans="1:6">
      <c r="A146" s="18" t="s">
        <v>74</v>
      </c>
      <c r="B146" s="97">
        <f>SUM(B128,B136,B140,B141,B142)</f>
        <v>3.3650317029917951</v>
      </c>
      <c r="C146" s="18" t="s">
        <v>52</v>
      </c>
      <c r="E146" s="32">
        <f>B146*B15</f>
        <v>3365031.7029917953</v>
      </c>
      <c r="F146" s="18" t="s">
        <v>60</v>
      </c>
    </row>
  </sheetData>
  <mergeCells count="6">
    <mergeCell ref="H128:I128"/>
    <mergeCell ref="B127:C127"/>
    <mergeCell ref="E127:F127"/>
    <mergeCell ref="A14:C14"/>
    <mergeCell ref="A23:C23"/>
    <mergeCell ref="A125:C125"/>
  </mergeCells>
  <phoneticPr fontId="14" type="noConversion"/>
  <pageMargins left="0.7" right="0.7" top="0.75" bottom="0.75" header="0.3" footer="0.3"/>
  <drawing r:id="rId1"/>
  <legacyDrawing r:id="rId2"/>
  <extLst>
    <ext xmlns:mx="http://schemas.microsoft.com/office/mac/excel/2008/main" uri="http://schemas.microsoft.com/office/mac/excel/2008/main">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2:D62"/>
  <sheetViews>
    <sheetView topLeftCell="B1" workbookViewId="0"/>
  </sheetViews>
  <sheetFormatPr baseColWidth="10" defaultColWidth="8.83203125" defaultRowHeight="14"/>
  <cols>
    <col min="1" max="1" width="42.5" bestFit="1" customWidth="1"/>
    <col min="2" max="2" width="14.6640625" customWidth="1"/>
    <col min="4" max="4" width="68.33203125" customWidth="1"/>
  </cols>
  <sheetData>
    <row r="2" spans="1:4" s="16" customFormat="1">
      <c r="A2" s="75" t="s">
        <v>130</v>
      </c>
    </row>
    <row r="3" spans="1:4" s="16" customFormat="1">
      <c r="A3" s="76" t="s">
        <v>123</v>
      </c>
    </row>
    <row r="4" spans="1:4" s="16" customFormat="1">
      <c r="A4" s="79" t="s">
        <v>129</v>
      </c>
    </row>
    <row r="5" spans="1:4" s="16" customFormat="1">
      <c r="A5" s="82" t="s">
        <v>124</v>
      </c>
    </row>
    <row r="6" spans="1:4" s="16" customFormat="1">
      <c r="A6" s="83" t="s">
        <v>131</v>
      </c>
    </row>
    <row r="9" spans="1:4">
      <c r="A9" s="4" t="s">
        <v>204</v>
      </c>
      <c r="B9" s="4" t="s">
        <v>205</v>
      </c>
      <c r="C9" s="4" t="s">
        <v>231</v>
      </c>
      <c r="D9" s="4" t="s">
        <v>228</v>
      </c>
    </row>
    <row r="11" spans="1:4">
      <c r="A11" s="2" t="s">
        <v>273</v>
      </c>
    </row>
    <row r="12" spans="1:4">
      <c r="A12" t="s">
        <v>291</v>
      </c>
      <c r="B12" s="95">
        <v>11000</v>
      </c>
      <c r="D12" s="16" t="s">
        <v>290</v>
      </c>
    </row>
    <row r="13" spans="1:4">
      <c r="A13" t="s">
        <v>292</v>
      </c>
      <c r="B13" s="95">
        <v>250</v>
      </c>
    </row>
    <row r="14" spans="1:4" s="16" customFormat="1">
      <c r="A14" s="16" t="s">
        <v>201</v>
      </c>
      <c r="B14" s="31">
        <f>(B12+B13)*'Production Model &amp; OpEx'!B40</f>
        <v>180000</v>
      </c>
      <c r="D14" s="16" t="s">
        <v>202</v>
      </c>
    </row>
    <row r="15" spans="1:4">
      <c r="A15" t="s">
        <v>285</v>
      </c>
      <c r="B15" s="40">
        <v>100</v>
      </c>
      <c r="C15" t="s">
        <v>289</v>
      </c>
      <c r="D15" s="16" t="s">
        <v>31</v>
      </c>
    </row>
    <row r="16" spans="1:4">
      <c r="A16" s="16" t="s">
        <v>19</v>
      </c>
      <c r="B16" s="29">
        <f>B15*'Production Model &amp; OpEx'!B40</f>
        <v>1600</v>
      </c>
      <c r="C16" s="16" t="s">
        <v>289</v>
      </c>
    </row>
    <row r="17" spans="1:4" s="16" customFormat="1"/>
    <row r="18" spans="1:4">
      <c r="A18" s="2" t="s">
        <v>274</v>
      </c>
    </row>
    <row r="19" spans="1:4">
      <c r="A19" t="s">
        <v>293</v>
      </c>
      <c r="B19" s="95">
        <v>12000</v>
      </c>
      <c r="D19" s="16" t="s">
        <v>48</v>
      </c>
    </row>
    <row r="20" spans="1:4" s="16" customFormat="1">
      <c r="A20" s="16" t="s">
        <v>201</v>
      </c>
      <c r="B20" s="31">
        <f>B19*'Production Model &amp; OpEx'!B57</f>
        <v>84000</v>
      </c>
    </row>
    <row r="21" spans="1:4">
      <c r="A21" t="s">
        <v>285</v>
      </c>
      <c r="B21" s="40">
        <v>150</v>
      </c>
      <c r="C21" t="s">
        <v>289</v>
      </c>
    </row>
    <row r="22" spans="1:4">
      <c r="A22" s="16" t="s">
        <v>19</v>
      </c>
      <c r="B22" s="34">
        <f>B21*'Production Model &amp; OpEx'!B57</f>
        <v>1050</v>
      </c>
      <c r="C22" s="16" t="s">
        <v>289</v>
      </c>
    </row>
    <row r="23" spans="1:4" s="16" customFormat="1"/>
    <row r="24" spans="1:4">
      <c r="A24" s="2" t="s">
        <v>275</v>
      </c>
    </row>
    <row r="25" spans="1:4">
      <c r="A25" t="s">
        <v>294</v>
      </c>
      <c r="B25" s="95">
        <v>1300</v>
      </c>
    </row>
    <row r="26" spans="1:4" s="16" customFormat="1">
      <c r="A26" s="16" t="s">
        <v>201</v>
      </c>
      <c r="B26" s="31">
        <f>B25*'Production Model &amp; OpEx'!B74</f>
        <v>7800</v>
      </c>
    </row>
    <row r="27" spans="1:4">
      <c r="A27" t="s">
        <v>285</v>
      </c>
      <c r="B27" s="40">
        <v>85</v>
      </c>
      <c r="C27" t="s">
        <v>289</v>
      </c>
    </row>
    <row r="28" spans="1:4">
      <c r="A28" s="16" t="s">
        <v>19</v>
      </c>
      <c r="B28" s="29">
        <f>B27*'Production Model &amp; OpEx'!B74</f>
        <v>510</v>
      </c>
      <c r="C28" s="16" t="s">
        <v>289</v>
      </c>
    </row>
    <row r="29" spans="1:4" s="16" customFormat="1"/>
    <row r="30" spans="1:4">
      <c r="A30" s="2" t="s">
        <v>276</v>
      </c>
    </row>
    <row r="31" spans="1:4">
      <c r="A31" t="s">
        <v>295</v>
      </c>
      <c r="B31" s="95">
        <v>450</v>
      </c>
    </row>
    <row r="32" spans="1:4">
      <c r="A32" t="s">
        <v>297</v>
      </c>
      <c r="B32" s="95">
        <v>230</v>
      </c>
    </row>
    <row r="33" spans="1:4" s="16" customFormat="1">
      <c r="A33" s="16" t="s">
        <v>201</v>
      </c>
      <c r="B33" s="31">
        <f>(B31+B32)*'Production Model &amp; OpEx'!B91</f>
        <v>7480</v>
      </c>
    </row>
    <row r="34" spans="1:4">
      <c r="A34" t="s">
        <v>285</v>
      </c>
      <c r="B34" s="40">
        <v>96</v>
      </c>
      <c r="C34" t="s">
        <v>289</v>
      </c>
    </row>
    <row r="35" spans="1:4">
      <c r="A35" s="16" t="s">
        <v>19</v>
      </c>
      <c r="B35" s="29">
        <f>B34*'Production Model &amp; OpEx'!B91</f>
        <v>1056</v>
      </c>
      <c r="C35" s="16" t="s">
        <v>289</v>
      </c>
    </row>
    <row r="36" spans="1:4" s="16" customFormat="1"/>
    <row r="37" spans="1:4">
      <c r="A37" s="2" t="s">
        <v>277</v>
      </c>
    </row>
    <row r="38" spans="1:4">
      <c r="A38" t="s">
        <v>296</v>
      </c>
      <c r="B38" s="95">
        <v>7500</v>
      </c>
      <c r="C38" s="16"/>
    </row>
    <row r="39" spans="1:4">
      <c r="A39" t="s">
        <v>284</v>
      </c>
      <c r="B39" s="95">
        <v>21000</v>
      </c>
      <c r="D39" s="16" t="s">
        <v>49</v>
      </c>
    </row>
    <row r="40" spans="1:4" s="16" customFormat="1">
      <c r="A40" s="16" t="s">
        <v>201</v>
      </c>
      <c r="B40" s="31">
        <f>(B38+B39)*'Production Model &amp; OpEx'!B108</f>
        <v>199500</v>
      </c>
    </row>
    <row r="41" spans="1:4">
      <c r="A41" t="s">
        <v>285</v>
      </c>
      <c r="B41" s="40">
        <v>85</v>
      </c>
      <c r="C41" t="s">
        <v>289</v>
      </c>
    </row>
    <row r="42" spans="1:4">
      <c r="A42" s="16" t="s">
        <v>19</v>
      </c>
      <c r="B42" s="29">
        <f>B41*'Production Model &amp; OpEx'!B108</f>
        <v>595</v>
      </c>
      <c r="C42" s="16" t="s">
        <v>289</v>
      </c>
    </row>
    <row r="43" spans="1:4" s="16" customFormat="1"/>
    <row r="44" spans="1:4">
      <c r="A44" s="19" t="s">
        <v>98</v>
      </c>
    </row>
    <row r="45" spans="1:4" s="16" customFormat="1">
      <c r="A45" s="16" t="s">
        <v>81</v>
      </c>
      <c r="B45" s="31">
        <f>SUM(B14,B20,B26,B33,B40)</f>
        <v>478780</v>
      </c>
      <c r="D45"/>
    </row>
    <row r="46" spans="1:4">
      <c r="A46" s="16" t="s">
        <v>80</v>
      </c>
      <c r="B46" s="31">
        <f>0.2*B45</f>
        <v>95756</v>
      </c>
      <c r="C46" s="16"/>
      <c r="D46" s="16" t="s">
        <v>32</v>
      </c>
    </row>
    <row r="47" spans="1:4" ht="17">
      <c r="A47" s="18" t="s">
        <v>82</v>
      </c>
      <c r="B47" s="107">
        <f>B45+B46</f>
        <v>574536</v>
      </c>
      <c r="C47" s="18"/>
      <c r="D47" s="16"/>
    </row>
    <row r="51" spans="1:4">
      <c r="A51" s="19" t="s">
        <v>286</v>
      </c>
      <c r="B51" s="32"/>
      <c r="C51" s="18"/>
      <c r="D51" s="16"/>
    </row>
    <row r="52" spans="1:4">
      <c r="A52" s="16" t="s">
        <v>200</v>
      </c>
      <c r="B52" s="29">
        <f>B15*'Production Model &amp; OpEx'!B40+B21*'Production Model &amp; OpEx'!B57+B27*'Production Model &amp; OpEx'!B74+B34*'Production Model &amp; OpEx'!B91+B41*'Production Model &amp; OpEx'!B108</f>
        <v>4811</v>
      </c>
      <c r="C52" t="s">
        <v>289</v>
      </c>
      <c r="D52" t="s">
        <v>141</v>
      </c>
    </row>
    <row r="53" spans="1:4">
      <c r="A53" t="s">
        <v>287</v>
      </c>
      <c r="B53" s="41">
        <v>3</v>
      </c>
      <c r="D53" s="22" t="s">
        <v>34</v>
      </c>
    </row>
    <row r="54" spans="1:4">
      <c r="A54" s="16" t="s">
        <v>61</v>
      </c>
      <c r="B54" s="29">
        <f>B53*B52</f>
        <v>14433</v>
      </c>
      <c r="C54" s="16" t="s">
        <v>289</v>
      </c>
      <c r="D54" s="16" t="s">
        <v>35</v>
      </c>
    </row>
    <row r="55" spans="1:4">
      <c r="A55" s="16" t="s">
        <v>33</v>
      </c>
      <c r="B55" s="29">
        <f>0.2*B54</f>
        <v>2886.6000000000004</v>
      </c>
      <c r="C55" t="s">
        <v>289</v>
      </c>
      <c r="D55" s="16" t="s">
        <v>36</v>
      </c>
    </row>
    <row r="56" spans="1:4">
      <c r="A56" s="18" t="s">
        <v>288</v>
      </c>
      <c r="B56" s="30">
        <f>B54+B55</f>
        <v>17319.599999999999</v>
      </c>
      <c r="C56" s="18" t="s">
        <v>289</v>
      </c>
      <c r="D56" s="16" t="s">
        <v>37</v>
      </c>
    </row>
    <row r="58" spans="1:4" ht="17">
      <c r="A58" s="16" t="s">
        <v>62</v>
      </c>
      <c r="B58" s="108">
        <v>150000</v>
      </c>
      <c r="C58" s="18"/>
      <c r="D58" s="102" t="s">
        <v>63</v>
      </c>
    </row>
    <row r="62" spans="1:4">
      <c r="A62" s="18" t="s">
        <v>75</v>
      </c>
      <c r="B62" s="32">
        <f>B47+B58</f>
        <v>724536</v>
      </c>
      <c r="D62" s="16" t="s">
        <v>10</v>
      </c>
    </row>
  </sheetData>
  <sheetCalcPr fullCalcOnLoad="1"/>
  <phoneticPr fontId="14" type="noConversion"/>
  <pageMargins left="0.7" right="0.7" top="0.75" bottom="0.75" header="0.3" footer="0.3"/>
  <legacyDrawing r:id="rId1"/>
  <extLst>
    <ext xmlns:mx="http://schemas.microsoft.com/office/mac/excel/2008/main" uri="http://schemas.microsoft.com/office/mac/excel/2008/main">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D41"/>
  <sheetViews>
    <sheetView topLeftCell="A6" workbookViewId="0">
      <selection activeCell="B33" sqref="B33"/>
    </sheetView>
  </sheetViews>
  <sheetFormatPr baseColWidth="10" defaultColWidth="8.83203125" defaultRowHeight="14"/>
  <cols>
    <col min="1" max="1" width="30.5" bestFit="1" customWidth="1"/>
    <col min="2" max="2" width="20.33203125" customWidth="1"/>
    <col min="3" max="3" width="14.6640625" bestFit="1" customWidth="1"/>
    <col min="4" max="4" width="75.5" customWidth="1"/>
  </cols>
  <sheetData>
    <row r="1" spans="1:4" s="16" customFormat="1"/>
    <row r="2" spans="1:4" s="16" customFormat="1">
      <c r="A2" s="75" t="s">
        <v>130</v>
      </c>
    </row>
    <row r="3" spans="1:4" s="16" customFormat="1">
      <c r="A3" s="76" t="s">
        <v>123</v>
      </c>
    </row>
    <row r="4" spans="1:4" s="16" customFormat="1">
      <c r="A4" s="82" t="s">
        <v>124</v>
      </c>
    </row>
    <row r="5" spans="1:4">
      <c r="A5" s="83" t="s">
        <v>131</v>
      </c>
    </row>
    <row r="6" spans="1:4" s="16" customFormat="1">
      <c r="A6" s="86"/>
    </row>
    <row r="7" spans="1:4" s="16" customFormat="1">
      <c r="A7" s="86"/>
    </row>
    <row r="8" spans="1:4" s="16" customFormat="1">
      <c r="A8" s="86"/>
    </row>
    <row r="9" spans="1:4" s="16" customFormat="1">
      <c r="A9" s="86"/>
    </row>
    <row r="10" spans="1:4" s="16" customFormat="1">
      <c r="A10" s="86"/>
    </row>
    <row r="11" spans="1:4" s="16" customFormat="1">
      <c r="A11" s="86"/>
    </row>
    <row r="12" spans="1:4">
      <c r="A12" s="4" t="s">
        <v>204</v>
      </c>
      <c r="B12" s="4" t="s">
        <v>205</v>
      </c>
      <c r="C12" s="4" t="s">
        <v>231</v>
      </c>
      <c r="D12" s="4" t="s">
        <v>228</v>
      </c>
    </row>
    <row r="14" spans="1:4" s="16" customFormat="1">
      <c r="A14" s="19" t="s">
        <v>100</v>
      </c>
    </row>
    <row r="15" spans="1:4">
      <c r="A15" s="2" t="s">
        <v>142</v>
      </c>
      <c r="B15" s="44">
        <f>SUM(B16,B19,B23)</f>
        <v>780.85666666666668</v>
      </c>
      <c r="C15" s="18" t="s">
        <v>149</v>
      </c>
      <c r="D15" t="s">
        <v>156</v>
      </c>
    </row>
    <row r="16" spans="1:4">
      <c r="A16" s="3" t="s">
        <v>143</v>
      </c>
      <c r="B16" s="43">
        <f>B17*B18</f>
        <v>467.75666666666672</v>
      </c>
      <c r="C16" s="17" t="s">
        <v>149</v>
      </c>
    </row>
    <row r="17" spans="1:4">
      <c r="A17" s="9" t="s">
        <v>146</v>
      </c>
      <c r="B17" s="42">
        <f>('Production Model &amp; OpEx'!B29+B41*'Production Model &amp; OpEx'!B30+'Production Model &amp; OpEx'!B31+'Production Model &amp; OpEx'!B32)/'Production Model &amp; OpEx'!B36</f>
        <v>212.61666666666667</v>
      </c>
      <c r="C17" t="s">
        <v>147</v>
      </c>
      <c r="D17" s="16" t="s">
        <v>88</v>
      </c>
    </row>
    <row r="18" spans="1:4">
      <c r="A18" s="9" t="s">
        <v>144</v>
      </c>
      <c r="B18" s="36">
        <v>2.2000000000000002</v>
      </c>
      <c r="C18" t="s">
        <v>148</v>
      </c>
      <c r="D18" s="16" t="s">
        <v>103</v>
      </c>
    </row>
    <row r="19" spans="1:4">
      <c r="A19" s="3" t="s">
        <v>145</v>
      </c>
      <c r="B19" s="17">
        <f>B21*B22</f>
        <v>235.2</v>
      </c>
      <c r="C19" s="17" t="s">
        <v>149</v>
      </c>
    </row>
    <row r="20" spans="1:4">
      <c r="A20" s="9" t="s">
        <v>150</v>
      </c>
      <c r="B20" s="36">
        <f>2800/'Production Model &amp; OpEx'!B69</f>
        <v>28</v>
      </c>
      <c r="C20" t="s">
        <v>151</v>
      </c>
      <c r="D20" s="16" t="s">
        <v>87</v>
      </c>
    </row>
    <row r="21" spans="1:4">
      <c r="A21" s="9" t="s">
        <v>146</v>
      </c>
      <c r="B21">
        <f>B20*'Production Model &amp; OpEx'!B83</f>
        <v>84</v>
      </c>
      <c r="C21" t="s">
        <v>147</v>
      </c>
      <c r="D21" s="16" t="s">
        <v>105</v>
      </c>
    </row>
    <row r="22" spans="1:4">
      <c r="A22" s="9" t="s">
        <v>144</v>
      </c>
      <c r="B22" s="36">
        <v>2.8</v>
      </c>
      <c r="C22" t="s">
        <v>148</v>
      </c>
      <c r="D22" s="16" t="s">
        <v>102</v>
      </c>
    </row>
    <row r="23" spans="1:4">
      <c r="A23" s="3" t="s">
        <v>256</v>
      </c>
      <c r="B23" s="17">
        <f>B25*B26</f>
        <v>77.899999999999991</v>
      </c>
      <c r="C23" s="17" t="s">
        <v>149</v>
      </c>
    </row>
    <row r="24" spans="1:4">
      <c r="A24" s="9" t="s">
        <v>150</v>
      </c>
      <c r="B24" s="36">
        <v>19</v>
      </c>
      <c r="C24" t="s">
        <v>151</v>
      </c>
      <c r="D24" s="16" t="s">
        <v>104</v>
      </c>
    </row>
    <row r="25" spans="1:4">
      <c r="A25" s="9" t="s">
        <v>146</v>
      </c>
      <c r="B25">
        <f>B24*'Production Model &amp; OpEx'!B82</f>
        <v>19</v>
      </c>
      <c r="C25" t="s">
        <v>147</v>
      </c>
    </row>
    <row r="26" spans="1:4">
      <c r="A26" s="9" t="s">
        <v>144</v>
      </c>
      <c r="B26" s="36">
        <v>4.0999999999999996</v>
      </c>
      <c r="C26" t="s">
        <v>148</v>
      </c>
      <c r="D26" s="16" t="s">
        <v>101</v>
      </c>
    </row>
    <row r="28" spans="1:4">
      <c r="A28" s="12" t="s">
        <v>152</v>
      </c>
      <c r="B28" s="36">
        <v>14</v>
      </c>
      <c r="C28" t="s">
        <v>153</v>
      </c>
      <c r="D28" t="s">
        <v>157</v>
      </c>
    </row>
    <row r="30" spans="1:4">
      <c r="A30" t="s">
        <v>28</v>
      </c>
      <c r="B30" s="109">
        <v>7.8</v>
      </c>
      <c r="C30" t="s">
        <v>29</v>
      </c>
      <c r="D30" t="s">
        <v>30</v>
      </c>
    </row>
    <row r="32" spans="1:4">
      <c r="A32" s="19" t="s">
        <v>99</v>
      </c>
    </row>
    <row r="33" spans="1:4" ht="28">
      <c r="A33" s="1" t="s">
        <v>154</v>
      </c>
      <c r="B33" s="44">
        <f>B15/B28</f>
        <v>55.775476190476191</v>
      </c>
      <c r="C33" s="1" t="s">
        <v>155</v>
      </c>
      <c r="D33" s="13" t="s">
        <v>158</v>
      </c>
    </row>
    <row r="35" spans="1:4" ht="42">
      <c r="A35" s="1" t="s">
        <v>160</v>
      </c>
      <c r="B35" s="33">
        <f>Financial!B20/B15*1000</f>
        <v>5.3146757620903538</v>
      </c>
      <c r="C35" s="18" t="s">
        <v>97</v>
      </c>
      <c r="D35" s="13" t="s">
        <v>159</v>
      </c>
    </row>
    <row r="40" spans="1:4">
      <c r="A40" s="19" t="s">
        <v>106</v>
      </c>
    </row>
    <row r="41" spans="1:4">
      <c r="A41" s="16" t="s">
        <v>216</v>
      </c>
      <c r="B41">
        <v>3780</v>
      </c>
      <c r="C41" s="16" t="s">
        <v>86</v>
      </c>
    </row>
  </sheetData>
  <sheetCalcPr fullCalcOnLoad="1"/>
  <phoneticPr fontId="14" type="noConversion"/>
  <pageMargins left="0.7" right="0.7" top="0.75" bottom="0.75" header="0.3" footer="0.3"/>
  <drawing r:id="rId1"/>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2:F59"/>
  <sheetViews>
    <sheetView workbookViewId="0">
      <selection activeCell="D48" sqref="D48"/>
    </sheetView>
  </sheetViews>
  <sheetFormatPr baseColWidth="10" defaultColWidth="8.83203125" defaultRowHeight="14"/>
  <cols>
    <col min="1" max="1" width="32.33203125" customWidth="1"/>
    <col min="2" max="2" width="19" customWidth="1"/>
    <col min="3" max="3" width="13.83203125" customWidth="1"/>
    <col min="4" max="4" width="80.5" customWidth="1"/>
    <col min="5" max="5" width="15" customWidth="1"/>
    <col min="7" max="7" width="14.33203125" bestFit="1" customWidth="1"/>
  </cols>
  <sheetData>
    <row r="2" spans="1:4" s="16" customFormat="1">
      <c r="A2" s="75" t="s">
        <v>130</v>
      </c>
    </row>
    <row r="3" spans="1:4" s="16" customFormat="1">
      <c r="A3" s="76" t="s">
        <v>123</v>
      </c>
    </row>
    <row r="4" spans="1:4" s="16" customFormat="1">
      <c r="A4" s="79" t="s">
        <v>129</v>
      </c>
    </row>
    <row r="5" spans="1:4" s="16" customFormat="1">
      <c r="A5" s="82" t="s">
        <v>124</v>
      </c>
    </row>
    <row r="6" spans="1:4" s="16" customFormat="1">
      <c r="A6" s="83" t="s">
        <v>131</v>
      </c>
    </row>
    <row r="7" spans="1:4" s="16" customFormat="1"/>
    <row r="9" spans="1:4">
      <c r="A9" s="4" t="s">
        <v>204</v>
      </c>
      <c r="B9" s="4" t="s">
        <v>205</v>
      </c>
      <c r="C9" s="4" t="s">
        <v>231</v>
      </c>
      <c r="D9" s="4" t="s">
        <v>228</v>
      </c>
    </row>
    <row r="11" spans="1:4">
      <c r="A11" s="17" t="s">
        <v>0</v>
      </c>
    </row>
    <row r="12" spans="1:4" s="16" customFormat="1">
      <c r="A12" s="7" t="s">
        <v>17</v>
      </c>
      <c r="B12" s="16">
        <v>5</v>
      </c>
      <c r="C12" s="16" t="s">
        <v>164</v>
      </c>
      <c r="D12" s="16" t="s">
        <v>18</v>
      </c>
    </row>
    <row r="13" spans="1:4">
      <c r="A13" s="16" t="s">
        <v>76</v>
      </c>
      <c r="B13" s="31">
        <f>CapEx!B62/B12</f>
        <v>144907.20000000001</v>
      </c>
      <c r="C13" s="16" t="s">
        <v>60</v>
      </c>
      <c r="D13" s="16"/>
    </row>
    <row r="14" spans="1:4">
      <c r="A14" s="16" t="s">
        <v>77</v>
      </c>
      <c r="B14" s="25">
        <f>B13/'Production Model &amp; OpEx'!B15</f>
        <v>0.14490720000000001</v>
      </c>
      <c r="C14" s="16" t="s">
        <v>52</v>
      </c>
    </row>
    <row r="15" spans="1:4">
      <c r="A15" s="16" t="s">
        <v>78</v>
      </c>
      <c r="B15" s="25">
        <f>'Production Model &amp; OpEx'!B146</f>
        <v>3.3650317029917951</v>
      </c>
      <c r="C15" s="16" t="s">
        <v>52</v>
      </c>
      <c r="D15" s="16" t="s">
        <v>11</v>
      </c>
    </row>
    <row r="16" spans="1:4">
      <c r="A16" s="18" t="s">
        <v>163</v>
      </c>
      <c r="B16" s="105">
        <f>B14+B15</f>
        <v>3.5099389029917951</v>
      </c>
      <c r="C16" s="18" t="s">
        <v>52</v>
      </c>
      <c r="D16" s="16" t="s">
        <v>79</v>
      </c>
    </row>
    <row r="19" spans="1:4">
      <c r="A19" s="17" t="s">
        <v>1</v>
      </c>
    </row>
    <row r="20" spans="1:4" s="16" customFormat="1">
      <c r="A20" s="16" t="s">
        <v>2</v>
      </c>
      <c r="B20" s="90">
        <v>4.1500000000000004</v>
      </c>
      <c r="C20" s="16" t="s">
        <v>52</v>
      </c>
      <c r="D20" s="16" t="s">
        <v>12</v>
      </c>
    </row>
    <row r="21" spans="1:4" s="16" customFormat="1">
      <c r="A21" s="18" t="s">
        <v>3</v>
      </c>
      <c r="B21" s="46">
        <f>1-B16/B20</f>
        <v>0.15423158964053141</v>
      </c>
      <c r="D21" s="16" t="s">
        <v>20</v>
      </c>
    </row>
    <row r="23" spans="1:4">
      <c r="A23" s="16" t="s">
        <v>4</v>
      </c>
      <c r="B23" s="45">
        <f>'Production Model &amp; OpEx'!E146+Financial!B13</f>
        <v>3509938.9029917954</v>
      </c>
      <c r="C23" s="16" t="s">
        <v>60</v>
      </c>
      <c r="D23" s="16" t="s">
        <v>5</v>
      </c>
    </row>
    <row r="24" spans="1:4">
      <c r="A24" s="16" t="s">
        <v>161</v>
      </c>
      <c r="B24" s="45">
        <f>'Production Model &amp; OpEx'!B15*Financial!B20</f>
        <v>4150000.0000000005</v>
      </c>
      <c r="C24" s="16" t="s">
        <v>60</v>
      </c>
      <c r="D24" s="16" t="s">
        <v>6</v>
      </c>
    </row>
    <row r="25" spans="1:4">
      <c r="A25" s="18" t="s">
        <v>7</v>
      </c>
      <c r="B25" s="106">
        <f>B24-B23</f>
        <v>640061.09700820502</v>
      </c>
      <c r="C25" s="18" t="s">
        <v>60</v>
      </c>
      <c r="D25" s="16" t="s">
        <v>8</v>
      </c>
    </row>
    <row r="27" spans="1:4">
      <c r="A27" s="18" t="s">
        <v>9</v>
      </c>
      <c r="B27" s="33">
        <f>CapEx!B62/(Financial!B25+B13)</f>
        <v>0.92301307296290303</v>
      </c>
      <c r="C27" s="18" t="s">
        <v>164</v>
      </c>
      <c r="D27" s="16" t="s">
        <v>22</v>
      </c>
    </row>
    <row r="33" spans="1:6">
      <c r="B33" s="36"/>
      <c r="C33" s="15"/>
      <c r="D33" s="16"/>
    </row>
    <row r="34" spans="1:6">
      <c r="B34" s="37"/>
      <c r="D34" s="16"/>
    </row>
    <row r="36" spans="1:6">
      <c r="A36" s="16"/>
      <c r="B36" s="31"/>
      <c r="C36" s="16"/>
      <c r="D36" s="22"/>
    </row>
    <row r="37" spans="1:6">
      <c r="A37" s="16"/>
      <c r="B37" s="21"/>
      <c r="C37" s="16"/>
      <c r="D37" s="16"/>
    </row>
    <row r="38" spans="1:6">
      <c r="A38" s="18"/>
      <c r="B38" s="33"/>
      <c r="C38" s="18"/>
      <c r="D38" s="16"/>
    </row>
    <row r="41" spans="1:6">
      <c r="B41" s="53"/>
      <c r="D41" s="16"/>
      <c r="E41" s="25"/>
      <c r="F41" s="16"/>
    </row>
    <row r="43" spans="1:6">
      <c r="A43" s="16"/>
      <c r="B43" s="31"/>
      <c r="C43" s="16"/>
    </row>
    <row r="44" spans="1:6">
      <c r="A44" s="16"/>
      <c r="B44" s="31"/>
      <c r="C44" s="16"/>
      <c r="D44" s="16"/>
    </row>
    <row r="45" spans="1:6">
      <c r="A45" s="16"/>
      <c r="B45" s="45"/>
      <c r="C45" s="16"/>
      <c r="D45" s="16"/>
    </row>
    <row r="47" spans="1:6">
      <c r="A47" s="18"/>
      <c r="B47" s="32"/>
      <c r="C47" s="15"/>
      <c r="D47" s="16"/>
    </row>
    <row r="48" spans="1:6">
      <c r="A48" s="18"/>
      <c r="B48" s="46"/>
      <c r="D48" s="16"/>
    </row>
    <row r="49" spans="1:4">
      <c r="A49" s="18"/>
      <c r="B49" s="52"/>
      <c r="C49" s="18"/>
      <c r="D49" s="16"/>
    </row>
    <row r="58" spans="1:4">
      <c r="A58" s="16"/>
      <c r="D58" s="22"/>
    </row>
    <row r="59" spans="1:4">
      <c r="D59" s="15"/>
    </row>
  </sheetData>
  <sheetCalcPr fullCalcOnLoad="1"/>
  <phoneticPr fontId="14" type="noConversion"/>
  <pageMargins left="0.7" right="0.7" top="0.75" bottom="0.75" header="0.3" footer="0.3"/>
  <extLst>
    <ext xmlns:mx="http://schemas.microsoft.com/office/mac/excel/2008/main" uri="http://schemas.microsoft.com/office/mac/excel/2008/main">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M100"/>
  <sheetViews>
    <sheetView workbookViewId="0"/>
  </sheetViews>
  <sheetFormatPr baseColWidth="10" defaultColWidth="8.83203125" defaultRowHeight="14"/>
  <cols>
    <col min="1" max="1" width="28" customWidth="1"/>
    <col min="2" max="2" width="12.5" bestFit="1" customWidth="1"/>
    <col min="3" max="3" width="23.5" customWidth="1"/>
    <col min="4" max="4" width="21" customWidth="1"/>
    <col min="5" max="5" width="16.5" customWidth="1"/>
    <col min="6" max="6" width="16.6640625" customWidth="1"/>
    <col min="7" max="7" width="13.33203125" customWidth="1"/>
    <col min="8" max="8" width="11.33203125" customWidth="1"/>
    <col min="9" max="9" width="14.33203125" bestFit="1" customWidth="1"/>
    <col min="10" max="10" width="15.33203125" bestFit="1" customWidth="1"/>
    <col min="11" max="11" width="54.1640625" customWidth="1"/>
    <col min="12" max="12" width="15.6640625" customWidth="1"/>
    <col min="13" max="13" width="44.5" customWidth="1"/>
  </cols>
  <sheetData>
    <row r="1" spans="1:13" s="16" customFormat="1"/>
    <row r="2" spans="1:13" s="16" customFormat="1">
      <c r="C2" s="75" t="s">
        <v>122</v>
      </c>
    </row>
    <row r="3" spans="1:13" s="16" customFormat="1">
      <c r="C3" s="76" t="s">
        <v>123</v>
      </c>
    </row>
    <row r="4" spans="1:13" s="16" customFormat="1">
      <c r="C4" s="79" t="s">
        <v>128</v>
      </c>
    </row>
    <row r="5" spans="1:13">
      <c r="C5" s="77" t="s">
        <v>124</v>
      </c>
    </row>
    <row r="6" spans="1:13">
      <c r="A6" s="19" t="s">
        <v>127</v>
      </c>
      <c r="L6" s="51"/>
      <c r="M6" s="51"/>
    </row>
    <row r="7" spans="1:13" s="16" customFormat="1">
      <c r="I7" s="114" t="s">
        <v>173</v>
      </c>
      <c r="J7" s="115"/>
      <c r="K7" s="116"/>
      <c r="L7" s="14"/>
      <c r="M7" s="14"/>
    </row>
    <row r="8" spans="1:13">
      <c r="A8" s="20" t="s">
        <v>204</v>
      </c>
      <c r="B8" s="20" t="s">
        <v>231</v>
      </c>
      <c r="C8" s="20" t="s">
        <v>170</v>
      </c>
      <c r="D8" s="20" t="s">
        <v>168</v>
      </c>
      <c r="E8" s="20" t="s">
        <v>169</v>
      </c>
      <c r="I8" s="111" t="s">
        <v>13</v>
      </c>
      <c r="J8" s="112"/>
      <c r="K8" s="61" t="s">
        <v>172</v>
      </c>
      <c r="L8" s="50"/>
    </row>
    <row r="9" spans="1:13">
      <c r="C9" s="14" t="s">
        <v>175</v>
      </c>
      <c r="D9" s="117" t="s">
        <v>174</v>
      </c>
      <c r="E9" s="117"/>
      <c r="F9" s="51"/>
      <c r="I9" s="88" t="s">
        <v>14</v>
      </c>
      <c r="J9" s="89" t="s">
        <v>15</v>
      </c>
      <c r="K9" s="61"/>
      <c r="L9" s="20"/>
    </row>
    <row r="10" spans="1:13">
      <c r="A10" s="36" t="s">
        <v>165</v>
      </c>
      <c r="B10" s="36" t="s">
        <v>270</v>
      </c>
      <c r="C10" s="60">
        <v>18.75</v>
      </c>
      <c r="D10" s="36">
        <v>15</v>
      </c>
      <c r="E10" s="36">
        <v>20</v>
      </c>
      <c r="I10" s="62">
        <f>IF(D11&lt;E11,D10,E10)</f>
        <v>15</v>
      </c>
      <c r="J10" s="63">
        <f>IF(D11&lt;E11,E10,D10)</f>
        <v>20</v>
      </c>
      <c r="K10" s="64" t="str">
        <f>A10&amp;CHAR(10)&amp;"("&amp;C10&amp;" "&amp;B10&amp;")"</f>
        <v>Cost of Direct Labor
(18.75 $/hr)</v>
      </c>
    </row>
    <row r="11" spans="1:13">
      <c r="C11" s="54">
        <f>Financial!B16</f>
        <v>3.5099389029917951</v>
      </c>
      <c r="D11" s="55">
        <f t="dataTable" ref="D11:E11" dt2D="0" dtr="1" r1="C10" ca="1"/>
        <v>3.2209273576520094</v>
      </c>
      <c r="E11" s="55">
        <v>3.6062760847717232</v>
      </c>
      <c r="F11" s="16" t="s">
        <v>38</v>
      </c>
      <c r="I11" s="65">
        <f>IF(D11&lt;E11,D11,E11)</f>
        <v>3.2209273576520094</v>
      </c>
      <c r="J11" s="66">
        <f>IF(D11&lt;E11,E11,D11)</f>
        <v>3.6062760847717232</v>
      </c>
      <c r="K11" s="64"/>
    </row>
    <row r="12" spans="1:13">
      <c r="A12" s="36" t="s">
        <v>166</v>
      </c>
      <c r="B12" s="36" t="s">
        <v>171</v>
      </c>
      <c r="C12" s="60">
        <v>0.98</v>
      </c>
      <c r="D12" s="36">
        <v>0.95</v>
      </c>
      <c r="E12" s="36">
        <v>0.99</v>
      </c>
      <c r="I12" s="62">
        <f>IF(D13&lt;E13,D12,E12)</f>
        <v>0.99</v>
      </c>
      <c r="J12" s="63">
        <f>IF(D13&lt;E13,E12,D12)</f>
        <v>0.95</v>
      </c>
      <c r="K12" s="64" t="str">
        <f>A12&amp;CHAR(10)&amp;"("&amp;C12&amp;" "&amp;B12&amp;")"</f>
        <v>Yield of Final Test
(0.98 %)</v>
      </c>
    </row>
    <row r="13" spans="1:13">
      <c r="B13" s="23" t="s">
        <v>135</v>
      </c>
      <c r="C13" s="54">
        <f>Financial!B16</f>
        <v>3.5099389029917951</v>
      </c>
      <c r="D13" s="55">
        <f t="dataTable" ref="D13:E13" dt2D="0" dtr="1" r1="C12" ca="1"/>
        <v>3.6062878586652198</v>
      </c>
      <c r="E13" s="55">
        <v>3.4674763734666247</v>
      </c>
      <c r="F13" s="27" t="s">
        <v>134</v>
      </c>
      <c r="I13" s="65">
        <f>IF(D13&lt;E13,D13,E13)</f>
        <v>3.4674763734666247</v>
      </c>
      <c r="J13" s="66">
        <f>IF(D13&lt;E13,E13,D13)</f>
        <v>3.6062878586652198</v>
      </c>
      <c r="K13" s="64"/>
    </row>
    <row r="14" spans="1:13">
      <c r="A14" s="36" t="s">
        <v>107</v>
      </c>
      <c r="B14" s="36" t="s">
        <v>108</v>
      </c>
      <c r="C14" s="60">
        <v>1.5</v>
      </c>
      <c r="D14" s="36">
        <v>1.2</v>
      </c>
      <c r="E14" s="36">
        <v>2.5</v>
      </c>
      <c r="I14" s="62">
        <f>IF(D15&lt;E15,D14,E14)</f>
        <v>1.2</v>
      </c>
      <c r="J14" s="63">
        <f>IF(D15&lt;E15,E14,D14)</f>
        <v>2.5</v>
      </c>
      <c r="K14" s="64" t="str">
        <f>A14&amp;CHAR(10)&amp;"("&amp;C14&amp;" "&amp;B14&amp;")"</f>
        <v>Baking Oven Cycle Time
(1.5 hours)</v>
      </c>
    </row>
    <row r="15" spans="1:13">
      <c r="C15" s="54">
        <f>Financial!B16</f>
        <v>3.5099389029917951</v>
      </c>
      <c r="D15" s="55">
        <f t="dataTable" ref="D15:E15" dt2D="0" dtr="1" r1="C14" ca="1"/>
        <v>3.498510964216285</v>
      </c>
      <c r="E15" s="55">
        <v>3.5503360322434956</v>
      </c>
      <c r="I15" s="65">
        <f>IF(D15&lt;E15,D15,E15)</f>
        <v>3.498510964216285</v>
      </c>
      <c r="J15" s="66">
        <f>IF(D15&lt;E15,E15,D15)</f>
        <v>3.5503360322434956</v>
      </c>
      <c r="K15" s="64"/>
    </row>
    <row r="16" spans="1:13">
      <c r="A16" s="36" t="s">
        <v>167</v>
      </c>
      <c r="B16" s="36" t="s">
        <v>110</v>
      </c>
      <c r="C16" s="60">
        <v>3</v>
      </c>
      <c r="D16" s="36">
        <v>2</v>
      </c>
      <c r="E16" s="36">
        <v>4</v>
      </c>
      <c r="I16" s="62">
        <f>IF(D17&lt;E17,D16,E16)</f>
        <v>2</v>
      </c>
      <c r="J16" s="63">
        <f>IF(D17&lt;E17,E16,D16)</f>
        <v>4</v>
      </c>
      <c r="K16" s="64" t="str">
        <f>A16&amp;CHAR(10)&amp;"("&amp;C16&amp;" "&amp;B16&amp;")"</f>
        <v>Meat Slices per Sandwich
(3 slices)</v>
      </c>
    </row>
    <row r="17" spans="1:11">
      <c r="C17" s="54">
        <f>Financial!B16</f>
        <v>3.5099389029917951</v>
      </c>
      <c r="D17" s="55">
        <f t="dataTable" ref="D17:E17" dt2D="0" dtr="1" r1="C16" ca="1"/>
        <v>3.239912804443509</v>
      </c>
      <c r="E17" s="55">
        <v>3.7799650015400803</v>
      </c>
      <c r="I17" s="65">
        <f>IF(D17&lt;E17,D17,E17)</f>
        <v>3.239912804443509</v>
      </c>
      <c r="J17" s="66">
        <f>IF(D17&lt;E17,E17,D17)</f>
        <v>3.7799650015400803</v>
      </c>
      <c r="K17" s="64"/>
    </row>
    <row r="18" spans="1:11">
      <c r="A18" s="16"/>
      <c r="B18" s="16"/>
      <c r="I18" s="62"/>
      <c r="J18" s="63"/>
      <c r="K18" s="64"/>
    </row>
    <row r="19" spans="1:11">
      <c r="I19" s="62"/>
      <c r="J19" s="63"/>
      <c r="K19" s="67" t="s">
        <v>109</v>
      </c>
    </row>
    <row r="20" spans="1:11">
      <c r="I20" s="68"/>
      <c r="J20" s="69"/>
      <c r="K20" s="70" t="str">
        <f>"Production Cost Sensitivity"&amp;CHAR(10)&amp;"(baseline: "&amp;ROUND(C11,2)&amp;" $/sandwich)"</f>
        <v>Production Cost Sensitivity
(baseline: 3.51 $/sandwich)</v>
      </c>
    </row>
    <row r="40" spans="1:9" s="16" customFormat="1"/>
    <row r="41" spans="1:9" s="16" customFormat="1"/>
    <row r="44" spans="1:9">
      <c r="A44" s="19" t="s">
        <v>184</v>
      </c>
      <c r="B44" s="16" t="s">
        <v>178</v>
      </c>
    </row>
    <row r="45" spans="1:9">
      <c r="A45" s="16" t="s">
        <v>179</v>
      </c>
    </row>
    <row r="46" spans="1:9">
      <c r="C46" s="17" t="s">
        <v>214</v>
      </c>
      <c r="D46" s="17" t="s">
        <v>176</v>
      </c>
      <c r="E46" s="17" t="s">
        <v>221</v>
      </c>
      <c r="F46" s="17" t="s">
        <v>16</v>
      </c>
      <c r="G46" s="57" t="s">
        <v>177</v>
      </c>
      <c r="I46" s="59" t="s">
        <v>111</v>
      </c>
    </row>
    <row r="47" spans="1:9">
      <c r="B47" s="16" t="s">
        <v>273</v>
      </c>
      <c r="C47" s="24">
        <f>SUM('Production Model &amp; OpEx'!H29:H32)</f>
        <v>0.20125510204081634</v>
      </c>
      <c r="D47" s="24">
        <f>'Production Model &amp; OpEx'!H33</f>
        <v>0.71747448979591832</v>
      </c>
      <c r="E47" s="24">
        <f>'Production Model &amp; OpEx'!H34</f>
        <v>1.530612244897959E-2</v>
      </c>
      <c r="F47" s="24">
        <f>(CapEx!B14/Financial!B12+CapEx!B16*CapEx!B53*'Production Model &amp; OpEx'!H143)/'Production Model &amp; OpEx'!B15</f>
        <v>8.4000000000000005E-2</v>
      </c>
      <c r="G47" s="58">
        <f>SUM(C47:F47)</f>
        <v>1.0180357142857142</v>
      </c>
    </row>
    <row r="48" spans="1:9">
      <c r="B48" s="16" t="s">
        <v>274</v>
      </c>
      <c r="C48" s="24">
        <f>'Production Model &amp; OpEx'!H49</f>
        <v>0.31887755102040821</v>
      </c>
      <c r="D48" s="24">
        <f>'Production Model &amp; OpEx'!H50</f>
        <v>3.9859693877551026E-2</v>
      </c>
      <c r="E48" s="24">
        <f>'Production Model &amp; OpEx'!H51</f>
        <v>3.188775510204081E-2</v>
      </c>
      <c r="F48" s="24">
        <f>(CapEx!B20/Financial!B12 + CapEx!B22*CapEx!B53*'Production Model &amp; OpEx'!H143)/'Production Model &amp; OpEx'!B15</f>
        <v>4.8300000000000003E-2</v>
      </c>
      <c r="G48" s="58">
        <f t="shared" ref="G48:G51" si="0">SUM(C48:F48)</f>
        <v>0.43892500000000001</v>
      </c>
    </row>
    <row r="49" spans="2:8">
      <c r="B49" s="16" t="s">
        <v>275</v>
      </c>
      <c r="C49" s="24">
        <f>'Production Model &amp; OpEx'!H65</f>
        <v>0.59962129181569535</v>
      </c>
      <c r="D49" s="24">
        <f>'Production Model &amp; OpEx'!H66</f>
        <v>0.17751946139280453</v>
      </c>
      <c r="E49" s="24">
        <f>'Production Model &amp; OpEx'!H67</f>
        <v>7.1007784557121812E-4</v>
      </c>
      <c r="F49" s="24">
        <f>(CapEx!B26/Financial!B12 + CapEx!B28*CapEx!B53*'Production Model &amp; OpEx'!H143)/'Production Model &amp; OpEx'!B15</f>
        <v>1.686E-2</v>
      </c>
      <c r="G49" s="58">
        <f t="shared" si="0"/>
        <v>0.79471083105407103</v>
      </c>
    </row>
    <row r="50" spans="2:8">
      <c r="B50" s="16" t="s">
        <v>276</v>
      </c>
      <c r="C50" s="24">
        <f>'Production Model &amp; OpEx'!H82</f>
        <v>0.3571428571428571</v>
      </c>
      <c r="D50" s="24">
        <f>'Production Model &amp; OpEx'!H85</f>
        <v>0.31887755102040821</v>
      </c>
      <c r="E50" s="24">
        <v>0</v>
      </c>
      <c r="F50" s="24">
        <f>(CapEx!B33/Financial!B12 + CapEx!B35*CapEx!B53*'Production Model &amp; OpEx'!H143)/'Production Model &amp; OpEx'!B15</f>
        <v>3.3175999999999997E-2</v>
      </c>
      <c r="G50" s="58">
        <f t="shared" si="0"/>
        <v>0.70919640816326524</v>
      </c>
    </row>
    <row r="51" spans="2:8">
      <c r="B51" s="16" t="s">
        <v>277</v>
      </c>
      <c r="C51" s="24">
        <v>0</v>
      </c>
      <c r="D51" s="24">
        <f>'Production Model &amp; OpEx'!H100</f>
        <v>0.19132653061224494</v>
      </c>
      <c r="E51" s="24">
        <f>'Production Model &amp; OpEx'!H101</f>
        <v>7.3469387755102054E-3</v>
      </c>
      <c r="F51" s="24">
        <f>(CapEx!B40/Financial!B12 + CapEx!B42*CapEx!B53*'Production Model &amp; OpEx'!H143)/'Production Model &amp; OpEx'!B15</f>
        <v>5.7750000000000003E-2</v>
      </c>
      <c r="G51" s="58">
        <f t="shared" si="0"/>
        <v>0.25642346938775518</v>
      </c>
    </row>
    <row r="52" spans="2:8">
      <c r="B52" s="56" t="s">
        <v>177</v>
      </c>
      <c r="C52" s="84">
        <f>SUM(C47:C51)</f>
        <v>1.4768968020197772</v>
      </c>
      <c r="D52" s="84">
        <f>SUM(D47:D51)</f>
        <v>1.4450577266989271</v>
      </c>
      <c r="E52" s="84">
        <f t="shared" ref="E52" si="1">SUM(E47:E51)</f>
        <v>5.5250894172101828E-2</v>
      </c>
      <c r="F52" s="84">
        <f>SUM(F47:F51)</f>
        <v>0.24008599999999999</v>
      </c>
      <c r="G52" s="85">
        <f>SUM(G47:G51)</f>
        <v>3.2172914228908058</v>
      </c>
      <c r="H52" s="16" t="s">
        <v>39</v>
      </c>
    </row>
    <row r="77" s="16" customFormat="1"/>
    <row r="78" s="16" customFormat="1"/>
    <row r="79" s="16" customFormat="1"/>
    <row r="81" spans="1:9">
      <c r="A81" s="19" t="s">
        <v>185</v>
      </c>
    </row>
    <row r="82" spans="1:9">
      <c r="C82" s="113" t="s">
        <v>186</v>
      </c>
      <c r="D82" s="113"/>
    </row>
    <row r="83" spans="1:9">
      <c r="C83" s="20" t="s">
        <v>203</v>
      </c>
      <c r="D83" s="20" t="s">
        <v>180</v>
      </c>
      <c r="F83" s="113" t="s">
        <v>191</v>
      </c>
      <c r="G83" s="113"/>
      <c r="H83" s="113"/>
      <c r="I83" s="113"/>
    </row>
    <row r="84" spans="1:9">
      <c r="C84" s="14" t="s">
        <v>181</v>
      </c>
      <c r="D84" s="14" t="s">
        <v>178</v>
      </c>
      <c r="F84" s="117" t="s">
        <v>189</v>
      </c>
      <c r="G84" s="117"/>
      <c r="H84" s="117" t="s">
        <v>190</v>
      </c>
      <c r="I84" s="117"/>
    </row>
    <row r="85" spans="1:9">
      <c r="B85" s="71" t="s">
        <v>182</v>
      </c>
      <c r="C85" s="78">
        <f>1000000</f>
        <v>1000000</v>
      </c>
      <c r="D85" s="72">
        <f>Financial!B16</f>
        <v>3.5099389029917951</v>
      </c>
      <c r="F85" s="14" t="s">
        <v>187</v>
      </c>
      <c r="G85" s="14" t="s">
        <v>188</v>
      </c>
      <c r="H85" s="14" t="s">
        <v>187</v>
      </c>
      <c r="I85" s="14" t="s">
        <v>188</v>
      </c>
    </row>
    <row r="86" spans="1:9">
      <c r="B86" s="23" t="s">
        <v>183</v>
      </c>
      <c r="C86" s="35">
        <v>10000</v>
      </c>
      <c r="D86" s="24">
        <f t="dataTable" ref="D86:D96" dt2D="0" dtr="0" r1="C85" ca="1"/>
        <v>36.698474262991795</v>
      </c>
      <c r="F86">
        <v>10000</v>
      </c>
      <c r="G86">
        <v>36.698474262991795</v>
      </c>
    </row>
    <row r="87" spans="1:9">
      <c r="C87" s="35">
        <v>20000</v>
      </c>
      <c r="D87" s="24">
        <v>19.874762262991794</v>
      </c>
      <c r="F87">
        <v>20000</v>
      </c>
      <c r="G87">
        <v>19.874762262991794</v>
      </c>
    </row>
    <row r="88" spans="1:9">
      <c r="C88" s="35">
        <v>50000</v>
      </c>
      <c r="D88" s="24">
        <v>9.7805350629917935</v>
      </c>
      <c r="F88">
        <v>50000</v>
      </c>
      <c r="G88">
        <v>9.7805350629917935</v>
      </c>
    </row>
    <row r="89" spans="1:9">
      <c r="C89" s="35">
        <v>100000</v>
      </c>
      <c r="D89" s="24">
        <v>6.450151062991794</v>
      </c>
      <c r="F89">
        <v>100000</v>
      </c>
      <c r="G89">
        <v>6.450151062991794</v>
      </c>
    </row>
    <row r="90" spans="1:9">
      <c r="C90" s="35">
        <v>200000</v>
      </c>
      <c r="D90" s="24">
        <v>4.8441718629917947</v>
      </c>
      <c r="F90">
        <v>200000</v>
      </c>
      <c r="G90">
        <v>4.8441718629917947</v>
      </c>
    </row>
    <row r="91" spans="1:9">
      <c r="C91" s="35">
        <v>500000</v>
      </c>
      <c r="D91" s="24">
        <v>3.8427987429917954</v>
      </c>
      <c r="F91">
        <v>500000</v>
      </c>
      <c r="G91">
        <v>3.8427987429917954</v>
      </c>
    </row>
    <row r="92" spans="1:9">
      <c r="C92" s="35">
        <v>1000000</v>
      </c>
      <c r="D92" s="24">
        <v>3.5099389029917951</v>
      </c>
      <c r="F92">
        <v>1000000</v>
      </c>
      <c r="G92">
        <v>3.5099389029917951</v>
      </c>
    </row>
    <row r="93" spans="1:9">
      <c r="C93" s="35">
        <v>2000000</v>
      </c>
      <c r="D93" s="24">
        <v>3.341888982991795</v>
      </c>
      <c r="F93">
        <v>2000000</v>
      </c>
      <c r="G93">
        <v>3.341888982991795</v>
      </c>
    </row>
    <row r="94" spans="1:9">
      <c r="C94" s="35">
        <v>5000000</v>
      </c>
      <c r="D94" s="24">
        <v>3.2416004709917949</v>
      </c>
      <c r="F94">
        <v>5000000</v>
      </c>
      <c r="G94">
        <v>3.2416004709917949</v>
      </c>
    </row>
    <row r="95" spans="1:9">
      <c r="C95" s="35">
        <v>10000000</v>
      </c>
      <c r="D95" s="24">
        <v>3.207990486991795</v>
      </c>
      <c r="F95">
        <v>10000000</v>
      </c>
      <c r="G95">
        <v>3.207990486991795</v>
      </c>
    </row>
    <row r="96" spans="1:9">
      <c r="C96" s="35">
        <v>20000000</v>
      </c>
      <c r="D96" s="24">
        <v>3.1913582949917951</v>
      </c>
      <c r="F96">
        <v>20000000</v>
      </c>
      <c r="G96">
        <v>3.1913582949917951</v>
      </c>
    </row>
    <row r="98" spans="2:8">
      <c r="B98" s="17" t="s">
        <v>192</v>
      </c>
    </row>
    <row r="99" spans="2:8">
      <c r="B99" s="16" t="s">
        <v>193</v>
      </c>
      <c r="C99" s="118" t="s">
        <v>195</v>
      </c>
      <c r="D99" s="118"/>
      <c r="E99" s="118"/>
      <c r="F99" s="118"/>
      <c r="G99" s="118"/>
      <c r="H99" s="118"/>
    </row>
    <row r="100" spans="2:8">
      <c r="B100" s="16" t="s">
        <v>194</v>
      </c>
      <c r="C100" s="118" t="s">
        <v>136</v>
      </c>
      <c r="D100" s="118"/>
      <c r="E100" s="118"/>
      <c r="F100" s="118"/>
      <c r="G100" s="118"/>
      <c r="H100" s="118"/>
    </row>
  </sheetData>
  <sheetCalcPr fullCalcOnLoad="1"/>
  <mergeCells count="9">
    <mergeCell ref="I8:J8"/>
    <mergeCell ref="C82:D82"/>
    <mergeCell ref="I7:K7"/>
    <mergeCell ref="D9:E9"/>
    <mergeCell ref="C100:H100"/>
    <mergeCell ref="F84:G84"/>
    <mergeCell ref="H84:I84"/>
    <mergeCell ref="F83:I83"/>
    <mergeCell ref="C99:H99"/>
  </mergeCells>
  <phoneticPr fontId="14" type="noConversion"/>
  <pageMargins left="0.7" right="0.7" top="0.75" bottom="0.75" header="0.3" footer="0.3"/>
  <drawing r:id="rId1"/>
  <legacyDrawing r:id="rId2"/>
  <extLst>
    <ext xmlns:mx="http://schemas.microsoft.com/office/mac/excel/2008/main" uri="http://schemas.microsoft.com/office/mac/excel/2008/main">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3"/>
  <sheetViews>
    <sheetView workbookViewId="0"/>
  </sheetViews>
  <sheetFormatPr baseColWidth="10" defaultColWidth="8.83203125" defaultRowHeight="14"/>
  <sheetData>
    <row r="3" spans="1:1">
      <c r="A3" s="16" t="s">
        <v>196</v>
      </c>
    </row>
  </sheetData>
  <phoneticPr fontId="14" type="noConversion"/>
  <pageMargins left="0.7" right="0.7" top="0.75" bottom="0.75" header="0.3" footer="0.3"/>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Process Diagram</vt:lpstr>
      <vt:lpstr>Results Summary</vt:lpstr>
      <vt:lpstr>Production Model &amp; OpEx</vt:lpstr>
      <vt:lpstr>CapEx</vt:lpstr>
      <vt:lpstr>Product Performance</vt:lpstr>
      <vt:lpstr>Financial</vt:lpstr>
      <vt:lpstr>Cost Analysis</vt:lpstr>
      <vt:lpstr>Mass &amp; Energy</vt:lpstr>
    </vt:vector>
  </TitlesOfParts>
  <Company>U.S. Department of Energy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Adam.Stooke</dc:creator>
  <cp:lastModifiedBy>NIKHIL</cp:lastModifiedBy>
  <dcterms:created xsi:type="dcterms:W3CDTF">2013-11-13T17:15:17Z</dcterms:created>
  <dcterms:modified xsi:type="dcterms:W3CDTF">2018-04-05T17:52:24Z</dcterms:modified>
</cp:coreProperties>
</file>