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220" yWindow="90" windowWidth="14400" windowHeight="12705" activeTab="6"/>
  </bookViews>
  <sheets>
    <sheet name="About" sheetId="25" r:id="rId1"/>
    <sheet name="Report Tables" sheetId="26" r:id="rId2"/>
    <sheet name="Report Graphs" sheetId="33" r:id="rId3"/>
    <sheet name="Performance &amp; Economics" sheetId="31" r:id="rId4"/>
    <sheet name="CBS (CoE)" sheetId="23" r:id="rId5"/>
    <sheet name="CBS ($ per kW)" sheetId="22" r:id="rId6"/>
    <sheet name="CBS (Total)" sheetId="1" r:id="rId7"/>
  </sheets>
  <externalReferences>
    <externalReference r:id="rId8"/>
    <externalReference r:id="rId9"/>
    <externalReference r:id="rId10"/>
  </externalReferences>
  <definedNames>
    <definedName name="AnnArrayOMCost">#REF!</definedName>
    <definedName name="AnnArrayOutput">#REF!</definedName>
    <definedName name="ArrayInstalledCost">#REF!</definedName>
    <definedName name="Avail">[1]Master!$K$6</definedName>
    <definedName name="Availability">#REF!</definedName>
    <definedName name="AvgCurrentSpeedSurface">#REF!</definedName>
    <definedName name="AvgPowerFluxSurface">#REF!</definedName>
    <definedName name="AvgProgRatio">#REF!</definedName>
    <definedName name="CableLen">[1]Master!$K$11</definedName>
    <definedName name="Capex">#REF!</definedName>
    <definedName name="CapFactor">#REF!</definedName>
    <definedName name="Clearance">#REF!</definedName>
    <definedName name="COEReal">#REF!</definedName>
    <definedName name="CRF">#REF!</definedName>
    <definedName name="CurrentSenario">#REF!</definedName>
    <definedName name="CutinSpeed">[1]Master!$E$12</definedName>
    <definedName name="DeviceOrientation">#REF!</definedName>
    <definedName name="DuctClearance">#REF!</definedName>
    <definedName name="Grid">#REF!</definedName>
    <definedName name="HubHeight">[1]Master!$E$10</definedName>
    <definedName name="IRR">#REF!</definedName>
    <definedName name="JnctBox">[1]Master!$K$13</definedName>
    <definedName name="MonoSep">[1]Master!$K$4</definedName>
    <definedName name="nomdisc">#REF!</definedName>
    <definedName name="Nominal_CR">[1]Master!$T$5</definedName>
    <definedName name="NumTurbines">#REF!</definedName>
    <definedName name="ProgRatio">#REF!</definedName>
    <definedName name="RatedSpeed">#REF!</definedName>
    <definedName name="Real_CR">[1]Master!$T$4</definedName>
    <definedName name="realdisc">#REF!</definedName>
    <definedName name="RefCurrency">#REF!</definedName>
    <definedName name="RefYear">#REF!</definedName>
    <definedName name="rho">[2]Master!$B$2</definedName>
    <definedName name="RotorD">#REF!</definedName>
    <definedName name="RotorEff">[1]Master!$E$11</definedName>
    <definedName name="S1_ValueName1">#REF!</definedName>
    <definedName name="Senarios">#REF!</definedName>
    <definedName name="ShoreProtect">#REF!</definedName>
    <definedName name="Site_Selection">[3]Inputs!$E$10</definedName>
    <definedName name="Site_Spectral_Parameter">[3]Inputs!$E$11</definedName>
    <definedName name="solver_cvg" localSheetId="3" hidden="1">0.0001</definedName>
    <definedName name="solver_drv" localSheetId="3" hidden="1">1</definedName>
    <definedName name="solver_est" localSheetId="3" hidden="1">1</definedName>
    <definedName name="solver_itr" localSheetId="3" hidden="1">100</definedName>
    <definedName name="solver_lhs1" localSheetId="3" hidden="1">'Performance &amp; Economics'!#REF!</definedName>
    <definedName name="solver_lhs2" localSheetId="3" hidden="1">'Performance &amp; Economics'!#REF!</definedName>
    <definedName name="solver_lin" localSheetId="3" hidden="1">2</definedName>
    <definedName name="solver_neg" localSheetId="3" hidden="1">2</definedName>
    <definedName name="solver_num" localSheetId="3" hidden="1">0</definedName>
    <definedName name="solver_nwt" localSheetId="3" hidden="1">1</definedName>
    <definedName name="solver_pre" localSheetId="3" hidden="1">0.001</definedName>
    <definedName name="solver_rel1" localSheetId="3" hidden="1">1</definedName>
    <definedName name="solver_rel2" localSheetId="3" hidden="1">3</definedName>
    <definedName name="solver_rhs1" localSheetId="3" hidden="1">360</definedName>
    <definedName name="solver_rhs2" localSheetId="3" hidden="1">0</definedName>
    <definedName name="solver_scl" localSheetId="3" hidden="1">2</definedName>
    <definedName name="solver_sho" localSheetId="3" hidden="1">2</definedName>
    <definedName name="solver_tim" localSheetId="3" hidden="1">100</definedName>
    <definedName name="solver_tol" localSheetId="3" hidden="1">0.05</definedName>
    <definedName name="solver_typ" localSheetId="3" hidden="1">1</definedName>
    <definedName name="solver_val" localSheetId="3" hidden="1">0</definedName>
    <definedName name="SVTable1">#REF!</definedName>
    <definedName name="TranUpgrade">#REF!</definedName>
    <definedName name="TrenchDist">[1]Master!$K$9</definedName>
    <definedName name="TurbineCapital">#REF!</definedName>
    <definedName name="VelFactor">#REF!</definedName>
    <definedName name="WaterDepth">#REF!</definedName>
  </definedNames>
  <calcPr calcId="145621"/>
</workbook>
</file>

<file path=xl/calcChain.xml><?xml version="1.0" encoding="utf-8"?>
<calcChain xmlns="http://schemas.openxmlformats.org/spreadsheetml/2006/main">
  <c r="I27" i="23" l="1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26" i="23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26" i="22"/>
  <c r="K40" i="31" l="1"/>
  <c r="K41" i="31"/>
  <c r="H24" i="31"/>
  <c r="H23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G48" i="31"/>
  <c r="G11" i="31"/>
  <c r="K24" i="31" l="1"/>
  <c r="K36" i="31"/>
  <c r="K28" i="31"/>
  <c r="K35" i="31"/>
  <c r="K27" i="31"/>
  <c r="K34" i="31"/>
  <c r="K26" i="31"/>
  <c r="K33" i="31"/>
  <c r="K25" i="31"/>
  <c r="K23" i="31"/>
  <c r="L23" i="31" s="1"/>
  <c r="M23" i="31" s="1"/>
  <c r="N23" i="31" s="1"/>
  <c r="K37" i="31"/>
  <c r="K29" i="31"/>
  <c r="K32" i="31"/>
  <c r="K39" i="31"/>
  <c r="K31" i="31"/>
  <c r="K38" i="31"/>
  <c r="K30" i="31"/>
  <c r="S14" i="31" l="1"/>
  <c r="S6" i="31"/>
  <c r="L24" i="31"/>
  <c r="L25" i="31"/>
  <c r="M25" i="31" s="1"/>
  <c r="L26" i="31"/>
  <c r="M26" i="31" s="1"/>
  <c r="N26" i="31" s="1"/>
  <c r="L27" i="31"/>
  <c r="M27" i="31" s="1"/>
  <c r="L31" i="31"/>
  <c r="M31" i="31" s="1"/>
  <c r="L32" i="31"/>
  <c r="M32" i="31" s="1"/>
  <c r="N32" i="31" s="1"/>
  <c r="L40" i="31"/>
  <c r="M40" i="31" s="1"/>
  <c r="L30" i="31"/>
  <c r="M30" i="31" s="1"/>
  <c r="M24" i="31" l="1"/>
  <c r="N24" i="31" s="1"/>
  <c r="J1" i="22"/>
  <c r="L1" i="22"/>
  <c r="N1" i="22"/>
  <c r="L39" i="31"/>
  <c r="M39" i="31" s="1"/>
  <c r="N39" i="31" s="1"/>
  <c r="L29" i="31"/>
  <c r="L38" i="31"/>
  <c r="L28" i="31"/>
  <c r="L37" i="31"/>
  <c r="L36" i="31"/>
  <c r="L35" i="31"/>
  <c r="L34" i="31"/>
  <c r="N30" i="31"/>
  <c r="N25" i="31"/>
  <c r="L41" i="31"/>
  <c r="M41" i="31" s="1"/>
  <c r="L33" i="31"/>
  <c r="M33" i="31" s="1"/>
  <c r="N40" i="31"/>
  <c r="N31" i="31"/>
  <c r="N27" i="31"/>
  <c r="M29" i="31" l="1"/>
  <c r="N29" i="31" s="1"/>
  <c r="M38" i="31"/>
  <c r="N38" i="31" s="1"/>
  <c r="M34" i="31"/>
  <c r="N34" i="31" s="1"/>
  <c r="M35" i="31"/>
  <c r="N35" i="31" s="1"/>
  <c r="L63" i="22"/>
  <c r="L62" i="22"/>
  <c r="L61" i="22"/>
  <c r="M36" i="31"/>
  <c r="N36" i="31" s="1"/>
  <c r="M37" i="31"/>
  <c r="N37" i="31" s="1"/>
  <c r="S12" i="31"/>
  <c r="M28" i="31"/>
  <c r="N28" i="31" s="1"/>
  <c r="S8" i="31"/>
  <c r="N33" i="31"/>
  <c r="S7" i="31"/>
  <c r="S9" i="31"/>
  <c r="S13" i="31" l="1"/>
  <c r="S17" i="31" s="1"/>
  <c r="N41" i="31"/>
  <c r="S16" i="31" s="1"/>
  <c r="S15" i="31" l="1"/>
  <c r="A49" i="26"/>
  <c r="A4" i="26"/>
  <c r="D53" i="26"/>
  <c r="J2" i="23" l="1"/>
  <c r="N2" i="23" s="1"/>
  <c r="G56" i="31" l="1"/>
  <c r="G64" i="31"/>
  <c r="G63" i="31"/>
  <c r="L1" i="23"/>
  <c r="N1" i="23"/>
  <c r="P1" i="23"/>
  <c r="J1" i="23"/>
  <c r="P1" i="22"/>
  <c r="E3" i="33" s="1"/>
  <c r="E4" i="33" s="1"/>
  <c r="D3" i="33"/>
  <c r="D4" i="33" s="1"/>
  <c r="C3" i="33"/>
  <c r="C4" i="33" s="1"/>
  <c r="B3" i="33"/>
  <c r="B4" i="33" s="1"/>
  <c r="G65" i="31" l="1"/>
  <c r="G66" i="31"/>
  <c r="G67" i="31"/>
  <c r="L2" i="23"/>
  <c r="L53" i="22"/>
  <c r="P2" i="23"/>
  <c r="G68" i="31" l="1"/>
  <c r="L53" i="23" l="1"/>
  <c r="J34" i="23" l="1"/>
  <c r="J34" i="22"/>
  <c r="B55" i="26" l="1"/>
  <c r="J63" i="22" l="1"/>
  <c r="B68" i="26" s="1"/>
  <c r="J63" i="23"/>
  <c r="L34" i="22" l="1"/>
  <c r="J40" i="22"/>
  <c r="J44" i="23"/>
  <c r="J44" i="22"/>
  <c r="L34" i="23" l="1"/>
  <c r="J40" i="23"/>
  <c r="L44" i="22"/>
  <c r="L44" i="23"/>
  <c r="J36" i="23"/>
  <c r="J36" i="22"/>
  <c r="N44" i="22"/>
  <c r="N44" i="23"/>
  <c r="J37" i="23"/>
  <c r="J37" i="22"/>
  <c r="N34" i="22"/>
  <c r="N34" i="23"/>
  <c r="J32" i="22"/>
  <c r="J32" i="23"/>
  <c r="P34" i="22"/>
  <c r="P34" i="23"/>
  <c r="P44" i="22"/>
  <c r="P44" i="23"/>
  <c r="J38" i="22"/>
  <c r="J38" i="23"/>
  <c r="J35" i="22"/>
  <c r="J35" i="23"/>
  <c r="J54" i="22" l="1"/>
  <c r="P54" i="22"/>
  <c r="N54" i="22"/>
  <c r="J45" i="22"/>
  <c r="J45" i="23"/>
  <c r="I57" i="23"/>
  <c r="I57" i="22"/>
  <c r="N40" i="23"/>
  <c r="L37" i="22"/>
  <c r="L37" i="23"/>
  <c r="L38" i="22"/>
  <c r="L38" i="23"/>
  <c r="J33" i="22"/>
  <c r="J33" i="23"/>
  <c r="J43" i="22"/>
  <c r="J43" i="23"/>
  <c r="N36" i="22"/>
  <c r="N36" i="23"/>
  <c r="L36" i="22"/>
  <c r="L36" i="23"/>
  <c r="N37" i="22"/>
  <c r="N37" i="23"/>
  <c r="P37" i="22"/>
  <c r="P37" i="23"/>
  <c r="P38" i="23"/>
  <c r="P38" i="22"/>
  <c r="N38" i="22"/>
  <c r="N38" i="23"/>
  <c r="J39" i="23"/>
  <c r="J39" i="22"/>
  <c r="J41" i="22"/>
  <c r="J41" i="23"/>
  <c r="P36" i="22"/>
  <c r="P36" i="23"/>
  <c r="P43" i="22"/>
  <c r="P43" i="23"/>
  <c r="N41" i="22" l="1"/>
  <c r="L45" i="22"/>
  <c r="N35" i="22"/>
  <c r="L43" i="22"/>
  <c r="L41" i="22"/>
  <c r="N40" i="22"/>
  <c r="J42" i="23"/>
  <c r="J42" i="22"/>
  <c r="L39" i="22"/>
  <c r="L39" i="23"/>
  <c r="N39" i="22"/>
  <c r="N39" i="23"/>
  <c r="P39" i="22"/>
  <c r="P39" i="23"/>
  <c r="P35" i="22"/>
  <c r="P35" i="23"/>
  <c r="N43" i="22"/>
  <c r="N43" i="23"/>
  <c r="N32" i="22"/>
  <c r="N32" i="23"/>
  <c r="P41" i="22"/>
  <c r="P41" i="23"/>
  <c r="P32" i="22"/>
  <c r="P32" i="23"/>
  <c r="P40" i="22"/>
  <c r="P40" i="23"/>
  <c r="L32" i="22"/>
  <c r="L32" i="23"/>
  <c r="L40" i="22"/>
  <c r="L40" i="23"/>
  <c r="P45" i="22" l="1"/>
  <c r="N41" i="23"/>
  <c r="L45" i="23"/>
  <c r="N35" i="23"/>
  <c r="P45" i="23"/>
  <c r="N45" i="22"/>
  <c r="N45" i="23"/>
  <c r="L41" i="23"/>
  <c r="L43" i="23"/>
  <c r="L42" i="23"/>
  <c r="N33" i="22"/>
  <c r="N33" i="23"/>
  <c r="L35" i="22"/>
  <c r="L35" i="23"/>
  <c r="L33" i="22"/>
  <c r="L33" i="23"/>
  <c r="P33" i="22"/>
  <c r="P33" i="23"/>
  <c r="P42" i="23" l="1"/>
  <c r="P42" i="22"/>
  <c r="L42" i="22"/>
  <c r="N42" i="22"/>
  <c r="N42" i="23"/>
  <c r="N18" i="22" l="1"/>
  <c r="N18" i="23"/>
  <c r="L64" i="22" l="1"/>
  <c r="J23" i="22" l="1"/>
  <c r="J23" i="23"/>
  <c r="L21" i="22"/>
  <c r="L21" i="23"/>
  <c r="J22" i="22"/>
  <c r="J22" i="23"/>
  <c r="P30" i="22"/>
  <c r="P30" i="23"/>
  <c r="P23" i="22"/>
  <c r="P23" i="23"/>
  <c r="N23" i="22"/>
  <c r="N23" i="23"/>
  <c r="P25" i="22"/>
  <c r="P25" i="23"/>
  <c r="L23" i="22"/>
  <c r="L23" i="23"/>
  <c r="N25" i="22"/>
  <c r="N25" i="23"/>
  <c r="P22" i="22"/>
  <c r="P22" i="23"/>
  <c r="L25" i="22"/>
  <c r="L25" i="23"/>
  <c r="N22" i="22"/>
  <c r="N22" i="23"/>
  <c r="J30" i="22"/>
  <c r="J30" i="23"/>
  <c r="J21" i="22"/>
  <c r="J21" i="23"/>
  <c r="P24" i="22"/>
  <c r="P24" i="23"/>
  <c r="L22" i="22"/>
  <c r="L22" i="23"/>
  <c r="L30" i="22"/>
  <c r="L30" i="23"/>
  <c r="J25" i="22"/>
  <c r="J25" i="23"/>
  <c r="N24" i="22"/>
  <c r="N24" i="23"/>
  <c r="P21" i="22"/>
  <c r="P21" i="23"/>
  <c r="N30" i="22"/>
  <c r="N30" i="23"/>
  <c r="J24" i="22"/>
  <c r="J24" i="23"/>
  <c r="L24" i="22"/>
  <c r="L24" i="23"/>
  <c r="N21" i="22"/>
  <c r="N21" i="23"/>
  <c r="J18" i="22"/>
  <c r="J18" i="23"/>
  <c r="J16" i="22"/>
  <c r="J16" i="23"/>
  <c r="P16" i="22"/>
  <c r="P16" i="23"/>
  <c r="J19" i="22"/>
  <c r="J19" i="23"/>
  <c r="N16" i="22"/>
  <c r="N16" i="23"/>
  <c r="N19" i="22"/>
  <c r="N19" i="23"/>
  <c r="L17" i="22"/>
  <c r="L17" i="23"/>
  <c r="P19" i="22"/>
  <c r="P19" i="23"/>
  <c r="L19" i="22"/>
  <c r="L19" i="23"/>
  <c r="N17" i="22"/>
  <c r="N17" i="23"/>
  <c r="P17" i="22"/>
  <c r="P17" i="23"/>
  <c r="E9" i="26"/>
  <c r="C9" i="26"/>
  <c r="D9" i="26"/>
  <c r="B9" i="26"/>
  <c r="B53" i="26"/>
  <c r="C53" i="26"/>
  <c r="E53" i="26"/>
  <c r="C55" i="26"/>
  <c r="D55" i="26"/>
  <c r="E55" i="26"/>
  <c r="P63" i="22" l="1"/>
  <c r="E68" i="26" s="1"/>
  <c r="P63" i="23"/>
  <c r="F82" i="26" s="1"/>
  <c r="N63" i="22"/>
  <c r="D68" i="26" s="1"/>
  <c r="N63" i="23"/>
  <c r="D82" i="26" s="1"/>
  <c r="C68" i="26"/>
  <c r="L63" i="23"/>
  <c r="B82" i="26" s="1"/>
  <c r="J61" i="22"/>
  <c r="B66" i="26" s="1"/>
  <c r="J61" i="23"/>
  <c r="J53" i="22"/>
  <c r="J53" i="23"/>
  <c r="J49" i="22"/>
  <c r="J49" i="23"/>
  <c r="P50" i="22"/>
  <c r="P50" i="23"/>
  <c r="N53" i="22"/>
  <c r="N53" i="23"/>
  <c r="L51" i="22"/>
  <c r="L51" i="23"/>
  <c r="L49" i="22"/>
  <c r="L49" i="23"/>
  <c r="J51" i="22"/>
  <c r="J51" i="23"/>
  <c r="P52" i="22"/>
  <c r="P52" i="23"/>
  <c r="N52" i="22"/>
  <c r="N52" i="23"/>
  <c r="N48" i="22"/>
  <c r="N48" i="23"/>
  <c r="L52" i="22"/>
  <c r="L52" i="23"/>
  <c r="L50" i="22"/>
  <c r="L50" i="23"/>
  <c r="L48" i="22"/>
  <c r="L48" i="23"/>
  <c r="J52" i="22"/>
  <c r="J52" i="23"/>
  <c r="J50" i="22"/>
  <c r="J50" i="23"/>
  <c r="J48" i="22"/>
  <c r="J48" i="23"/>
  <c r="P49" i="22"/>
  <c r="P49" i="23"/>
  <c r="P48" i="22"/>
  <c r="P48" i="23"/>
  <c r="N50" i="22"/>
  <c r="N50" i="23"/>
  <c r="P51" i="22"/>
  <c r="P51" i="23"/>
  <c r="P53" i="22"/>
  <c r="P53" i="23"/>
  <c r="N51" i="22"/>
  <c r="N51" i="23"/>
  <c r="N49" i="22"/>
  <c r="N49" i="23"/>
  <c r="L16" i="22"/>
  <c r="L16" i="23"/>
  <c r="J17" i="22"/>
  <c r="J17" i="23"/>
  <c r="J20" i="23"/>
  <c r="J20" i="22"/>
  <c r="B24" i="26" s="1"/>
  <c r="N20" i="22"/>
  <c r="D24" i="26" s="1"/>
  <c r="N20" i="23"/>
  <c r="D39" i="26" s="1"/>
  <c r="L20" i="22"/>
  <c r="C24" i="26" s="1"/>
  <c r="L20" i="23"/>
  <c r="B39" i="26" s="1"/>
  <c r="P20" i="22"/>
  <c r="E24" i="26" s="1"/>
  <c r="P20" i="23"/>
  <c r="F39" i="26" s="1"/>
  <c r="N61" i="22"/>
  <c r="D66" i="26" s="1"/>
  <c r="N61" i="23"/>
  <c r="D80" i="26" s="1"/>
  <c r="L61" i="23"/>
  <c r="B80" i="26" s="1"/>
  <c r="C66" i="26"/>
  <c r="P61" i="22"/>
  <c r="E66" i="26" s="1"/>
  <c r="P61" i="23"/>
  <c r="F80" i="26" s="1"/>
  <c r="C13" i="26"/>
  <c r="B13" i="26"/>
  <c r="E13" i="26"/>
  <c r="D13" i="26"/>
  <c r="B11" i="26"/>
  <c r="J29" i="22" l="1"/>
  <c r="J29" i="23"/>
  <c r="L28" i="22"/>
  <c r="L28" i="23"/>
  <c r="P29" i="22"/>
  <c r="P29" i="23"/>
  <c r="N29" i="22"/>
  <c r="N29" i="23"/>
  <c r="L29" i="22"/>
  <c r="L29" i="23"/>
  <c r="J28" i="22"/>
  <c r="J28" i="23"/>
  <c r="P28" i="22"/>
  <c r="P28" i="23"/>
  <c r="N28" i="22"/>
  <c r="N28" i="23"/>
  <c r="P15" i="22"/>
  <c r="P15" i="23"/>
  <c r="N12" i="22"/>
  <c r="N12" i="23"/>
  <c r="P12" i="22"/>
  <c r="P12" i="23"/>
  <c r="L12" i="23"/>
  <c r="L12" i="22"/>
  <c r="J12" i="22"/>
  <c r="J12" i="23"/>
  <c r="J47" i="22"/>
  <c r="B28" i="26" s="1"/>
  <c r="J47" i="23"/>
  <c r="N47" i="22"/>
  <c r="D28" i="26" s="1"/>
  <c r="N47" i="23"/>
  <c r="D43" i="26" s="1"/>
  <c r="D95" i="26" s="1"/>
  <c r="P47" i="22"/>
  <c r="E28" i="26" s="1"/>
  <c r="P47" i="23"/>
  <c r="F43" i="26" s="1"/>
  <c r="F95" i="26" s="1"/>
  <c r="J31" i="23"/>
  <c r="J31" i="22"/>
  <c r="B26" i="26" s="1"/>
  <c r="L47" i="22"/>
  <c r="C28" i="26" s="1"/>
  <c r="L47" i="23"/>
  <c r="B43" i="26" s="1"/>
  <c r="B95" i="26" s="1"/>
  <c r="D10" i="26" l="1"/>
  <c r="N27" i="22"/>
  <c r="N27" i="23"/>
  <c r="J27" i="22"/>
  <c r="J27" i="23"/>
  <c r="E10" i="26"/>
  <c r="P27" i="22"/>
  <c r="P27" i="23"/>
  <c r="C10" i="26"/>
  <c r="L27" i="22"/>
  <c r="L27" i="23"/>
  <c r="N26" i="23"/>
  <c r="D40" i="26" s="1"/>
  <c r="J26" i="23"/>
  <c r="J26" i="22"/>
  <c r="B25" i="26" s="1"/>
  <c r="L54" i="22"/>
  <c r="J11" i="23"/>
  <c r="L26" i="23" l="1"/>
  <c r="B40" i="26" s="1"/>
  <c r="L26" i="22"/>
  <c r="C25" i="26" s="1"/>
  <c r="N26" i="22"/>
  <c r="D25" i="26" s="1"/>
  <c r="P26" i="23"/>
  <c r="F40" i="26" s="1"/>
  <c r="B10" i="26"/>
  <c r="P26" i="22"/>
  <c r="E25" i="26" s="1"/>
  <c r="J8" i="22"/>
  <c r="J8" i="23"/>
  <c r="J11" i="22"/>
  <c r="N10" i="22"/>
  <c r="N10" i="23"/>
  <c r="B12" i="26" l="1"/>
  <c r="J46" i="22"/>
  <c r="B27" i="26" s="1"/>
  <c r="J46" i="23"/>
  <c r="L8" i="22"/>
  <c r="L8" i="23"/>
  <c r="P8" i="22"/>
  <c r="P8" i="23"/>
  <c r="J9" i="22"/>
  <c r="J9" i="23"/>
  <c r="N8" i="22"/>
  <c r="N8" i="23"/>
  <c r="L11" i="22"/>
  <c r="L11" i="23"/>
  <c r="N11" i="22"/>
  <c r="N11" i="23"/>
  <c r="N9" i="22"/>
  <c r="N9" i="23"/>
  <c r="L10" i="23"/>
  <c r="L10" i="22"/>
  <c r="P9" i="22"/>
  <c r="P9" i="23"/>
  <c r="J10" i="23"/>
  <c r="J10" i="22"/>
  <c r="P10" i="22"/>
  <c r="P10" i="23"/>
  <c r="P11" i="22"/>
  <c r="P11" i="23"/>
  <c r="L9" i="22"/>
  <c r="L9" i="23"/>
  <c r="J7" i="23" l="1"/>
  <c r="L7" i="23"/>
  <c r="L7" i="22"/>
  <c r="N7" i="22"/>
  <c r="N7" i="23"/>
  <c r="J7" i="22"/>
  <c r="P7" i="22"/>
  <c r="P7" i="23"/>
  <c r="B56" i="26"/>
  <c r="J64" i="23" l="1"/>
  <c r="J64" i="22"/>
  <c r="B69" i="26" s="1"/>
  <c r="E11" i="26"/>
  <c r="C11" i="26"/>
  <c r="C12" i="26" l="1"/>
  <c r="L31" i="22"/>
  <c r="C26" i="26" s="1"/>
  <c r="L31" i="23"/>
  <c r="B41" i="26" s="1"/>
  <c r="E12" i="26"/>
  <c r="P31" i="22"/>
  <c r="E26" i="26" s="1"/>
  <c r="P31" i="23"/>
  <c r="F41" i="26" s="1"/>
  <c r="D11" i="26"/>
  <c r="E56" i="26"/>
  <c r="C56" i="26"/>
  <c r="D56" i="26"/>
  <c r="P64" i="22" l="1"/>
  <c r="E69" i="26" s="1"/>
  <c r="P64" i="23"/>
  <c r="F83" i="26" s="1"/>
  <c r="N64" i="22"/>
  <c r="D69" i="26" s="1"/>
  <c r="N64" i="23"/>
  <c r="D83" i="26" s="1"/>
  <c r="N31" i="22"/>
  <c r="D26" i="26" s="1"/>
  <c r="N31" i="23"/>
  <c r="D41" i="26" s="1"/>
  <c r="P46" i="22"/>
  <c r="E27" i="26" s="1"/>
  <c r="P46" i="23"/>
  <c r="F42" i="26" s="1"/>
  <c r="C69" i="26"/>
  <c r="L64" i="23"/>
  <c r="B83" i="26" s="1"/>
  <c r="L46" i="22"/>
  <c r="C27" i="26" s="1"/>
  <c r="L46" i="23"/>
  <c r="B42" i="26" s="1"/>
  <c r="D12" i="26"/>
  <c r="B92" i="26" l="1"/>
  <c r="F92" i="26"/>
  <c r="J15" i="22"/>
  <c r="J15" i="23"/>
  <c r="L15" i="22"/>
  <c r="L15" i="23"/>
  <c r="N46" i="22"/>
  <c r="D27" i="26" s="1"/>
  <c r="N46" i="23"/>
  <c r="D42" i="26" s="1"/>
  <c r="B8" i="26"/>
  <c r="D92" i="26" l="1"/>
  <c r="J14" i="22"/>
  <c r="B23" i="26" s="1"/>
  <c r="J14" i="23"/>
  <c r="J57" i="22" l="1"/>
  <c r="J13" i="22"/>
  <c r="J13" i="23"/>
  <c r="L65" i="22" l="1"/>
  <c r="B14" i="26"/>
  <c r="J55" i="23"/>
  <c r="J55" i="22"/>
  <c r="B29" i="26" s="1"/>
  <c r="B52" i="26"/>
  <c r="J60" i="22"/>
  <c r="B65" i="26" s="1"/>
  <c r="J60" i="23"/>
  <c r="B7" i="26"/>
  <c r="J6" i="23"/>
  <c r="J6" i="22"/>
  <c r="B22" i="26" s="1"/>
  <c r="B57" i="26" l="1"/>
  <c r="B15" i="26"/>
  <c r="B30" i="26"/>
  <c r="J65" i="23"/>
  <c r="J65" i="22"/>
  <c r="B70" i="26" s="1"/>
  <c r="K6" i="22"/>
  <c r="J57" i="23"/>
  <c r="K23" i="23" s="1"/>
  <c r="C57" i="26"/>
  <c r="D57" i="26"/>
  <c r="E57" i="26"/>
  <c r="P65" i="22" l="1"/>
  <c r="E70" i="26" s="1"/>
  <c r="P65" i="23"/>
  <c r="F84" i="26" s="1"/>
  <c r="N65" i="22"/>
  <c r="D70" i="26" s="1"/>
  <c r="N65" i="23"/>
  <c r="D84" i="26" s="1"/>
  <c r="C70" i="26"/>
  <c r="L65" i="23"/>
  <c r="B84" i="26" s="1"/>
  <c r="K40" i="22"/>
  <c r="K60" i="22"/>
  <c r="K44" i="22"/>
  <c r="K51" i="22"/>
  <c r="K37" i="22"/>
  <c r="K64" i="22"/>
  <c r="K26" i="22"/>
  <c r="K46" i="22"/>
  <c r="K30" i="22"/>
  <c r="K48" i="22"/>
  <c r="K61" i="22"/>
  <c r="K63" i="22"/>
  <c r="K54" i="22"/>
  <c r="K21" i="22"/>
  <c r="K49" i="22"/>
  <c r="K23" i="22"/>
  <c r="K31" i="22"/>
  <c r="K12" i="22"/>
  <c r="K34" i="22"/>
  <c r="K20" i="22"/>
  <c r="K43" i="22"/>
  <c r="K42" i="22"/>
  <c r="K17" i="22"/>
  <c r="K50" i="22"/>
  <c r="K25" i="22"/>
  <c r="K13" i="22"/>
  <c r="K15" i="22"/>
  <c r="K39" i="22"/>
  <c r="K18" i="22"/>
  <c r="K33" i="22"/>
  <c r="K45" i="22"/>
  <c r="K55" i="22"/>
  <c r="K14" i="22"/>
  <c r="K57" i="22"/>
  <c r="K29" i="22"/>
  <c r="K22" i="22"/>
  <c r="K10" i="22"/>
  <c r="K24" i="22"/>
  <c r="K65" i="22"/>
  <c r="K36" i="22"/>
  <c r="K53" i="22"/>
  <c r="K27" i="22"/>
  <c r="K9" i="22"/>
  <c r="K8" i="22"/>
  <c r="K41" i="22"/>
  <c r="K28" i="22"/>
  <c r="K47" i="22"/>
  <c r="K7" i="22"/>
  <c r="K35" i="22"/>
  <c r="K38" i="22"/>
  <c r="K32" i="22"/>
  <c r="K52" i="22"/>
  <c r="K19" i="22"/>
  <c r="K54" i="23"/>
  <c r="K65" i="23"/>
  <c r="K63" i="23"/>
  <c r="K10" i="23"/>
  <c r="K32" i="23"/>
  <c r="K31" i="23"/>
  <c r="K45" i="23"/>
  <c r="K16" i="23"/>
  <c r="K51" i="23"/>
  <c r="K36" i="23"/>
  <c r="K6" i="23"/>
  <c r="K21" i="23"/>
  <c r="K14" i="23"/>
  <c r="K18" i="23"/>
  <c r="K41" i="23"/>
  <c r="K19" i="23"/>
  <c r="K22" i="23"/>
  <c r="K27" i="23"/>
  <c r="K30" i="23"/>
  <c r="K25" i="23"/>
  <c r="K11" i="23"/>
  <c r="K38" i="23"/>
  <c r="K46" i="23"/>
  <c r="K55" i="23"/>
  <c r="K24" i="23"/>
  <c r="K61" i="23"/>
  <c r="K64" i="23"/>
  <c r="K48" i="23"/>
  <c r="K39" i="23"/>
  <c r="K57" i="23"/>
  <c r="K20" i="23"/>
  <c r="K60" i="23"/>
  <c r="K53" i="23"/>
  <c r="K28" i="23"/>
  <c r="K42" i="23"/>
  <c r="K12" i="23"/>
  <c r="K8" i="23"/>
  <c r="K50" i="23"/>
  <c r="K34" i="23"/>
  <c r="K43" i="23"/>
  <c r="K26" i="23"/>
  <c r="K52" i="23"/>
  <c r="K15" i="23"/>
  <c r="K49" i="23"/>
  <c r="K40" i="23"/>
  <c r="K33" i="23"/>
  <c r="K9" i="23"/>
  <c r="K44" i="23"/>
  <c r="K13" i="23"/>
  <c r="K17" i="23"/>
  <c r="K47" i="23"/>
  <c r="K35" i="23"/>
  <c r="K7" i="23"/>
  <c r="K29" i="23"/>
  <c r="K37" i="23"/>
  <c r="K16" i="22"/>
  <c r="K11" i="22"/>
  <c r="L18" i="22" l="1"/>
  <c r="L18" i="23"/>
  <c r="C54" i="26"/>
  <c r="D54" i="26"/>
  <c r="E54" i="26"/>
  <c r="C8" i="26"/>
  <c r="B54" i="26" l="1"/>
  <c r="B58" i="26" s="1"/>
  <c r="J67" i="23"/>
  <c r="N15" i="22"/>
  <c r="N15" i="23"/>
  <c r="L14" i="22"/>
  <c r="C23" i="26" s="1"/>
  <c r="L14" i="23"/>
  <c r="B38" i="26" s="1"/>
  <c r="B93" i="26" s="1"/>
  <c r="P62" i="22"/>
  <c r="E67" i="26" s="1"/>
  <c r="P62" i="23"/>
  <c r="F81" i="26" s="1"/>
  <c r="N62" i="22"/>
  <c r="D67" i="26" s="1"/>
  <c r="N62" i="23"/>
  <c r="D81" i="26" s="1"/>
  <c r="C67" i="26"/>
  <c r="L62" i="23"/>
  <c r="B81" i="26" s="1"/>
  <c r="J62" i="22"/>
  <c r="B67" i="26" s="1"/>
  <c r="B71" i="26" s="1"/>
  <c r="J62" i="23"/>
  <c r="K62" i="23" s="1"/>
  <c r="K67" i="23" s="1"/>
  <c r="D8" i="26"/>
  <c r="L60" i="22" l="1"/>
  <c r="C14" i="26"/>
  <c r="J59" i="22"/>
  <c r="K59" i="22" s="1"/>
  <c r="J59" i="23"/>
  <c r="K59" i="23" s="1"/>
  <c r="J67" i="22"/>
  <c r="K62" i="22"/>
  <c r="K67" i="22" s="1"/>
  <c r="N14" i="22"/>
  <c r="D23" i="26" s="1"/>
  <c r="N14" i="23"/>
  <c r="D38" i="26" s="1"/>
  <c r="D93" i="26" s="1"/>
  <c r="C52" i="26"/>
  <c r="C58" i="26" s="1"/>
  <c r="L55" i="22" l="1"/>
  <c r="C29" i="26" s="1"/>
  <c r="L55" i="23"/>
  <c r="B44" i="26" s="1"/>
  <c r="B96" i="26" s="1"/>
  <c r="L13" i="23"/>
  <c r="L13" i="22"/>
  <c r="L6" i="23"/>
  <c r="B37" i="26" s="1"/>
  <c r="C7" i="26"/>
  <c r="C15" i="26" s="1"/>
  <c r="P18" i="22"/>
  <c r="P18" i="23"/>
  <c r="L6" i="22"/>
  <c r="C22" i="26" s="1"/>
  <c r="C65" i="26"/>
  <c r="C71" i="26" s="1"/>
  <c r="L60" i="23"/>
  <c r="B79" i="26" s="1"/>
  <c r="D52" i="26"/>
  <c r="D58" i="26" s="1"/>
  <c r="N55" i="23" l="1"/>
  <c r="D44" i="26" s="1"/>
  <c r="D96" i="26" s="1"/>
  <c r="D14" i="26"/>
  <c r="C30" i="26"/>
  <c r="N55" i="22"/>
  <c r="D29" i="26" s="1"/>
  <c r="B94" i="26"/>
  <c r="L57" i="23"/>
  <c r="M6" i="23" s="1"/>
  <c r="B85" i="26"/>
  <c r="E8" i="26"/>
  <c r="L57" i="22"/>
  <c r="M55" i="22" s="1"/>
  <c r="B45" i="26"/>
  <c r="P14" i="22"/>
  <c r="E23" i="26" s="1"/>
  <c r="P14" i="23"/>
  <c r="F38" i="26" s="1"/>
  <c r="F93" i="26" s="1"/>
  <c r="D7" i="26"/>
  <c r="N13" i="22"/>
  <c r="N13" i="23"/>
  <c r="N59" i="23"/>
  <c r="N60" i="22"/>
  <c r="D65" i="26" s="1"/>
  <c r="D71" i="26" s="1"/>
  <c r="N60" i="23"/>
  <c r="D79" i="26" s="1"/>
  <c r="L59" i="22"/>
  <c r="L59" i="23"/>
  <c r="L67" i="22"/>
  <c r="L67" i="23"/>
  <c r="P67" i="23" l="1"/>
  <c r="E52" i="26"/>
  <c r="E58" i="26" s="1"/>
  <c r="P60" i="22"/>
  <c r="E65" i="26" s="1"/>
  <c r="E71" i="26" s="1"/>
  <c r="P57" i="23"/>
  <c r="D15" i="26"/>
  <c r="M42" i="23"/>
  <c r="M38" i="23"/>
  <c r="M22" i="23"/>
  <c r="M13" i="23"/>
  <c r="M21" i="23"/>
  <c r="M49" i="23"/>
  <c r="M60" i="23"/>
  <c r="M28" i="23"/>
  <c r="M63" i="23"/>
  <c r="M14" i="22"/>
  <c r="M61" i="23"/>
  <c r="M18" i="23"/>
  <c r="M46" i="23"/>
  <c r="C40" i="26"/>
  <c r="C38" i="26"/>
  <c r="C39" i="26"/>
  <c r="C43" i="26"/>
  <c r="C41" i="26"/>
  <c r="C42" i="26"/>
  <c r="C44" i="26"/>
  <c r="M28" i="22"/>
  <c r="M27" i="23"/>
  <c r="M7" i="23"/>
  <c r="M31" i="23"/>
  <c r="M32" i="23"/>
  <c r="M16" i="23"/>
  <c r="M53" i="23"/>
  <c r="M10" i="23"/>
  <c r="M26" i="23"/>
  <c r="M9" i="23"/>
  <c r="M40" i="23"/>
  <c r="M29" i="23"/>
  <c r="M51" i="23"/>
  <c r="M59" i="23"/>
  <c r="M15" i="23"/>
  <c r="M65" i="23"/>
  <c r="M23" i="23"/>
  <c r="M36" i="23"/>
  <c r="D85" i="26"/>
  <c r="M8" i="23"/>
  <c r="M43" i="23"/>
  <c r="M55" i="23"/>
  <c r="M37" i="23"/>
  <c r="M14" i="23"/>
  <c r="M54" i="23"/>
  <c r="M50" i="23"/>
  <c r="M19" i="23"/>
  <c r="C80" i="26"/>
  <c r="C81" i="26"/>
  <c r="C82" i="26"/>
  <c r="B97" i="26"/>
  <c r="C84" i="26"/>
  <c r="C83" i="26"/>
  <c r="C37" i="26"/>
  <c r="M39" i="23"/>
  <c r="M25" i="23"/>
  <c r="M12" i="23"/>
  <c r="M20" i="23"/>
  <c r="M57" i="23"/>
  <c r="M52" i="23"/>
  <c r="M64" i="23"/>
  <c r="M44" i="23"/>
  <c r="M11" i="23"/>
  <c r="M17" i="23"/>
  <c r="M34" i="23"/>
  <c r="M30" i="23"/>
  <c r="M62" i="23"/>
  <c r="M47" i="23"/>
  <c r="M41" i="23"/>
  <c r="M45" i="23"/>
  <c r="M24" i="23"/>
  <c r="M48" i="23"/>
  <c r="M33" i="23"/>
  <c r="M35" i="23"/>
  <c r="C79" i="26"/>
  <c r="M65" i="22"/>
  <c r="M23" i="22"/>
  <c r="M46" i="22"/>
  <c r="M54" i="22"/>
  <c r="M32" i="22"/>
  <c r="M24" i="22"/>
  <c r="M25" i="22"/>
  <c r="M40" i="22"/>
  <c r="M31" i="22"/>
  <c r="M57" i="22"/>
  <c r="M30" i="22"/>
  <c r="M18" i="22"/>
  <c r="M26" i="22"/>
  <c r="M37" i="22"/>
  <c r="M34" i="22"/>
  <c r="M22" i="22"/>
  <c r="M45" i="22"/>
  <c r="M36" i="22"/>
  <c r="M51" i="22"/>
  <c r="M59" i="22"/>
  <c r="M17" i="22"/>
  <c r="M44" i="22"/>
  <c r="M21" i="22"/>
  <c r="M62" i="22"/>
  <c r="M12" i="22"/>
  <c r="M47" i="22"/>
  <c r="M27" i="22"/>
  <c r="M42" i="22"/>
  <c r="M64" i="22"/>
  <c r="M15" i="22"/>
  <c r="M16" i="22"/>
  <c r="M39" i="22"/>
  <c r="M35" i="22"/>
  <c r="M63" i="22"/>
  <c r="M49" i="22"/>
  <c r="M41" i="22"/>
  <c r="M9" i="22"/>
  <c r="M38" i="22"/>
  <c r="M52" i="22"/>
  <c r="M6" i="22"/>
  <c r="M61" i="22"/>
  <c r="M48" i="22"/>
  <c r="M11" i="22"/>
  <c r="M29" i="22"/>
  <c r="M19" i="22"/>
  <c r="M20" i="22"/>
  <c r="M53" i="22"/>
  <c r="M60" i="22"/>
  <c r="M13" i="22"/>
  <c r="M43" i="22"/>
  <c r="M33" i="22"/>
  <c r="M7" i="22"/>
  <c r="M50" i="22"/>
  <c r="M8" i="22"/>
  <c r="M10" i="22"/>
  <c r="N59" i="22"/>
  <c r="N6" i="22"/>
  <c r="D22" i="26" s="1"/>
  <c r="D30" i="26" s="1"/>
  <c r="N6" i="23"/>
  <c r="D37" i="26" s="1"/>
  <c r="N67" i="22"/>
  <c r="N67" i="23"/>
  <c r="E14" i="26" l="1"/>
  <c r="P55" i="22"/>
  <c r="E29" i="26" s="1"/>
  <c r="P55" i="23"/>
  <c r="F44" i="26" s="1"/>
  <c r="F96" i="26" s="1"/>
  <c r="M67" i="23"/>
  <c r="E84" i="26"/>
  <c r="D97" i="26"/>
  <c r="E81" i="26"/>
  <c r="E82" i="26"/>
  <c r="E80" i="26"/>
  <c r="E83" i="26"/>
  <c r="D94" i="26"/>
  <c r="E79" i="26"/>
  <c r="B98" i="26"/>
  <c r="M67" i="22"/>
  <c r="D45" i="26"/>
  <c r="E37" i="26" s="1"/>
  <c r="N57" i="22"/>
  <c r="O10" i="22" s="1"/>
  <c r="N57" i="23"/>
  <c r="O57" i="23" s="1"/>
  <c r="E7" i="26"/>
  <c r="P13" i="22"/>
  <c r="P13" i="23"/>
  <c r="P67" i="22"/>
  <c r="P60" i="23"/>
  <c r="F79" i="26" s="1"/>
  <c r="E15" i="26" l="1"/>
  <c r="O37" i="23"/>
  <c r="C93" i="26"/>
  <c r="C95" i="26"/>
  <c r="C92" i="26"/>
  <c r="C96" i="26"/>
  <c r="C94" i="26"/>
  <c r="O39" i="22"/>
  <c r="E40" i="26"/>
  <c r="E39" i="26"/>
  <c r="E38" i="26"/>
  <c r="E43" i="26"/>
  <c r="E41" i="26"/>
  <c r="E42" i="26"/>
  <c r="E44" i="26"/>
  <c r="F85" i="26"/>
  <c r="G79" i="26" s="1"/>
  <c r="O61" i="23"/>
  <c r="D98" i="26"/>
  <c r="O14" i="23"/>
  <c r="C97" i="26"/>
  <c r="O45" i="23"/>
  <c r="O43" i="22"/>
  <c r="O63" i="22"/>
  <c r="O17" i="22"/>
  <c r="O8" i="22"/>
  <c r="O35" i="22"/>
  <c r="O32" i="22"/>
  <c r="O53" i="22"/>
  <c r="O38" i="22"/>
  <c r="O16" i="22"/>
  <c r="O64" i="22"/>
  <c r="O54" i="23"/>
  <c r="O6" i="22"/>
  <c r="O48" i="23"/>
  <c r="O44" i="22"/>
  <c r="O13" i="22"/>
  <c r="O17" i="23"/>
  <c r="O61" i="22"/>
  <c r="O11" i="22"/>
  <c r="O50" i="23"/>
  <c r="O28" i="22"/>
  <c r="O27" i="22"/>
  <c r="O34" i="23"/>
  <c r="O23" i="23"/>
  <c r="O12" i="22"/>
  <c r="O51" i="23"/>
  <c r="O43" i="23"/>
  <c r="O40" i="22"/>
  <c r="O42" i="23"/>
  <c r="O55" i="22"/>
  <c r="O64" i="23"/>
  <c r="O36" i="22"/>
  <c r="O24" i="22"/>
  <c r="O59" i="23"/>
  <c r="O7" i="23"/>
  <c r="O65" i="22"/>
  <c r="O23" i="22"/>
  <c r="O46" i="22"/>
  <c r="O15" i="22"/>
  <c r="O59" i="22"/>
  <c r="O11" i="23"/>
  <c r="O51" i="22"/>
  <c r="O14" i="22"/>
  <c r="O31" i="22"/>
  <c r="O18" i="23"/>
  <c r="O6" i="23"/>
  <c r="O20" i="23"/>
  <c r="O22" i="23"/>
  <c r="O12" i="23"/>
  <c r="O31" i="23"/>
  <c r="O28" i="23"/>
  <c r="O15" i="23"/>
  <c r="O44" i="23"/>
  <c r="O25" i="22"/>
  <c r="O25" i="23"/>
  <c r="O57" i="22"/>
  <c r="O19" i="22"/>
  <c r="O8" i="23"/>
  <c r="O65" i="23"/>
  <c r="O40" i="23"/>
  <c r="O13" i="23"/>
  <c r="O26" i="23"/>
  <c r="O41" i="23"/>
  <c r="O60" i="22"/>
  <c r="O47" i="23"/>
  <c r="O62" i="22"/>
  <c r="O34" i="22"/>
  <c r="O63" i="23"/>
  <c r="O21" i="23"/>
  <c r="O39" i="23"/>
  <c r="O30" i="22"/>
  <c r="O45" i="22"/>
  <c r="O19" i="23"/>
  <c r="O24" i="23"/>
  <c r="O60" i="23"/>
  <c r="O53" i="23"/>
  <c r="O32" i="23"/>
  <c r="O50" i="22"/>
  <c r="O54" i="22"/>
  <c r="O30" i="23"/>
  <c r="O48" i="22"/>
  <c r="O29" i="22"/>
  <c r="O16" i="23"/>
  <c r="O20" i="22"/>
  <c r="O49" i="23"/>
  <c r="O49" i="22"/>
  <c r="O9" i="22"/>
  <c r="O35" i="23"/>
  <c r="O62" i="23"/>
  <c r="O10" i="23"/>
  <c r="O9" i="23"/>
  <c r="O18" i="22"/>
  <c r="O52" i="22"/>
  <c r="O37" i="22"/>
  <c r="O22" i="22"/>
  <c r="O7" i="22"/>
  <c r="O21" i="22"/>
  <c r="O33" i="23"/>
  <c r="O36" i="23"/>
  <c r="O33" i="22"/>
  <c r="O26" i="22"/>
  <c r="O46" i="23"/>
  <c r="O29" i="23"/>
  <c r="O52" i="23"/>
  <c r="O47" i="22"/>
  <c r="O41" i="22"/>
  <c r="O38" i="23"/>
  <c r="O42" i="22"/>
  <c r="O27" i="23"/>
  <c r="O55" i="23"/>
  <c r="P6" i="22"/>
  <c r="E22" i="26" s="1"/>
  <c r="E30" i="26" s="1"/>
  <c r="P6" i="23"/>
  <c r="F37" i="26" s="1"/>
  <c r="P59" i="22"/>
  <c r="P59" i="23"/>
  <c r="F94" i="26" l="1"/>
  <c r="E95" i="26"/>
  <c r="E93" i="26"/>
  <c r="E92" i="26"/>
  <c r="E96" i="26"/>
  <c r="E94" i="26"/>
  <c r="G81" i="26"/>
  <c r="G82" i="26"/>
  <c r="F97" i="26"/>
  <c r="G84" i="26"/>
  <c r="G80" i="26"/>
  <c r="G83" i="26"/>
  <c r="E97" i="26"/>
  <c r="O67" i="23"/>
  <c r="O67" i="22"/>
  <c r="Q13" i="23"/>
  <c r="F45" i="26"/>
  <c r="P57" i="22"/>
  <c r="Q55" i="22" s="1"/>
  <c r="G40" i="26" l="1"/>
  <c r="G39" i="26"/>
  <c r="G38" i="26"/>
  <c r="G43" i="26"/>
  <c r="G41" i="26"/>
  <c r="G42" i="26"/>
  <c r="G44" i="26"/>
  <c r="G37" i="26"/>
  <c r="F98" i="26"/>
  <c r="G94" i="26" s="1"/>
  <c r="Q21" i="23"/>
  <c r="Q47" i="23"/>
  <c r="Q17" i="23"/>
  <c r="Q15" i="23"/>
  <c r="Q36" i="23"/>
  <c r="Q40" i="23"/>
  <c r="Q52" i="23"/>
  <c r="Q51" i="23"/>
  <c r="Q43" i="23"/>
  <c r="Q44" i="23"/>
  <c r="Q24" i="23"/>
  <c r="Q14" i="23"/>
  <c r="Q19" i="23"/>
  <c r="Q59" i="23"/>
  <c r="Q12" i="23"/>
  <c r="Q61" i="23"/>
  <c r="Q10" i="23"/>
  <c r="Q27" i="23"/>
  <c r="Q46" i="23"/>
  <c r="Q57" i="23"/>
  <c r="Q50" i="23"/>
  <c r="Q60" i="23"/>
  <c r="Q63" i="23"/>
  <c r="Q16" i="23"/>
  <c r="Q7" i="23"/>
  <c r="Q20" i="23"/>
  <c r="Q64" i="23"/>
  <c r="Q23" i="23"/>
  <c r="Q8" i="23"/>
  <c r="Q28" i="23"/>
  <c r="Q53" i="23"/>
  <c r="Q48" i="23"/>
  <c r="Q34" i="23"/>
  <c r="Q42" i="23"/>
  <c r="Q22" i="23"/>
  <c r="Q25" i="23"/>
  <c r="Q65" i="23"/>
  <c r="Q49" i="23"/>
  <c r="Q41" i="23"/>
  <c r="Q33" i="23"/>
  <c r="Q30" i="23"/>
  <c r="Q31" i="23"/>
  <c r="Q37" i="23"/>
  <c r="Q29" i="23"/>
  <c r="Q26" i="23"/>
  <c r="Q55" i="23"/>
  <c r="Q6" i="23"/>
  <c r="Q62" i="23"/>
  <c r="Q38" i="23"/>
  <c r="Q35" i="23"/>
  <c r="Q32" i="23"/>
  <c r="Q45" i="23"/>
  <c r="Q54" i="23"/>
  <c r="Q18" i="23"/>
  <c r="Q9" i="23"/>
  <c r="Q39" i="23"/>
  <c r="Q11" i="23"/>
  <c r="Q47" i="22"/>
  <c r="Q65" i="22"/>
  <c r="Q26" i="22"/>
  <c r="Q14" i="22"/>
  <c r="Q54" i="22"/>
  <c r="Q28" i="22"/>
  <c r="Q46" i="22"/>
  <c r="Q48" i="22"/>
  <c r="Q36" i="22"/>
  <c r="Q51" i="22"/>
  <c r="Q60" i="22"/>
  <c r="Q15" i="22"/>
  <c r="Q30" i="22"/>
  <c r="Q63" i="22"/>
  <c r="Q44" i="22"/>
  <c r="Q24" i="22"/>
  <c r="Q53" i="22"/>
  <c r="Q11" i="22"/>
  <c r="Q8" i="22"/>
  <c r="Q43" i="22"/>
  <c r="Q7" i="22"/>
  <c r="Q16" i="22"/>
  <c r="Q64" i="22"/>
  <c r="Q39" i="22"/>
  <c r="Q37" i="22"/>
  <c r="Q20" i="22"/>
  <c r="Q62" i="22"/>
  <c r="Q33" i="22"/>
  <c r="Q42" i="22"/>
  <c r="Q29" i="22"/>
  <c r="Q23" i="22"/>
  <c r="Q13" i="22"/>
  <c r="Q22" i="22"/>
  <c r="Q32" i="22"/>
  <c r="Q40" i="22"/>
  <c r="Q18" i="22"/>
  <c r="Q35" i="22"/>
  <c r="Q19" i="22"/>
  <c r="Q27" i="22"/>
  <c r="Q9" i="22"/>
  <c r="Q6" i="22"/>
  <c r="Q57" i="22"/>
  <c r="Q61" i="22"/>
  <c r="Q17" i="22"/>
  <c r="Q45" i="22"/>
  <c r="Q41" i="22"/>
  <c r="Q52" i="22"/>
  <c r="Q25" i="22"/>
  <c r="Q31" i="22"/>
  <c r="Q50" i="22"/>
  <c r="Q34" i="22"/>
  <c r="Q49" i="22"/>
  <c r="Q10" i="22"/>
  <c r="Q12" i="22"/>
  <c r="Q38" i="22"/>
  <c r="Q21" i="22"/>
  <c r="Q59" i="22"/>
  <c r="G93" i="26" l="1"/>
  <c r="G95" i="26"/>
  <c r="G92" i="26"/>
  <c r="G96" i="26"/>
  <c r="G97" i="26"/>
  <c r="Q67" i="23"/>
  <c r="Q67" i="22"/>
</calcChain>
</file>

<file path=xl/sharedStrings.xml><?xml version="1.0" encoding="utf-8"?>
<sst xmlns="http://schemas.openxmlformats.org/spreadsheetml/2006/main" count="569" uniqueCount="223">
  <si>
    <t>Capex</t>
  </si>
  <si>
    <t>Permitting and Environmental Compliance</t>
  </si>
  <si>
    <t>1.1.1</t>
  </si>
  <si>
    <t>Siting &amp; Scoping</t>
  </si>
  <si>
    <t>1.1.2</t>
  </si>
  <si>
    <t>Pre-Installation Studies</t>
  </si>
  <si>
    <t>1.1.3</t>
  </si>
  <si>
    <t>Post-Installation Studies</t>
  </si>
  <si>
    <t>NEPA &amp; Process</t>
  </si>
  <si>
    <t>1.2.1</t>
  </si>
  <si>
    <t>Infrastructure</t>
  </si>
  <si>
    <t>1.2.2</t>
  </si>
  <si>
    <t>Subsea Cables</t>
  </si>
  <si>
    <t>Cable Landing (Material only)</t>
  </si>
  <si>
    <t>1.2.3</t>
  </si>
  <si>
    <t>Dockside Improvements</t>
  </si>
  <si>
    <t>1.2.4</t>
  </si>
  <si>
    <t>1.2.5</t>
  </si>
  <si>
    <t>Other</t>
  </si>
  <si>
    <t>Mooring/Foundation</t>
  </si>
  <si>
    <t>1.3.1</t>
  </si>
  <si>
    <t>Mooring lines/chain</t>
  </si>
  <si>
    <t>1.3.2</t>
  </si>
  <si>
    <t>Anchors</t>
  </si>
  <si>
    <t>1.3.3</t>
  </si>
  <si>
    <t>Buoyancy Tanks</t>
  </si>
  <si>
    <t>1.3.4</t>
  </si>
  <si>
    <t>Connecting Hardware (shackles etc.)</t>
  </si>
  <si>
    <t>1.3.5</t>
  </si>
  <si>
    <t>Device Structural Components</t>
  </si>
  <si>
    <t>1.4.1</t>
  </si>
  <si>
    <t>1.4.2</t>
  </si>
  <si>
    <t>1.4.3</t>
  </si>
  <si>
    <t>1.4.4</t>
  </si>
  <si>
    <t>Power Take Off</t>
  </si>
  <si>
    <t>1.5.1</t>
  </si>
  <si>
    <t>Generator</t>
  </si>
  <si>
    <t>1.5.2</t>
  </si>
  <si>
    <t>1.5.3</t>
  </si>
  <si>
    <t>1.5.4</t>
  </si>
  <si>
    <t>Hydraulic System</t>
  </si>
  <si>
    <t>Frequency Converter</t>
  </si>
  <si>
    <t>1.5.5</t>
  </si>
  <si>
    <t>Step-up Transformer</t>
  </si>
  <si>
    <t>1.5.6</t>
  </si>
  <si>
    <t>Riser Cable</t>
  </si>
  <si>
    <t>1.5.7</t>
  </si>
  <si>
    <t>Electrical Energy Storage</t>
  </si>
  <si>
    <t>1.5.8</t>
  </si>
  <si>
    <t>Installation</t>
  </si>
  <si>
    <t>Transport to Staging Site</t>
  </si>
  <si>
    <t>Cable Shore Landing</t>
  </si>
  <si>
    <t>Device Installation</t>
  </si>
  <si>
    <t>Device Comissioning</t>
  </si>
  <si>
    <t>Insurance</t>
  </si>
  <si>
    <t>Environmental Monitoring and Regulatory Compliance</t>
  </si>
  <si>
    <t>Marine Operations</t>
  </si>
  <si>
    <t>Shoreside Operations</t>
  </si>
  <si>
    <t>Replacement Parts</t>
  </si>
  <si>
    <t>Consumables</t>
  </si>
  <si>
    <t>Annualized OPEX</t>
  </si>
  <si>
    <t>Dedicated O&amp;M Vessel</t>
  </si>
  <si>
    <t>Seals</t>
  </si>
  <si>
    <t>1.5.9</t>
  </si>
  <si>
    <t xml:space="preserve">Control System </t>
  </si>
  <si>
    <t>Device Access (Railings, Ladders, etc)</t>
  </si>
  <si>
    <t>Bearings and Linear Guides</t>
  </si>
  <si>
    <t>Assembly, Testing &amp; QA</t>
  </si>
  <si>
    <t>Units</t>
  </si>
  <si>
    <t>1.5.10</t>
  </si>
  <si>
    <t>1.5.11</t>
  </si>
  <si>
    <t>1.5.12</t>
  </si>
  <si>
    <t>Rotors</t>
  </si>
  <si>
    <t>1.5.13</t>
  </si>
  <si>
    <t>Gearbox and Driveshaft</t>
  </si>
  <si>
    <t>Mooring/Foundation System</t>
  </si>
  <si>
    <t>Subsystem Integration &amp; Profit Margin</t>
  </si>
  <si>
    <t>1.7.1</t>
  </si>
  <si>
    <t>1.7.2</t>
  </si>
  <si>
    <t>1.7.3</t>
  </si>
  <si>
    <t>1.7.4</t>
  </si>
  <si>
    <t>1.7.5</t>
  </si>
  <si>
    <t>1.7.6</t>
  </si>
  <si>
    <t>Total Cost</t>
  </si>
  <si>
    <t>Total</t>
  </si>
  <si>
    <t>10 Units</t>
  </si>
  <si>
    <t>50 Units</t>
  </si>
  <si>
    <t>100 Units</t>
  </si>
  <si>
    <t>Comments/Notes</t>
  </si>
  <si>
    <t>1 Unit</t>
  </si>
  <si>
    <t>Development</t>
  </si>
  <si>
    <t>1.1.1.1</t>
  </si>
  <si>
    <t>1.1.1.2</t>
  </si>
  <si>
    <t>1.1.1.3</t>
  </si>
  <si>
    <t>1.1.1.4</t>
  </si>
  <si>
    <t>Site Assessment</t>
  </si>
  <si>
    <t>Weight (tonnes)</t>
  </si>
  <si>
    <t>m</t>
  </si>
  <si>
    <t>MW</t>
  </si>
  <si>
    <t>PTO mounting</t>
  </si>
  <si>
    <t>1.5.14</t>
  </si>
  <si>
    <t>kW</t>
  </si>
  <si>
    <t>m^2</t>
  </si>
  <si>
    <t>Rotor Diameter</t>
  </si>
  <si>
    <t>Contingency</t>
  </si>
  <si>
    <t>Decommissioning</t>
  </si>
  <si>
    <t>in%</t>
  </si>
  <si>
    <t>in %</t>
  </si>
  <si>
    <t>Device Performance</t>
  </si>
  <si>
    <t>Transmission Efficiency</t>
  </si>
  <si>
    <t>Annual Output</t>
  </si>
  <si>
    <t>Mirko Previsic</t>
  </si>
  <si>
    <t>Company</t>
  </si>
  <si>
    <t>Contact</t>
  </si>
  <si>
    <t>mirko@re-vision.net</t>
  </si>
  <si>
    <t>Created by</t>
  </si>
  <si>
    <t>Date</t>
  </si>
  <si>
    <t>Disclaimer</t>
  </si>
  <si>
    <t>3. Cost Estimates provided herein are based on concept design and engineering data and have high levels of uncertainties embedded</t>
  </si>
  <si>
    <t>Project Design, Engineering, and Management</t>
  </si>
  <si>
    <t>MACRS Depreciation</t>
  </si>
  <si>
    <t>Construction Finance Rate</t>
  </si>
  <si>
    <t>Effective Tax Rate</t>
  </si>
  <si>
    <t>Technical Input Parameters</t>
  </si>
  <si>
    <t>Average Current Speed</t>
  </si>
  <si>
    <t>m/s</t>
  </si>
  <si>
    <t>Average Power Flux</t>
  </si>
  <si>
    <t>kW/m^2</t>
  </si>
  <si>
    <t>Peak Current Speed</t>
  </si>
  <si>
    <t>Max Power Flux</t>
  </si>
  <si>
    <t>Turbine Parameters</t>
  </si>
  <si>
    <t>Rotors per Turbine</t>
  </si>
  <si>
    <t>Energy Extraction</t>
  </si>
  <si>
    <t>Average Extracted Power</t>
  </si>
  <si>
    <t>Average Electric Power</t>
  </si>
  <si>
    <t>Rated Electric Power</t>
  </si>
  <si>
    <t xml:space="preserve">Machine Capacity Factor </t>
  </si>
  <si>
    <t>Array Parameters</t>
  </si>
  <si>
    <t># of US homes equivalent</t>
  </si>
  <si>
    <t>Array/Turbine Availability</t>
  </si>
  <si>
    <t>Rotor Area</t>
  </si>
  <si>
    <t xml:space="preserve">Freq. </t>
  </si>
  <si>
    <t>CP</t>
  </si>
  <si>
    <t>P fluid</t>
  </si>
  <si>
    <t>P Rotor</t>
  </si>
  <si>
    <t>P Electric</t>
  </si>
  <si>
    <t>Energy</t>
  </si>
  <si>
    <t>MWh/year</t>
  </si>
  <si>
    <t>Resource and Performance Outputs</t>
  </si>
  <si>
    <t>Site Resource Parameters</t>
  </si>
  <si>
    <t>Generator Rated Capacity</t>
  </si>
  <si>
    <t>Economic Parameters (Utility Generator Model)</t>
  </si>
  <si>
    <t>State Tax Rate</t>
  </si>
  <si>
    <t>Return on Equity</t>
  </si>
  <si>
    <t>Equity</t>
  </si>
  <si>
    <t>Debt</t>
  </si>
  <si>
    <t>Return on Debt</t>
  </si>
  <si>
    <t>Federal Tax Rate</t>
  </si>
  <si>
    <t>Plant Life (years)</t>
  </si>
  <si>
    <t>Year 1</t>
  </si>
  <si>
    <t>Year 2</t>
  </si>
  <si>
    <t>Year 3</t>
  </si>
  <si>
    <t>Year 4</t>
  </si>
  <si>
    <t>Year 5</t>
  </si>
  <si>
    <t>Year 6</t>
  </si>
  <si>
    <t>PVdepr</t>
  </si>
  <si>
    <t>Construction Cost Multiplier (CCMult)</t>
  </si>
  <si>
    <t>Weighted Average Cost of Capital (After tax)</t>
  </si>
  <si>
    <t>% Construction Spending during Year 0</t>
  </si>
  <si>
    <t>% Construction Spending during Year 1</t>
  </si>
  <si>
    <t>Annual Construction Multiplier - Year 1</t>
  </si>
  <si>
    <t>Annual Construction Multiplier - Year 2</t>
  </si>
  <si>
    <t>CCmult*CRF*(1-T*PVdepr)/(1-T)</t>
  </si>
  <si>
    <t xml:space="preserve">  1+(1-T)*[ (1+ (Construction Finance Rate))^(t+0.5) - 1 ]</t>
  </si>
  <si>
    <t>Capital Recovery Factor (WACC,Plant Life)</t>
  </si>
  <si>
    <t>Fixed Charge Rate</t>
  </si>
  <si>
    <t>Total Annual OPEX</t>
  </si>
  <si>
    <t>Plant Rated Capacity (kW)</t>
  </si>
  <si>
    <t>MWh/Year</t>
  </si>
  <si>
    <t>Distrib.</t>
  </si>
  <si>
    <t>kWh/year</t>
  </si>
  <si>
    <t>Note: Inputs shown in green</t>
  </si>
  <si>
    <t>RE Vision Consulting, LLC</t>
  </si>
  <si>
    <t>Cost Basis in $'s</t>
  </si>
  <si>
    <t>Capex and Opex Table Rounding</t>
  </si>
  <si>
    <t># of digits to zero</t>
  </si>
  <si>
    <t>$ / kW</t>
  </si>
  <si>
    <t>cents/kWh</t>
  </si>
  <si>
    <t>%</t>
  </si>
  <si>
    <t>$ / kW-yr</t>
  </si>
  <si>
    <t>Environmental Monitoring &amp; Regulatory Compliance</t>
  </si>
  <si>
    <t>Total Cost / yr</t>
  </si>
  <si>
    <t>Device</t>
  </si>
  <si>
    <t>Operation and Maintenance</t>
  </si>
  <si>
    <t>Opex</t>
  </si>
  <si>
    <t>Capex &amp; Opex</t>
  </si>
  <si>
    <t># of Units</t>
  </si>
  <si>
    <t>Installed Capacity (kW)</t>
  </si>
  <si>
    <t>Installed Capacity (MW)</t>
  </si>
  <si>
    <t>Mean Velocity</t>
  </si>
  <si>
    <t>Peak Velocity</t>
  </si>
  <si>
    <t>Avg Power Flux</t>
  </si>
  <si>
    <t>LCoE</t>
  </si>
  <si>
    <t>Value</t>
  </si>
  <si>
    <t>RESULTS</t>
  </si>
  <si>
    <t>Pile</t>
  </si>
  <si>
    <t>Cross-arm</t>
  </si>
  <si>
    <t>Nacelles</t>
  </si>
  <si>
    <t>1. This spreadsheet provides the background and details of the cost and economic assessment of the Tidal Current Device</t>
  </si>
  <si>
    <t>2. This spreadsheet supports the primary reports on theTidal Current device</t>
  </si>
  <si>
    <t>Cost Breakdown Structure for Tidal Current Device</t>
  </si>
  <si>
    <t>Site Depth</t>
  </si>
  <si>
    <t>Velocity Power Law Fit, "1 / x"</t>
  </si>
  <si>
    <t>Depth Adjusted</t>
  </si>
  <si>
    <t>Surf Velocity</t>
  </si>
  <si>
    <t>Velocity m/s</t>
  </si>
  <si>
    <t>PCS</t>
  </si>
  <si>
    <t>Efficiency</t>
  </si>
  <si>
    <t>base case</t>
  </si>
  <si>
    <t>Hub Height</t>
  </si>
  <si>
    <t>Cost Breakdown Structure for Tidal Current machine rated at 1.1 MW</t>
  </si>
  <si>
    <t>Total Installed Cost (omits Decommissioning)</t>
  </si>
  <si>
    <t>Sensitvity Graphs - Parameters are at Hub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</si>
</sst>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"/>
    <numFmt numFmtId="165" formatCode="&quot;$&quot;#,##0"/>
    <numFmt numFmtId="166" formatCode="0.0%"/>
    <numFmt numFmtId="167" formatCode="0.0"/>
    <numFmt numFmtId="168" formatCode="&quot;$&quot;#,##0.00"/>
    <numFmt numFmtId="169" formatCode="_(&quot;$&quot;* #,##0_);_(&quot;$&quot;* \(#,##0\);_(&quot;$&quot;* &quot;-&quot;??_);_(@_)"/>
    <numFmt numFmtId="170" formatCode="#,##0.0"/>
    <numFmt numFmtId="171" formatCode="0.0000"/>
    <numFmt numFmtId="172" formatCode="0.000"/>
    <numFmt numFmtId="175" formatCode="0.000000000000000%"/>
    <numFmt numFmtId="176" formatCode="#,##0.0_);\(#,##0.0\)"/>
  </numFmts>
  <fonts count="3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u/>
      <sz val="11"/>
      <name val="Arial"/>
      <family val="2"/>
    </font>
    <font>
      <b/>
      <sz val="10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9">
    <xf numFmtId="0" fontId="0" fillId="0" borderId="0"/>
    <xf numFmtId="164" fontId="4" fillId="0" borderId="0">
      <alignment horizontal="left" wrapText="1"/>
    </xf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2" fillId="0" borderId="0"/>
    <xf numFmtId="0" fontId="5" fillId="23" borderId="7" applyNumberFormat="0" applyFont="0" applyAlignment="0" applyProtection="0"/>
    <xf numFmtId="0" fontId="18" fillId="20" borderId="8" applyNumberFormat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9" fontId="2" fillId="0" borderId="0" applyFont="0" applyFill="0" applyBorder="0" applyAlignment="0" applyProtection="0"/>
    <xf numFmtId="0" fontId="4" fillId="0" borderId="0"/>
    <xf numFmtId="164" fontId="4" fillId="0" borderId="0">
      <alignment horizontal="left" wrapText="1"/>
    </xf>
    <xf numFmtId="0" fontId="4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4" fontId="4" fillId="0" borderId="0">
      <alignment horizontal="left" wrapText="1"/>
    </xf>
    <xf numFmtId="164" fontId="4" fillId="0" borderId="0">
      <alignment horizontal="left" wrapText="1"/>
    </xf>
    <xf numFmtId="164" fontId="4" fillId="0" borderId="0">
      <alignment horizontal="left" wrapText="1"/>
    </xf>
    <xf numFmtId="164" fontId="4" fillId="0" borderId="0">
      <alignment horizontal="left" wrapText="1"/>
    </xf>
    <xf numFmtId="164" fontId="4" fillId="0" borderId="0">
      <alignment horizontal="left" wrapText="1"/>
    </xf>
    <xf numFmtId="164" fontId="4" fillId="0" borderId="0">
      <alignment horizontal="left" wrapText="1"/>
    </xf>
    <xf numFmtId="164" fontId="4" fillId="0" borderId="0">
      <alignment horizontal="left" wrapText="1"/>
    </xf>
    <xf numFmtId="164" fontId="4" fillId="0" borderId="0">
      <alignment horizontal="left" wrapText="1"/>
    </xf>
    <xf numFmtId="164" fontId="4" fillId="0" borderId="0">
      <alignment horizontal="left" wrapText="1"/>
    </xf>
  </cellStyleXfs>
  <cellXfs count="32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42" fontId="0" fillId="0" borderId="0" xfId="0" applyNumberFormat="1" applyFill="1"/>
    <xf numFmtId="0" fontId="0" fillId="0" borderId="0" xfId="0"/>
    <xf numFmtId="0" fontId="0" fillId="0" borderId="0" xfId="0" applyFill="1"/>
    <xf numFmtId="0" fontId="0" fillId="0" borderId="0" xfId="0"/>
    <xf numFmtId="42" fontId="0" fillId="0" borderId="0" xfId="0" applyNumberFormat="1"/>
    <xf numFmtId="44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Alignment="1">
      <alignment horizontal="left"/>
    </xf>
    <xf numFmtId="168" fontId="0" fillId="0" borderId="0" xfId="0" applyNumberFormat="1"/>
    <xf numFmtId="3" fontId="0" fillId="0" borderId="0" xfId="0" applyNumberFormat="1"/>
    <xf numFmtId="0" fontId="3" fillId="0" borderId="0" xfId="0" applyFont="1"/>
    <xf numFmtId="0" fontId="0" fillId="0" borderId="0" xfId="0" applyFont="1"/>
    <xf numFmtId="0" fontId="0" fillId="0" borderId="0" xfId="0" applyFill="1"/>
    <xf numFmtId="42" fontId="0" fillId="0" borderId="0" xfId="0" applyNumberFormat="1"/>
    <xf numFmtId="44" fontId="0" fillId="0" borderId="0" xfId="0" applyNumberFormat="1"/>
    <xf numFmtId="0" fontId="0" fillId="0" borderId="0" xfId="0"/>
    <xf numFmtId="42" fontId="3" fillId="0" borderId="0" xfId="0" applyNumberFormat="1" applyFont="1" applyFill="1"/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Font="1" applyFill="1"/>
    <xf numFmtId="0" fontId="0" fillId="0" borderId="18" xfId="0" applyFill="1" applyBorder="1"/>
    <xf numFmtId="0" fontId="3" fillId="0" borderId="0" xfId="0" applyFont="1" applyFill="1"/>
    <xf numFmtId="0" fontId="0" fillId="0" borderId="0" xfId="0" applyFont="1" applyAlignment="1">
      <alignment horizontal="left"/>
    </xf>
    <xf numFmtId="42" fontId="0" fillId="0" borderId="0" xfId="0" applyNumberFormat="1" applyFont="1" applyFill="1"/>
    <xf numFmtId="42" fontId="22" fillId="0" borderId="0" xfId="0" applyNumberFormat="1" applyFont="1" applyFill="1"/>
    <xf numFmtId="2" fontId="0" fillId="0" borderId="0" xfId="0" applyNumberFormat="1" applyFill="1"/>
    <xf numFmtId="9" fontId="3" fillId="0" borderId="0" xfId="0" applyNumberFormat="1" applyFont="1" applyFill="1"/>
    <xf numFmtId="166" fontId="0" fillId="0" borderId="0" xfId="0" applyNumberFormat="1" applyFill="1"/>
    <xf numFmtId="42" fontId="3" fillId="0" borderId="0" xfId="0" applyNumberFormat="1" applyFont="1"/>
    <xf numFmtId="42" fontId="0" fillId="0" borderId="0" xfId="0" applyNumberFormat="1" applyFont="1"/>
    <xf numFmtId="9" fontId="0" fillId="0" borderId="0" xfId="0" applyNumberFormat="1" applyFont="1" applyFill="1"/>
    <xf numFmtId="166" fontId="0" fillId="0" borderId="0" xfId="0" applyNumberFormat="1" applyFont="1" applyFill="1"/>
    <xf numFmtId="166" fontId="3" fillId="0" borderId="0" xfId="0" applyNumberFormat="1" applyFont="1" applyFill="1"/>
    <xf numFmtId="49" fontId="3" fillId="0" borderId="0" xfId="0" applyNumberFormat="1" applyFont="1" applyFill="1" applyAlignment="1">
      <alignment horizontal="left"/>
    </xf>
    <xf numFmtId="1" fontId="3" fillId="0" borderId="0" xfId="0" applyNumberFormat="1" applyFont="1"/>
    <xf numFmtId="37" fontId="3" fillId="0" borderId="0" xfId="0" applyNumberFormat="1" applyFont="1"/>
    <xf numFmtId="0" fontId="3" fillId="0" borderId="0" xfId="0" applyFont="1" applyAlignment="1">
      <alignment horizontal="right"/>
    </xf>
    <xf numFmtId="9" fontId="0" fillId="0" borderId="0" xfId="0" applyNumberFormat="1" applyFont="1"/>
    <xf numFmtId="169" fontId="3" fillId="0" borderId="0" xfId="0" applyNumberFormat="1" applyFont="1" applyFill="1"/>
    <xf numFmtId="0" fontId="28" fillId="0" borderId="0" xfId="133"/>
    <xf numFmtId="14" fontId="0" fillId="0" borderId="0" xfId="0" applyNumberFormat="1" applyAlignment="1">
      <alignment horizontal="left"/>
    </xf>
    <xf numFmtId="1" fontId="3" fillId="0" borderId="0" xfId="0" applyNumberFormat="1" applyFont="1" applyFill="1"/>
    <xf numFmtId="1" fontId="0" fillId="0" borderId="0" xfId="0" applyNumberFormat="1" applyFill="1"/>
    <xf numFmtId="9" fontId="3" fillId="0" borderId="0" xfId="0" applyNumberFormat="1" applyFont="1"/>
    <xf numFmtId="0" fontId="4" fillId="25" borderId="11" xfId="3" applyFill="1" applyBorder="1"/>
    <xf numFmtId="0" fontId="4" fillId="0" borderId="0" xfId="3" applyBorder="1"/>
    <xf numFmtId="0" fontId="4" fillId="0" borderId="0" xfId="3"/>
    <xf numFmtId="0" fontId="4" fillId="0" borderId="0" xfId="3" applyFont="1" applyAlignment="1">
      <alignment wrapText="1"/>
    </xf>
    <xf numFmtId="0" fontId="23" fillId="0" borderId="0" xfId="3" applyFont="1" applyBorder="1"/>
    <xf numFmtId="0" fontId="23" fillId="0" borderId="0" xfId="3" applyFont="1"/>
    <xf numFmtId="0" fontId="30" fillId="0" borderId="0" xfId="3" applyFont="1"/>
    <xf numFmtId="0" fontId="4" fillId="0" borderId="0" xfId="3" applyBorder="1" applyAlignment="1">
      <alignment horizontal="left"/>
    </xf>
    <xf numFmtId="0" fontId="4" fillId="0" borderId="0" xfId="3" applyFill="1" applyBorder="1" applyAlignment="1">
      <alignment horizontal="left"/>
    </xf>
    <xf numFmtId="0" fontId="4" fillId="24" borderId="0" xfId="3" applyFill="1" applyBorder="1" applyAlignment="1">
      <alignment horizontal="right"/>
    </xf>
    <xf numFmtId="0" fontId="30" fillId="0" borderId="0" xfId="3" applyFont="1" applyBorder="1"/>
    <xf numFmtId="0" fontId="4" fillId="26" borderId="12" xfId="3" applyFill="1" applyBorder="1"/>
    <xf numFmtId="0" fontId="4" fillId="0" borderId="0" xfId="3" applyFill="1" applyBorder="1"/>
    <xf numFmtId="167" fontId="4" fillId="0" borderId="0" xfId="3" applyNumberFormat="1" applyBorder="1"/>
    <xf numFmtId="0" fontId="23" fillId="0" borderId="0" xfId="3" applyFont="1" applyFill="1"/>
    <xf numFmtId="0" fontId="4" fillId="0" borderId="0" xfId="3" applyFill="1"/>
    <xf numFmtId="9" fontId="4" fillId="26" borderId="12" xfId="3" applyNumberFormat="1" applyFill="1" applyBorder="1"/>
    <xf numFmtId="2" fontId="4" fillId="0" borderId="0" xfId="3" applyNumberFormat="1"/>
    <xf numFmtId="172" fontId="4" fillId="0" borderId="0" xfId="3" applyNumberFormat="1"/>
    <xf numFmtId="0" fontId="4" fillId="0" borderId="0" xfId="3" applyFont="1" applyBorder="1"/>
    <xf numFmtId="0" fontId="4" fillId="24" borderId="0" xfId="3" applyFill="1" applyBorder="1"/>
    <xf numFmtId="166" fontId="4" fillId="0" borderId="0" xfId="3" applyNumberFormat="1"/>
    <xf numFmtId="166" fontId="4" fillId="0" borderId="12" xfId="3" applyNumberFormat="1" applyBorder="1"/>
    <xf numFmtId="3" fontId="4" fillId="0" borderId="0" xfId="3" applyNumberFormat="1"/>
    <xf numFmtId="0" fontId="26" fillId="0" borderId="0" xfId="0" applyFont="1" applyFill="1" applyBorder="1"/>
    <xf numFmtId="10" fontId="4" fillId="24" borderId="12" xfId="3" applyNumberFormat="1" applyFill="1" applyBorder="1"/>
    <xf numFmtId="166" fontId="4" fillId="26" borderId="12" xfId="3" applyNumberFormat="1" applyFont="1" applyFill="1" applyBorder="1" applyAlignment="1">
      <alignment horizontal="right"/>
    </xf>
    <xf numFmtId="166" fontId="4" fillId="26" borderId="12" xfId="3" applyNumberFormat="1" applyFont="1" applyFill="1" applyBorder="1"/>
    <xf numFmtId="40" fontId="4" fillId="0" borderId="0" xfId="3" applyNumberFormat="1"/>
    <xf numFmtId="3" fontId="4" fillId="0" borderId="0" xfId="3" applyNumberFormat="1" applyBorder="1"/>
    <xf numFmtId="166" fontId="4" fillId="24" borderId="0" xfId="3" applyNumberFormat="1" applyFill="1" applyBorder="1"/>
    <xf numFmtId="172" fontId="4" fillId="24" borderId="0" xfId="3" applyNumberFormat="1" applyFill="1" applyBorder="1"/>
    <xf numFmtId="175" fontId="4" fillId="0" borderId="0" xfId="3" applyNumberFormat="1"/>
    <xf numFmtId="171" fontId="4" fillId="0" borderId="0" xfId="3" applyNumberFormat="1"/>
    <xf numFmtId="169" fontId="3" fillId="0" borderId="0" xfId="0" applyNumberFormat="1" applyFont="1"/>
    <xf numFmtId="169" fontId="0" fillId="0" borderId="0" xfId="0" applyNumberFormat="1" applyFont="1"/>
    <xf numFmtId="44" fontId="0" fillId="0" borderId="0" xfId="0" applyNumberFormat="1" applyFont="1"/>
    <xf numFmtId="2" fontId="0" fillId="0" borderId="0" xfId="0" applyNumberFormat="1" applyFont="1" applyFill="1"/>
    <xf numFmtId="0" fontId="3" fillId="0" borderId="18" xfId="0" applyFont="1" applyBorder="1" applyAlignment="1">
      <alignment horizontal="left"/>
    </xf>
    <xf numFmtId="0" fontId="3" fillId="0" borderId="18" xfId="0" applyFont="1" applyBorder="1"/>
    <xf numFmtId="169" fontId="3" fillId="0" borderId="18" xfId="0" applyNumberFormat="1" applyFont="1" applyBorder="1"/>
    <xf numFmtId="166" fontId="3" fillId="0" borderId="18" xfId="0" applyNumberFormat="1" applyFont="1" applyBorder="1"/>
    <xf numFmtId="42" fontId="0" fillId="0" borderId="18" xfId="0" applyNumberFormat="1" applyFont="1" applyFill="1" applyBorder="1"/>
    <xf numFmtId="9" fontId="3" fillId="0" borderId="18" xfId="0" applyNumberFormat="1" applyFont="1" applyFill="1" applyBorder="1"/>
    <xf numFmtId="166" fontId="3" fillId="0" borderId="18" xfId="0" applyNumberFormat="1" applyFont="1" applyFill="1" applyBorder="1"/>
    <xf numFmtId="3" fontId="0" fillId="0" borderId="0" xfId="0" applyNumberFormat="1" applyFont="1"/>
    <xf numFmtId="176" fontId="3" fillId="0" borderId="0" xfId="0" applyNumberFormat="1" applyFont="1"/>
    <xf numFmtId="176" fontId="0" fillId="0" borderId="0" xfId="0" applyNumberFormat="1" applyFont="1"/>
    <xf numFmtId="0" fontId="0" fillId="0" borderId="0" xfId="0" applyNumberFormat="1" applyFont="1" applyAlignment="1">
      <alignment horizontal="left"/>
    </xf>
    <xf numFmtId="176" fontId="3" fillId="0" borderId="18" xfId="0" applyNumberFormat="1" applyFont="1" applyBorder="1"/>
    <xf numFmtId="165" fontId="3" fillId="0" borderId="18" xfId="0" applyNumberFormat="1" applyFont="1" applyBorder="1"/>
    <xf numFmtId="0" fontId="25" fillId="25" borderId="11" xfId="3" applyFont="1" applyFill="1" applyBorder="1"/>
    <xf numFmtId="0" fontId="4" fillId="25" borderId="11" xfId="3" applyFill="1" applyBorder="1"/>
    <xf numFmtId="0" fontId="4" fillId="0" borderId="0" xfId="3" applyBorder="1"/>
    <xf numFmtId="0" fontId="4" fillId="0" borderId="0" xfId="3"/>
    <xf numFmtId="0" fontId="23" fillId="0" borderId="0" xfId="3" applyFont="1" applyBorder="1"/>
    <xf numFmtId="0" fontId="27" fillId="0" borderId="0" xfId="3" applyFont="1" applyBorder="1"/>
    <xf numFmtId="0" fontId="32" fillId="0" borderId="0" xfId="3" applyFont="1" applyBorder="1"/>
    <xf numFmtId="0" fontId="4" fillId="0" borderId="18" xfId="3" applyBorder="1"/>
    <xf numFmtId="0" fontId="4" fillId="0" borderId="22" xfId="3" applyBorder="1"/>
    <xf numFmtId="0" fontId="33" fillId="0" borderId="0" xfId="3" applyFont="1" applyBorder="1"/>
    <xf numFmtId="0" fontId="4" fillId="0" borderId="17" xfId="3" applyBorder="1"/>
    <xf numFmtId="2" fontId="4" fillId="26" borderId="12" xfId="3" applyNumberFormat="1" applyFill="1" applyBorder="1"/>
    <xf numFmtId="0" fontId="4" fillId="0" borderId="18" xfId="3" applyFont="1" applyBorder="1"/>
    <xf numFmtId="172" fontId="4" fillId="0" borderId="12" xfId="3" applyNumberFormat="1" applyBorder="1"/>
    <xf numFmtId="0" fontId="4" fillId="0" borderId="12" xfId="3" applyBorder="1"/>
    <xf numFmtId="0" fontId="31" fillId="0" borderId="0" xfId="3" applyFont="1" applyBorder="1"/>
    <xf numFmtId="0" fontId="4" fillId="0" borderId="18" xfId="3" applyFont="1" applyFill="1" applyBorder="1"/>
    <xf numFmtId="0" fontId="4" fillId="26" borderId="12" xfId="3" applyFill="1" applyBorder="1"/>
    <xf numFmtId="0" fontId="4" fillId="0" borderId="11" xfId="3" applyFont="1" applyBorder="1"/>
    <xf numFmtId="0" fontId="4" fillId="0" borderId="12" xfId="3" applyFont="1" applyBorder="1"/>
    <xf numFmtId="0" fontId="4" fillId="0" borderId="11" xfId="3" applyFill="1" applyBorder="1"/>
    <xf numFmtId="0" fontId="4" fillId="0" borderId="11" xfId="3" applyBorder="1"/>
    <xf numFmtId="0" fontId="4" fillId="0" borderId="0" xfId="3" applyFill="1" applyBorder="1"/>
    <xf numFmtId="0" fontId="4" fillId="0" borderId="21" xfId="3" applyBorder="1"/>
    <xf numFmtId="0" fontId="4" fillId="0" borderId="14" xfId="3" applyBorder="1" applyAlignment="1">
      <alignment horizontal="left"/>
    </xf>
    <xf numFmtId="0" fontId="4" fillId="0" borderId="18" xfId="3" applyBorder="1" applyAlignment="1">
      <alignment horizontal="right"/>
    </xf>
    <xf numFmtId="0" fontId="4" fillId="0" borderId="10" xfId="3" applyFont="1" applyBorder="1"/>
    <xf numFmtId="0" fontId="4" fillId="0" borderId="13" xfId="3" applyBorder="1"/>
    <xf numFmtId="172" fontId="4" fillId="0" borderId="13" xfId="3" applyNumberFormat="1" applyBorder="1"/>
    <xf numFmtId="0" fontId="4" fillId="0" borderId="0" xfId="3" applyBorder="1" applyAlignment="1">
      <alignment horizontal="left"/>
    </xf>
    <xf numFmtId="0" fontId="4" fillId="0" borderId="10" xfId="3" applyBorder="1"/>
    <xf numFmtId="10" fontId="4" fillId="0" borderId="13" xfId="3" applyNumberFormat="1" applyBorder="1"/>
    <xf numFmtId="0" fontId="4" fillId="0" borderId="21" xfId="3" applyFill="1" applyBorder="1"/>
    <xf numFmtId="3" fontId="4" fillId="0" borderId="13" xfId="3" applyNumberFormat="1" applyBorder="1"/>
    <xf numFmtId="3" fontId="4" fillId="0" borderId="12" xfId="3" applyNumberFormat="1" applyBorder="1"/>
    <xf numFmtId="0" fontId="32" fillId="0" borderId="0" xfId="3" applyFont="1" applyFill="1" applyBorder="1"/>
    <xf numFmtId="3" fontId="4" fillId="0" borderId="13" xfId="3" applyNumberFormat="1" applyFont="1" applyBorder="1"/>
    <xf numFmtId="3" fontId="4" fillId="0" borderId="12" xfId="3" applyNumberFormat="1" applyFont="1" applyBorder="1"/>
    <xf numFmtId="0" fontId="27" fillId="0" borderId="0" xfId="3" applyFont="1" applyFill="1" applyBorder="1"/>
    <xf numFmtId="165" fontId="4" fillId="0" borderId="0" xfId="3" applyNumberFormat="1" applyBorder="1"/>
    <xf numFmtId="0" fontId="4" fillId="24" borderId="15" xfId="3" applyFill="1" applyBorder="1" applyAlignment="1">
      <alignment horizontal="left"/>
    </xf>
    <xf numFmtId="0" fontId="4" fillId="0" borderId="15" xfId="3" applyBorder="1" applyAlignment="1">
      <alignment horizontal="left"/>
    </xf>
    <xf numFmtId="0" fontId="4" fillId="0" borderId="15" xfId="3" applyBorder="1"/>
    <xf numFmtId="0" fontId="4" fillId="0" borderId="16" xfId="3" applyBorder="1"/>
    <xf numFmtId="0" fontId="4" fillId="24" borderId="19" xfId="3" applyFill="1" applyBorder="1" applyAlignment="1">
      <alignment horizontal="left"/>
    </xf>
    <xf numFmtId="0" fontId="4" fillId="0" borderId="19" xfId="3" applyBorder="1" applyAlignment="1">
      <alignment horizontal="left"/>
    </xf>
    <xf numFmtId="0" fontId="4" fillId="0" borderId="19" xfId="3" applyBorder="1"/>
    <xf numFmtId="0" fontId="4" fillId="0" borderId="0" xfId="3" applyBorder="1" applyAlignment="1">
      <alignment horizontal="right"/>
    </xf>
    <xf numFmtId="165" fontId="0" fillId="0" borderId="0" xfId="4" applyNumberFormat="1" applyFont="1" applyBorder="1"/>
    <xf numFmtId="165" fontId="0" fillId="0" borderId="0" xfId="4" applyNumberFormat="1" applyFont="1" applyFill="1" applyBorder="1"/>
    <xf numFmtId="165" fontId="4" fillId="0" borderId="0" xfId="4" applyNumberFormat="1" applyFont="1" applyFill="1" applyBorder="1"/>
    <xf numFmtId="165" fontId="4" fillId="0" borderId="0" xfId="3" applyNumberFormat="1" applyFill="1" applyBorder="1"/>
    <xf numFmtId="3" fontId="4" fillId="0" borderId="0" xfId="3" applyNumberFormat="1" applyBorder="1"/>
    <xf numFmtId="2" fontId="4" fillId="0" borderId="12" xfId="3" applyNumberFormat="1" applyBorder="1"/>
    <xf numFmtId="2" fontId="4" fillId="0" borderId="12" xfId="3" applyNumberFormat="1" applyFont="1" applyFill="1" applyBorder="1"/>
    <xf numFmtId="42" fontId="0" fillId="0" borderId="0" xfId="0" applyNumberFormat="1" applyFill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4" fillId="0" borderId="0" xfId="3" applyBorder="1"/>
    <xf numFmtId="0" fontId="4" fillId="0" borderId="0" xfId="3"/>
    <xf numFmtId="0" fontId="4" fillId="0" borderId="0" xfId="3" applyFont="1" applyAlignment="1">
      <alignment wrapText="1"/>
    </xf>
    <xf numFmtId="0" fontId="26" fillId="0" borderId="18" xfId="0" applyFont="1" applyFill="1" applyBorder="1" applyAlignment="1"/>
    <xf numFmtId="0" fontId="26" fillId="0" borderId="0" xfId="0" applyFont="1" applyBorder="1"/>
    <xf numFmtId="0" fontId="34" fillId="0" borderId="0" xfId="0" applyFont="1" applyFill="1" applyBorder="1" applyAlignment="1">
      <alignment horizontal="center"/>
    </xf>
    <xf numFmtId="0" fontId="26" fillId="27" borderId="19" xfId="0" applyFont="1" applyFill="1" applyBorder="1" applyAlignment="1"/>
    <xf numFmtId="165" fontId="26" fillId="0" borderId="0" xfId="0" applyNumberFormat="1" applyFont="1" applyBorder="1"/>
    <xf numFmtId="0" fontId="26" fillId="27" borderId="15" xfId="0" applyFont="1" applyFill="1" applyBorder="1" applyAlignment="1"/>
    <xf numFmtId="3" fontId="26" fillId="0" borderId="12" xfId="0" applyNumberFormat="1" applyFont="1" applyBorder="1"/>
    <xf numFmtId="9" fontId="23" fillId="0" borderId="12" xfId="2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 wrapText="1"/>
    </xf>
    <xf numFmtId="0" fontId="0" fillId="0" borderId="0" xfId="0"/>
    <xf numFmtId="0" fontId="0" fillId="0" borderId="0" xfId="0" applyFill="1" applyBorder="1"/>
    <xf numFmtId="0" fontId="26" fillId="0" borderId="10" xfId="0" applyFont="1" applyBorder="1"/>
    <xf numFmtId="165" fontId="26" fillId="0" borderId="12" xfId="0" applyNumberFormat="1" applyFont="1" applyBorder="1"/>
    <xf numFmtId="0" fontId="0" fillId="0" borderId="0" xfId="0"/>
    <xf numFmtId="165" fontId="26" fillId="0" borderId="12" xfId="0" applyNumberFormat="1" applyFont="1" applyBorder="1"/>
    <xf numFmtId="0" fontId="0" fillId="0" borderId="0" xfId="0"/>
    <xf numFmtId="0" fontId="0" fillId="0" borderId="12" xfId="0" applyBorder="1"/>
    <xf numFmtId="167" fontId="0" fillId="0" borderId="12" xfId="0" applyNumberFormat="1" applyBorder="1"/>
    <xf numFmtId="0" fontId="26" fillId="0" borderId="10" xfId="0" applyFont="1" applyBorder="1"/>
    <xf numFmtId="166" fontId="26" fillId="0" borderId="12" xfId="0" applyNumberFormat="1" applyFont="1" applyBorder="1"/>
    <xf numFmtId="170" fontId="26" fillId="0" borderId="12" xfId="0" applyNumberFormat="1" applyFont="1" applyBorder="1"/>
    <xf numFmtId="0" fontId="34" fillId="27" borderId="19" xfId="0" applyFont="1" applyFill="1" applyBorder="1" applyAlignment="1">
      <alignment horizontal="center"/>
    </xf>
    <xf numFmtId="0" fontId="34" fillId="27" borderId="12" xfId="0" applyFont="1" applyFill="1" applyBorder="1" applyAlignment="1">
      <alignment horizontal="center"/>
    </xf>
    <xf numFmtId="0" fontId="34" fillId="27" borderId="15" xfId="0" applyFont="1" applyFill="1" applyBorder="1" applyAlignment="1">
      <alignment horizontal="center"/>
    </xf>
    <xf numFmtId="0" fontId="26" fillId="0" borderId="10" xfId="0" applyFont="1" applyBorder="1"/>
    <xf numFmtId="165" fontId="26" fillId="0" borderId="12" xfId="0" applyNumberFormat="1" applyFont="1" applyBorder="1"/>
    <xf numFmtId="0" fontId="26" fillId="0" borderId="10" xfId="0" applyFont="1" applyBorder="1"/>
    <xf numFmtId="165" fontId="26" fillId="0" borderId="12" xfId="0" applyNumberFormat="1" applyFont="1" applyBorder="1"/>
    <xf numFmtId="166" fontId="0" fillId="0" borderId="0" xfId="0" applyNumberFormat="1"/>
    <xf numFmtId="0" fontId="0" fillId="0" borderId="12" xfId="0" applyBorder="1"/>
    <xf numFmtId="166" fontId="26" fillId="0" borderId="12" xfId="0" applyNumberFormat="1" applyFont="1" applyBorder="1"/>
    <xf numFmtId="0" fontId="26" fillId="0" borderId="12" xfId="0" applyFont="1" applyBorder="1"/>
    <xf numFmtId="167" fontId="26" fillId="0" borderId="12" xfId="0" applyNumberFormat="1" applyFont="1" applyBorder="1"/>
    <xf numFmtId="0" fontId="0" fillId="0" borderId="10" xfId="0" applyBorder="1"/>
    <xf numFmtId="0" fontId="0" fillId="0" borderId="13" xfId="0" applyBorder="1"/>
    <xf numFmtId="0" fontId="34" fillId="27" borderId="12" xfId="0" applyFont="1" applyFill="1" applyBorder="1" applyAlignment="1">
      <alignment horizontal="center"/>
    </xf>
    <xf numFmtId="0" fontId="0" fillId="0" borderId="0" xfId="0"/>
    <xf numFmtId="0" fontId="26" fillId="0" borderId="0" xfId="0" applyFont="1" applyFill="1" applyBorder="1"/>
    <xf numFmtId="0" fontId="0" fillId="0" borderId="12" xfId="0" applyBorder="1"/>
    <xf numFmtId="166" fontId="26" fillId="0" borderId="12" xfId="0" applyNumberFormat="1" applyFont="1" applyBorder="1"/>
    <xf numFmtId="0" fontId="26" fillId="0" borderId="12" xfId="0" applyFont="1" applyBorder="1"/>
    <xf numFmtId="167" fontId="26" fillId="0" borderId="12" xfId="0" applyNumberFormat="1" applyFont="1" applyBorder="1"/>
    <xf numFmtId="0" fontId="0" fillId="0" borderId="10" xfId="0" applyBorder="1"/>
    <xf numFmtId="0" fontId="0" fillId="0" borderId="13" xfId="0" applyBorder="1"/>
    <xf numFmtId="0" fontId="34" fillId="27" borderId="19" xfId="0" applyFont="1" applyFill="1" applyBorder="1" applyAlignment="1">
      <alignment horizontal="center"/>
    </xf>
    <xf numFmtId="0" fontId="34" fillId="27" borderId="12" xfId="0" applyFont="1" applyFill="1" applyBorder="1" applyAlignment="1">
      <alignment horizontal="center"/>
    </xf>
    <xf numFmtId="0" fontId="0" fillId="0" borderId="0" xfId="0"/>
    <xf numFmtId="0" fontId="23" fillId="0" borderId="12" xfId="55" applyFont="1" applyBorder="1"/>
    <xf numFmtId="0" fontId="0" fillId="0" borderId="0" xfId="0"/>
    <xf numFmtId="0" fontId="23" fillId="0" borderId="12" xfId="55" applyFont="1" applyFill="1" applyBorder="1" applyAlignment="1">
      <alignment horizontal="center"/>
    </xf>
    <xf numFmtId="0" fontId="23" fillId="0" borderId="12" xfId="55" applyFont="1" applyBorder="1" applyAlignment="1">
      <alignment horizontal="center"/>
    </xf>
    <xf numFmtId="3" fontId="26" fillId="0" borderId="0" xfId="0" applyNumberFormat="1" applyFont="1" applyBorder="1"/>
    <xf numFmtId="3" fontId="4" fillId="0" borderId="12" xfId="3" applyNumberFormat="1" applyFont="1" applyFill="1" applyBorder="1"/>
    <xf numFmtId="0" fontId="34" fillId="27" borderId="15" xfId="0" applyFont="1" applyFill="1" applyBorder="1" applyAlignment="1">
      <alignment horizontal="center"/>
    </xf>
    <xf numFmtId="0" fontId="34" fillId="27" borderId="12" xfId="0" applyFont="1" applyFill="1" applyBorder="1" applyAlignment="1">
      <alignment horizontal="right"/>
    </xf>
    <xf numFmtId="0" fontId="34" fillId="27" borderId="10" xfId="0" applyFont="1" applyFill="1" applyBorder="1" applyAlignment="1">
      <alignment horizontal="right"/>
    </xf>
    <xf numFmtId="0" fontId="34" fillId="27" borderId="10" xfId="0" applyFont="1" applyFill="1" applyBorder="1" applyAlignment="1">
      <alignment horizontal="right" wrapText="1"/>
    </xf>
    <xf numFmtId="165" fontId="26" fillId="0" borderId="0" xfId="0" applyNumberFormat="1" applyFont="1" applyFill="1" applyBorder="1"/>
    <xf numFmtId="170" fontId="26" fillId="0" borderId="0" xfId="0" applyNumberFormat="1" applyFont="1" applyFill="1" applyBorder="1" applyAlignment="1">
      <alignment horizontal="right"/>
    </xf>
    <xf numFmtId="0" fontId="2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167" fontId="26" fillId="0" borderId="0" xfId="0" applyNumberFormat="1" applyFont="1" applyFill="1" applyBorder="1" applyAlignment="1">
      <alignment horizontal="right"/>
    </xf>
    <xf numFmtId="0" fontId="26" fillId="0" borderId="0" xfId="0" applyFont="1" applyFill="1" applyBorder="1" applyAlignment="1">
      <alignment horizontal="right"/>
    </xf>
    <xf numFmtId="3" fontId="34" fillId="0" borderId="0" xfId="0" applyNumberFormat="1" applyFont="1" applyFill="1" applyBorder="1"/>
    <xf numFmtId="0" fontId="34" fillId="0" borderId="0" xfId="0" applyFont="1" applyFill="1" applyBorder="1"/>
    <xf numFmtId="166" fontId="4" fillId="0" borderId="0" xfId="3" applyNumberFormat="1" applyFill="1" applyBorder="1"/>
    <xf numFmtId="0" fontId="0" fillId="0" borderId="0" xfId="0" applyFill="1" applyBorder="1" applyAlignment="1"/>
    <xf numFmtId="166" fontId="4" fillId="0" borderId="0" xfId="3" applyNumberFormat="1" applyFont="1" applyFill="1" applyBorder="1"/>
    <xf numFmtId="42" fontId="3" fillId="0" borderId="0" xfId="0" applyNumberFormat="1" applyFont="1" applyFill="1"/>
    <xf numFmtId="42" fontId="0" fillId="0" borderId="0" xfId="0" applyNumberFormat="1" applyFont="1" applyFill="1"/>
    <xf numFmtId="42" fontId="22" fillId="0" borderId="0" xfId="0" applyNumberFormat="1" applyFont="1" applyFill="1"/>
    <xf numFmtId="42" fontId="3" fillId="0" borderId="0" xfId="0" applyNumberFormat="1" applyFont="1"/>
    <xf numFmtId="169" fontId="3" fillId="0" borderId="0" xfId="0" applyNumberFormat="1" applyFont="1" applyFill="1"/>
    <xf numFmtId="0" fontId="4" fillId="25" borderId="11" xfId="3" applyFill="1" applyBorder="1"/>
    <xf numFmtId="0" fontId="4" fillId="0" borderId="0" xfId="3" applyBorder="1"/>
    <xf numFmtId="0" fontId="4" fillId="0" borderId="0" xfId="3"/>
    <xf numFmtId="0" fontId="4" fillId="0" borderId="0" xfId="3" applyBorder="1" applyAlignment="1">
      <alignment horizontal="left"/>
    </xf>
    <xf numFmtId="0" fontId="4" fillId="0" borderId="0" xfId="3" applyFill="1" applyBorder="1" applyAlignment="1">
      <alignment horizontal="left"/>
    </xf>
    <xf numFmtId="0" fontId="4" fillId="24" borderId="0" xfId="3" applyFill="1" applyBorder="1" applyAlignment="1">
      <alignment horizontal="right"/>
    </xf>
    <xf numFmtId="0" fontId="30" fillId="0" borderId="0" xfId="3" applyFont="1" applyBorder="1"/>
    <xf numFmtId="0" fontId="4" fillId="26" borderId="12" xfId="3" applyFill="1" applyBorder="1"/>
    <xf numFmtId="0" fontId="4" fillId="0" borderId="0" xfId="3" applyFill="1" applyBorder="1"/>
    <xf numFmtId="166" fontId="4" fillId="0" borderId="0" xfId="3" applyNumberFormat="1"/>
    <xf numFmtId="3" fontId="4" fillId="0" borderId="0" xfId="3" applyNumberFormat="1"/>
    <xf numFmtId="3" fontId="4" fillId="0" borderId="0" xfId="3" applyNumberFormat="1" applyBorder="1"/>
    <xf numFmtId="165" fontId="3" fillId="0" borderId="18" xfId="0" applyNumberFormat="1" applyFont="1" applyBorder="1"/>
    <xf numFmtId="0" fontId="32" fillId="0" borderId="0" xfId="3" applyFont="1" applyBorder="1"/>
    <xf numFmtId="0" fontId="4" fillId="0" borderId="18" xfId="3" applyBorder="1"/>
    <xf numFmtId="0" fontId="33" fillId="0" borderId="0" xfId="3" applyFont="1" applyBorder="1"/>
    <xf numFmtId="0" fontId="4" fillId="0" borderId="17" xfId="3" applyBorder="1"/>
    <xf numFmtId="0" fontId="31" fillId="0" borderId="0" xfId="3" applyFont="1" applyBorder="1"/>
    <xf numFmtId="0" fontId="4" fillId="0" borderId="18" xfId="3" applyFont="1" applyFill="1" applyBorder="1"/>
    <xf numFmtId="0" fontId="4" fillId="0" borderId="11" xfId="3" applyFill="1" applyBorder="1"/>
    <xf numFmtId="0" fontId="4" fillId="0" borderId="11" xfId="3" applyBorder="1"/>
    <xf numFmtId="3" fontId="4" fillId="0" borderId="12" xfId="3" applyNumberFormat="1" applyBorder="1"/>
    <xf numFmtId="0" fontId="32" fillId="0" borderId="0" xfId="3" applyFont="1" applyFill="1" applyBorder="1"/>
    <xf numFmtId="0" fontId="4" fillId="0" borderId="15" xfId="3" applyBorder="1" applyAlignment="1">
      <alignment horizontal="left"/>
    </xf>
    <xf numFmtId="0" fontId="4" fillId="0" borderId="15" xfId="3" applyBorder="1"/>
    <xf numFmtId="0" fontId="4" fillId="0" borderId="19" xfId="3" applyBorder="1" applyAlignment="1">
      <alignment horizontal="left"/>
    </xf>
    <xf numFmtId="0" fontId="4" fillId="0" borderId="19" xfId="3" applyBorder="1"/>
    <xf numFmtId="172" fontId="4" fillId="26" borderId="12" xfId="3" applyNumberFormat="1" applyFill="1" applyBorder="1"/>
    <xf numFmtId="167" fontId="4" fillId="26" borderId="12" xfId="3" applyNumberFormat="1" applyFont="1" applyFill="1" applyBorder="1"/>
    <xf numFmtId="0" fontId="0" fillId="0" borderId="0" xfId="0" applyFill="1" applyBorder="1" applyAlignment="1">
      <alignment horizontal="right"/>
    </xf>
    <xf numFmtId="0" fontId="34" fillId="0" borderId="0" xfId="0" applyFont="1" applyFill="1" applyBorder="1" applyAlignment="1">
      <alignment horizontal="center"/>
    </xf>
    <xf numFmtId="0" fontId="24" fillId="0" borderId="0" xfId="0" applyFont="1" applyFill="1" applyBorder="1"/>
    <xf numFmtId="0" fontId="4" fillId="0" borderId="0" xfId="0" applyFont="1" applyFill="1" applyBorder="1" applyAlignment="1">
      <alignment horizontal="right"/>
    </xf>
    <xf numFmtId="167" fontId="4" fillId="26" borderId="12" xfId="3" applyNumberFormat="1" applyFill="1" applyBorder="1"/>
    <xf numFmtId="9" fontId="26" fillId="0" borderId="0" xfId="0" applyNumberFormat="1" applyFont="1" applyFill="1" applyBorder="1"/>
    <xf numFmtId="166" fontId="4" fillId="0" borderId="0" xfId="3" applyNumberFormat="1" applyFont="1" applyFill="1" applyBorder="1" applyAlignment="1">
      <alignment horizontal="right"/>
    </xf>
    <xf numFmtId="9" fontId="4" fillId="0" borderId="0" xfId="3" applyNumberFormat="1" applyFill="1" applyBorder="1"/>
    <xf numFmtId="3" fontId="34" fillId="0" borderId="0" xfId="0" applyNumberFormat="1" applyFont="1" applyFill="1" applyBorder="1" applyAlignment="1">
      <alignment horizontal="right"/>
    </xf>
    <xf numFmtId="10" fontId="4" fillId="0" borderId="0" xfId="3" applyNumberFormat="1" applyFill="1" applyBorder="1"/>
    <xf numFmtId="10" fontId="4" fillId="26" borderId="12" xfId="3" applyNumberFormat="1" applyFont="1" applyFill="1" applyBorder="1"/>
    <xf numFmtId="42" fontId="0" fillId="0" borderId="0" xfId="0" applyNumberFormat="1" applyFill="1"/>
    <xf numFmtId="1" fontId="34" fillId="0" borderId="0" xfId="0" applyNumberFormat="1" applyFont="1" applyFill="1" applyBorder="1"/>
    <xf numFmtId="167" fontId="26" fillId="0" borderId="0" xfId="0" applyNumberFormat="1" applyFont="1" applyFill="1" applyBorder="1"/>
    <xf numFmtId="170" fontId="26" fillId="0" borderId="0" xfId="0" applyNumberFormat="1" applyFont="1" applyFill="1" applyBorder="1"/>
    <xf numFmtId="0" fontId="3" fillId="0" borderId="0" xfId="0" applyFont="1" applyFill="1" applyBorder="1" applyAlignment="1">
      <alignment horizontal="right" wrapText="1"/>
    </xf>
    <xf numFmtId="10" fontId="26" fillId="26" borderId="12" xfId="41" applyNumberFormat="1" applyFont="1" applyFill="1" applyBorder="1"/>
    <xf numFmtId="0" fontId="4" fillId="0" borderId="0" xfId="3" applyBorder="1"/>
    <xf numFmtId="0" fontId="4" fillId="0" borderId="0" xfId="3"/>
    <xf numFmtId="166" fontId="4" fillId="0" borderId="0" xfId="3" applyNumberFormat="1" applyFill="1" applyBorder="1"/>
    <xf numFmtId="0" fontId="4" fillId="26" borderId="12" xfId="3" applyFill="1" applyBorder="1"/>
    <xf numFmtId="172" fontId="4" fillId="0" borderId="0" xfId="3" applyNumberFormat="1" applyFill="1" applyBorder="1"/>
    <xf numFmtId="0" fontId="34" fillId="0" borderId="0" xfId="0" applyFont="1" applyFill="1" applyBorder="1" applyAlignment="1">
      <alignment horizontal="right"/>
    </xf>
    <xf numFmtId="0" fontId="4" fillId="25" borderId="11" xfId="3" applyFill="1" applyBorder="1"/>
    <xf numFmtId="0" fontId="4" fillId="0" borderId="0" xfId="3" applyBorder="1"/>
    <xf numFmtId="0" fontId="4" fillId="0" borderId="0" xfId="3"/>
    <xf numFmtId="0" fontId="4" fillId="0" borderId="0" xfId="3" applyFill="1" applyBorder="1"/>
    <xf numFmtId="172" fontId="4" fillId="0" borderId="0" xfId="3" applyNumberFormat="1" applyFill="1" applyBorder="1"/>
    <xf numFmtId="0" fontId="4" fillId="0" borderId="0" xfId="3" applyFill="1" applyBorder="1"/>
    <xf numFmtId="9" fontId="4" fillId="0" borderId="0" xfId="3" applyNumberFormat="1" applyFont="1" applyFill="1" applyBorder="1"/>
    <xf numFmtId="0" fontId="0" fillId="0" borderId="0" xfId="0" applyFill="1" applyBorder="1"/>
    <xf numFmtId="0" fontId="26" fillId="0" borderId="0" xfId="0" applyFont="1" applyFill="1" applyBorder="1"/>
    <xf numFmtId="168" fontId="0" fillId="0" borderId="0" xfId="0" applyNumberFormat="1" applyFill="1" applyBorder="1"/>
    <xf numFmtId="42" fontId="3" fillId="0" borderId="18" xfId="0" applyNumberFormat="1" applyFont="1" applyFill="1" applyBorder="1"/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44" fontId="3" fillId="0" borderId="0" xfId="0" applyNumberFormat="1" applyFont="1" applyFill="1"/>
    <xf numFmtId="167" fontId="3" fillId="0" borderId="18" xfId="0" applyNumberFormat="1" applyFont="1" applyFill="1" applyBorder="1"/>
    <xf numFmtId="42" fontId="3" fillId="0" borderId="18" xfId="0" applyNumberFormat="1" applyFont="1" applyBorder="1"/>
    <xf numFmtId="168" fontId="26" fillId="0" borderId="12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4" fontId="23" fillId="0" borderId="12" xfId="55" applyNumberFormat="1" applyFont="1" applyBorder="1" applyAlignment="1">
      <alignment horizontal="center"/>
    </xf>
    <xf numFmtId="170" fontId="4" fillId="0" borderId="12" xfId="55" applyNumberFormat="1" applyFill="1" applyBorder="1"/>
    <xf numFmtId="0" fontId="4" fillId="0" borderId="12" xfId="55" applyFill="1" applyBorder="1"/>
    <xf numFmtId="9" fontId="4" fillId="0" borderId="12" xfId="2" applyBorder="1"/>
    <xf numFmtId="0" fontId="26" fillId="27" borderId="15" xfId="0" applyFont="1" applyFill="1" applyBorder="1" applyAlignment="1">
      <alignment horizontal="center"/>
    </xf>
    <xf numFmtId="0" fontId="26" fillId="27" borderId="19" xfId="0" applyFont="1" applyFill="1" applyBorder="1" applyAlignment="1">
      <alignment horizontal="center"/>
    </xf>
    <xf numFmtId="0" fontId="34" fillId="27" borderId="10" xfId="0" applyFont="1" applyFill="1" applyBorder="1" applyAlignment="1">
      <alignment horizontal="center"/>
    </xf>
    <xf numFmtId="0" fontId="34" fillId="27" borderId="13" xfId="0" applyFont="1" applyFill="1" applyBorder="1" applyAlignment="1">
      <alignment horizontal="center"/>
    </xf>
    <xf numFmtId="0" fontId="34" fillId="27" borderId="15" xfId="0" applyFont="1" applyFill="1" applyBorder="1" applyAlignment="1">
      <alignment horizontal="center"/>
    </xf>
    <xf numFmtId="0" fontId="34" fillId="27" borderId="19" xfId="0" applyFont="1" applyFill="1" applyBorder="1" applyAlignment="1">
      <alignment horizontal="center"/>
    </xf>
    <xf numFmtId="0" fontId="34" fillId="27" borderId="20" xfId="0" applyFont="1" applyFill="1" applyBorder="1" applyAlignment="1">
      <alignment horizontal="center"/>
    </xf>
    <xf numFmtId="0" fontId="34" fillId="27" borderId="14" xfId="0" applyFont="1" applyFill="1" applyBorder="1" applyAlignment="1">
      <alignment horizontal="center"/>
    </xf>
    <xf numFmtId="0" fontId="23" fillId="0" borderId="10" xfId="55" applyFont="1" applyFill="1" applyBorder="1" applyAlignment="1">
      <alignment horizontal="center"/>
    </xf>
    <xf numFmtId="0" fontId="23" fillId="0" borderId="13" xfId="55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49">
    <cellStyle name="20% - Accent1 2" xfId="5"/>
    <cellStyle name="20% - Accent1 3" xfId="56"/>
    <cellStyle name="20% - Accent2 2" xfId="6"/>
    <cellStyle name="20% - Accent2 3" xfId="57"/>
    <cellStyle name="20% - Accent3 2" xfId="7"/>
    <cellStyle name="20% - Accent3 3" xfId="58"/>
    <cellStyle name="20% - Accent4 2" xfId="8"/>
    <cellStyle name="20% - Accent4 3" xfId="59"/>
    <cellStyle name="20% - Accent5 2" xfId="9"/>
    <cellStyle name="20% - Accent5 3" xfId="60"/>
    <cellStyle name="20% - Accent6 2" xfId="10"/>
    <cellStyle name="20% - Accent6 3" xfId="61"/>
    <cellStyle name="40% - Accent1 2" xfId="11"/>
    <cellStyle name="40% - Accent1 3" xfId="62"/>
    <cellStyle name="40% - Accent2 2" xfId="12"/>
    <cellStyle name="40% - Accent2 3" xfId="63"/>
    <cellStyle name="40% - Accent3 2" xfId="13"/>
    <cellStyle name="40% - Accent3 3" xfId="64"/>
    <cellStyle name="40% - Accent4 2" xfId="14"/>
    <cellStyle name="40% - Accent4 3" xfId="65"/>
    <cellStyle name="40% - Accent5 2" xfId="15"/>
    <cellStyle name="40% - Accent5 3" xfId="66"/>
    <cellStyle name="40% - Accent6 2" xfId="16"/>
    <cellStyle name="40% - Accent6 3" xfId="67"/>
    <cellStyle name="60% - Accent1 2" xfId="17"/>
    <cellStyle name="60% - Accent1 3" xfId="68"/>
    <cellStyle name="60% - Accent2 2" xfId="18"/>
    <cellStyle name="60% - Accent2 3" xfId="69"/>
    <cellStyle name="60% - Accent3 2" xfId="19"/>
    <cellStyle name="60% - Accent3 3" xfId="70"/>
    <cellStyle name="60% - Accent4 2" xfId="20"/>
    <cellStyle name="60% - Accent4 3" xfId="71"/>
    <cellStyle name="60% - Accent5 2" xfId="21"/>
    <cellStyle name="60% - Accent5 3" xfId="72"/>
    <cellStyle name="60% - Accent6 2" xfId="22"/>
    <cellStyle name="60% - Accent6 3" xfId="73"/>
    <cellStyle name="Accent1 2" xfId="23"/>
    <cellStyle name="Accent1 3" xfId="74"/>
    <cellStyle name="Accent2 2" xfId="24"/>
    <cellStyle name="Accent2 3" xfId="75"/>
    <cellStyle name="Accent3 2" xfId="25"/>
    <cellStyle name="Accent3 3" xfId="76"/>
    <cellStyle name="Accent4 2" xfId="26"/>
    <cellStyle name="Accent4 3" xfId="77"/>
    <cellStyle name="Accent5 2" xfId="27"/>
    <cellStyle name="Accent5 3" xfId="78"/>
    <cellStyle name="Accent6 2" xfId="28"/>
    <cellStyle name="Accent6 3" xfId="79"/>
    <cellStyle name="Bad 2" xfId="29"/>
    <cellStyle name="Bad 3" xfId="80"/>
    <cellStyle name="Calculation 2" xfId="30"/>
    <cellStyle name="Calculation 2 2" xfId="81"/>
    <cellStyle name="Calculation 3" xfId="82"/>
    <cellStyle name="Calculation 3 2" xfId="83"/>
    <cellStyle name="Check Cell 2" xfId="31"/>
    <cellStyle name="Check Cell 3" xfId="84"/>
    <cellStyle name="Comma 2" xfId="4"/>
    <cellStyle name="Comma 2 2" xfId="85"/>
    <cellStyle name="Comma 3" xfId="86"/>
    <cellStyle name="Currency 2" xfId="87"/>
    <cellStyle name="Explanatory Text 2" xfId="32"/>
    <cellStyle name="Explanatory Text 3" xfId="88"/>
    <cellStyle name="Good 2" xfId="33"/>
    <cellStyle name="Good 3" xfId="89"/>
    <cellStyle name="Heading 1 2" xfId="34"/>
    <cellStyle name="Heading 1 3" xfId="90"/>
    <cellStyle name="Heading 2 2" xfId="35"/>
    <cellStyle name="Heading 2 3" xfId="91"/>
    <cellStyle name="Heading 3 2" xfId="36"/>
    <cellStyle name="Heading 3 3" xfId="92"/>
    <cellStyle name="Heading 4 2" xfId="37"/>
    <cellStyle name="Heading 4 3" xfId="93"/>
    <cellStyle name="Hyperlink" xfId="133" builtinId="8"/>
    <cellStyle name="Hyperlink 2" xfId="134"/>
    <cellStyle name="Input 2" xfId="38"/>
    <cellStyle name="Input 2 2" xfId="94"/>
    <cellStyle name="Input 3" xfId="95"/>
    <cellStyle name="Input 3 2" xfId="96"/>
    <cellStyle name="Linked Cell 2" xfId="39"/>
    <cellStyle name="Linked Cell 3" xfId="97"/>
    <cellStyle name="Neutral 2" xfId="40"/>
    <cellStyle name="Neutral 3" xfId="98"/>
    <cellStyle name="Normal" xfId="0" builtinId="0"/>
    <cellStyle name="Normal 10" xfId="55"/>
    <cellStyle name="Normal 100" xfId="135"/>
    <cellStyle name="Normal 103" xfId="136"/>
    <cellStyle name="Normal 11" xfId="99"/>
    <cellStyle name="Normal 11 2" xfId="100"/>
    <cellStyle name="Normal 11 3" xfId="101"/>
    <cellStyle name="Normal 12" xfId="102"/>
    <cellStyle name="Normal 2" xfId="1"/>
    <cellStyle name="Normal 2 2" xfId="54"/>
    <cellStyle name="Normal 2 2 2" xfId="127"/>
    <cellStyle name="Normal 2 2 3" xfId="148"/>
    <cellStyle name="Normal 2 3" xfId="53"/>
    <cellStyle name="Normal 3" xfId="3"/>
    <cellStyle name="Normal 3 2" xfId="103"/>
    <cellStyle name="Normal 4" xfId="41"/>
    <cellStyle name="Normal 4 2" xfId="49"/>
    <cellStyle name="Normal 4 2 2" xfId="104"/>
    <cellStyle name="Normal 4 2 3" xfId="130"/>
    <cellStyle name="Normal 4 3" xfId="105"/>
    <cellStyle name="Normal 4 4" xfId="128"/>
    <cellStyle name="Normal 4_Energy Model" xfId="50"/>
    <cellStyle name="Normal 5" xfId="51"/>
    <cellStyle name="Normal 5 2" xfId="106"/>
    <cellStyle name="Normal 5 3" xfId="131"/>
    <cellStyle name="Normal 6" xfId="107"/>
    <cellStyle name="Normal 6 2" xfId="137"/>
    <cellStyle name="Normal 6 3" xfId="138"/>
    <cellStyle name="Normal 7" xfId="108"/>
    <cellStyle name="Normal 8" xfId="109"/>
    <cellStyle name="Normal 9" xfId="110"/>
    <cellStyle name="Note 2" xfId="42"/>
    <cellStyle name="Note 2 2" xfId="111"/>
    <cellStyle name="Note 3" xfId="112"/>
    <cellStyle name="Note 3 2" xfId="113"/>
    <cellStyle name="Output 2" xfId="43"/>
    <cellStyle name="Output 2 2" xfId="114"/>
    <cellStyle name="Output 3" xfId="115"/>
    <cellStyle name="Output 3 2" xfId="116"/>
    <cellStyle name="Percent 2" xfId="2"/>
    <cellStyle name="Percent 2 2" xfId="117"/>
    <cellStyle name="Percent 2 3" xfId="139"/>
    <cellStyle name="Percent 3" xfId="44"/>
    <cellStyle name="Percent 3 2" xfId="118"/>
    <cellStyle name="Percent 4" xfId="45"/>
    <cellStyle name="Percent 4 2" xfId="52"/>
    <cellStyle name="Percent 4 2 2" xfId="119"/>
    <cellStyle name="Percent 4 2 3" xfId="132"/>
    <cellStyle name="Percent 4 3" xfId="120"/>
    <cellStyle name="Percent 4 4" xfId="129"/>
    <cellStyle name="Percent 5" xfId="121"/>
    <cellStyle name="Style 1" xfId="140"/>
    <cellStyle name="Style 1 2" xfId="141"/>
    <cellStyle name="Style 1 2 2" xfId="142"/>
    <cellStyle name="Style 1 3" xfId="143"/>
    <cellStyle name="Style 1 3 2" xfId="144"/>
    <cellStyle name="Style 1 3 3" xfId="145"/>
    <cellStyle name="Style 1 4" xfId="146"/>
    <cellStyle name="Style 1 5" xfId="147"/>
    <cellStyle name="Title 2" xfId="46"/>
    <cellStyle name="Title 3" xfId="122"/>
    <cellStyle name="Total 2" xfId="47"/>
    <cellStyle name="Total 2 2" xfId="123"/>
    <cellStyle name="Total 3" xfId="124"/>
    <cellStyle name="Total 3 2" xfId="125"/>
    <cellStyle name="Warning Text 2" xfId="48"/>
    <cellStyle name="Warning Text 3" xfId="126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'Report Tables'!$A$7</c:f>
              <c:strCache>
                <c:ptCount val="1"/>
                <c:pt idx="0">
                  <c:v>Development</c:v>
                </c:pt>
              </c:strCache>
            </c:strRef>
          </c:tx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Tables'!$B$7:$E$7</c:f>
              <c:numCache>
                <c:formatCode>"$"#,##0</c:formatCode>
                <c:ptCount val="4"/>
                <c:pt idx="0">
                  <c:v>5036</c:v>
                </c:pt>
                <c:pt idx="1">
                  <c:v>7629</c:v>
                </c:pt>
                <c:pt idx="2">
                  <c:v>9908</c:v>
                </c:pt>
                <c:pt idx="3">
                  <c:v>11155</c:v>
                </c:pt>
              </c:numCache>
            </c:numRef>
          </c:val>
        </c:ser>
        <c:ser>
          <c:idx val="1"/>
          <c:order val="1"/>
          <c:tx>
            <c:strRef>
              <c:f>'Report Tables'!$A$8</c:f>
              <c:strCache>
                <c:ptCount val="1"/>
                <c:pt idx="0">
                  <c:v>Infrastructure</c:v>
                </c:pt>
              </c:strCache>
            </c:strRef>
          </c:tx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Tables'!$B$8:$E$8</c:f>
              <c:numCache>
                <c:formatCode>"$"#,##0</c:formatCode>
                <c:ptCount val="4"/>
                <c:pt idx="0">
                  <c:v>14494</c:v>
                </c:pt>
                <c:pt idx="1">
                  <c:v>14627</c:v>
                </c:pt>
                <c:pt idx="2">
                  <c:v>15269</c:v>
                </c:pt>
                <c:pt idx="3">
                  <c:v>16045</c:v>
                </c:pt>
              </c:numCache>
            </c:numRef>
          </c:val>
        </c:ser>
        <c:ser>
          <c:idx val="3"/>
          <c:order val="2"/>
          <c:tx>
            <c:strRef>
              <c:f>'Report Tables'!$A$9</c:f>
              <c:strCache>
                <c:ptCount val="1"/>
                <c:pt idx="0">
                  <c:v>Mooring/Foundation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Tables'!$B$9:$E$9</c:f>
              <c:numCache>
                <c:formatCode>"$"#,##0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3"/>
          <c:tx>
            <c:strRef>
              <c:f>'Report Tables'!$A$10</c:f>
              <c:strCache>
                <c:ptCount val="1"/>
                <c:pt idx="0">
                  <c:v>Device Structural Components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Tables'!$B$10:$E$10</c:f>
              <c:numCache>
                <c:formatCode>"$"#,##0</c:formatCode>
                <c:ptCount val="4"/>
                <c:pt idx="0">
                  <c:v>1275</c:v>
                </c:pt>
                <c:pt idx="1">
                  <c:v>8800</c:v>
                </c:pt>
                <c:pt idx="2">
                  <c:v>38474</c:v>
                </c:pt>
                <c:pt idx="3">
                  <c:v>74316</c:v>
                </c:pt>
              </c:numCache>
            </c:numRef>
          </c:val>
        </c:ser>
        <c:ser>
          <c:idx val="5"/>
          <c:order val="4"/>
          <c:tx>
            <c:strRef>
              <c:f>'Report Tables'!$A$11</c:f>
              <c:strCache>
                <c:ptCount val="1"/>
                <c:pt idx="0">
                  <c:v>Power Take Off</c:v>
                </c:pt>
              </c:strCache>
            </c:strRef>
          </c:tx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Tables'!$B$11:$E$11</c:f>
              <c:numCache>
                <c:formatCode>"$"#,##0</c:formatCode>
                <c:ptCount val="4"/>
                <c:pt idx="0">
                  <c:v>1908</c:v>
                </c:pt>
                <c:pt idx="1">
                  <c:v>16785</c:v>
                </c:pt>
                <c:pt idx="2">
                  <c:v>77144</c:v>
                </c:pt>
                <c:pt idx="3">
                  <c:v>156571</c:v>
                </c:pt>
              </c:numCache>
            </c:numRef>
          </c:val>
        </c:ser>
        <c:ser>
          <c:idx val="2"/>
          <c:order val="5"/>
          <c:tx>
            <c:strRef>
              <c:f>'Report Tables'!$A$12</c:f>
              <c:strCache>
                <c:ptCount val="1"/>
                <c:pt idx="0">
                  <c:v>Subsystem Integration &amp; Profit Margin</c:v>
                </c:pt>
              </c:strCache>
            </c:strRef>
          </c:tx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Tables'!$B$12:$E$12</c:f>
              <c:numCache>
                <c:formatCode>"$"#,##0</c:formatCode>
                <c:ptCount val="4"/>
                <c:pt idx="0">
                  <c:v>318</c:v>
                </c:pt>
                <c:pt idx="1">
                  <c:v>2559</c:v>
                </c:pt>
                <c:pt idx="2">
                  <c:v>11562</c:v>
                </c:pt>
                <c:pt idx="3">
                  <c:v>23089</c:v>
                </c:pt>
              </c:numCache>
            </c:numRef>
          </c:val>
        </c:ser>
        <c:ser>
          <c:idx val="6"/>
          <c:order val="6"/>
          <c:tx>
            <c:strRef>
              <c:f>'Report Tables'!$A$13</c:f>
              <c:strCache>
                <c:ptCount val="1"/>
                <c:pt idx="0">
                  <c:v>Installation</c:v>
                </c:pt>
              </c:strCache>
            </c:strRef>
          </c:tx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Tables'!$B$13:$E$13</c:f>
              <c:numCache>
                <c:formatCode>"$"#,##0</c:formatCode>
                <c:ptCount val="4"/>
                <c:pt idx="0">
                  <c:v>9297</c:v>
                </c:pt>
                <c:pt idx="1">
                  <c:v>12344</c:v>
                </c:pt>
                <c:pt idx="2">
                  <c:v>26212</c:v>
                </c:pt>
                <c:pt idx="3">
                  <c:v>40164</c:v>
                </c:pt>
              </c:numCache>
            </c:numRef>
          </c:val>
        </c:ser>
        <c:ser>
          <c:idx val="7"/>
          <c:order val="7"/>
          <c:tx>
            <c:strRef>
              <c:f>'Report Tables'!$A$14</c:f>
              <c:strCache>
                <c:ptCount val="1"/>
                <c:pt idx="0">
                  <c:v>Contingency</c:v>
                </c:pt>
              </c:strCache>
            </c:strRef>
          </c:tx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Tables'!$B$14:$E$14</c:f>
              <c:numCache>
                <c:formatCode>"$"#,##0</c:formatCode>
                <c:ptCount val="4"/>
                <c:pt idx="0">
                  <c:v>3233</c:v>
                </c:pt>
                <c:pt idx="1">
                  <c:v>6274</c:v>
                </c:pt>
                <c:pt idx="2">
                  <c:v>17857</c:v>
                </c:pt>
                <c:pt idx="3">
                  <c:v>32134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440384"/>
        <c:axId val="83442304"/>
      </c:barChart>
      <c:catAx>
        <c:axId val="8344038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# of Units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83442304"/>
        <c:crosses val="autoZero"/>
        <c:auto val="1"/>
        <c:lblAlgn val="ctr"/>
        <c:lblOffset val="100"/>
        <c:noMultiLvlLbl val="0"/>
      </c:catAx>
      <c:valAx>
        <c:axId val="8344230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strRef>
              <c:f>'Report Tables'!$A$4</c:f>
              <c:strCache>
                <c:ptCount val="1"/>
                <c:pt idx="0">
                  <c:v>Total Cost in Thousands ($)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&quot;$&quot;#,##0" sourceLinked="1"/>
        <c:majorTickMark val="out"/>
        <c:minorTickMark val="none"/>
        <c:tickLblPos val="nextTo"/>
        <c:crossAx val="8344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006862006326881E-2"/>
          <c:y val="3.7855439125480686E-2"/>
          <c:w val="0.85855879665527246"/>
          <c:h val="0.81786333241008191"/>
        </c:manualLayout>
      </c:layout>
      <c:scatterChart>
        <c:scatterStyle val="smoothMarker"/>
        <c:varyColors val="0"/>
        <c:ser>
          <c:idx val="0"/>
          <c:order val="0"/>
          <c:spPr>
            <a:ln w="31750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'Report Graphs'!$B$219:$U$219</c:f>
              <c:numCache>
                <c:formatCode>General</c:formatCode>
                <c:ptCount val="20"/>
                <c:pt idx="0" formatCode="#,##0.0">
                  <c:v>11.603549803295945</c:v>
                </c:pt>
                <c:pt idx="1">
                  <c:v>12.489969217365072</c:v>
                </c:pt>
                <c:pt idx="2">
                  <c:v>13.3763886314342</c:v>
                </c:pt>
                <c:pt idx="3">
                  <c:v>14.262808045503327</c:v>
                </c:pt>
                <c:pt idx="4">
                  <c:v>15.149227459572455</c:v>
                </c:pt>
                <c:pt idx="5">
                  <c:v>16.035646873641582</c:v>
                </c:pt>
                <c:pt idx="6">
                  <c:v>16.92206628771071</c:v>
                </c:pt>
                <c:pt idx="7">
                  <c:v>17.808485701779837</c:v>
                </c:pt>
                <c:pt idx="8">
                  <c:v>18.694905115848965</c:v>
                </c:pt>
                <c:pt idx="9">
                  <c:v>19.581324529918092</c:v>
                </c:pt>
                <c:pt idx="10">
                  <c:v>20.46774394398722</c:v>
                </c:pt>
                <c:pt idx="11">
                  <c:v>21.354163358056347</c:v>
                </c:pt>
                <c:pt idx="12">
                  <c:v>22.240582772125475</c:v>
                </c:pt>
                <c:pt idx="13">
                  <c:v>23.127002186194602</c:v>
                </c:pt>
                <c:pt idx="14">
                  <c:v>24.01342160026373</c:v>
                </c:pt>
                <c:pt idx="15">
                  <c:v>24.899841014332857</c:v>
                </c:pt>
                <c:pt idx="16">
                  <c:v>25.786260428401985</c:v>
                </c:pt>
                <c:pt idx="17">
                  <c:v>26.672679842471112</c:v>
                </c:pt>
                <c:pt idx="18">
                  <c:v>27.55909925654024</c:v>
                </c:pt>
                <c:pt idx="19">
                  <c:v>28.44551867060936</c:v>
                </c:pt>
              </c:numCache>
            </c:numRef>
          </c:xVal>
          <c:yVal>
            <c:numRef>
              <c:f>'Report Graphs'!$B$220:$U$220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4.0000000000000002E-4</c:v>
                </c:pt>
                <c:pt idx="4">
                  <c:v>1.1599999999999999E-2</c:v>
                </c:pt>
                <c:pt idx="5">
                  <c:v>7.5800000000000006E-2</c:v>
                </c:pt>
                <c:pt idx="6">
                  <c:v>0.21079999999999999</c:v>
                </c:pt>
                <c:pt idx="7">
                  <c:v>0.39879999999999999</c:v>
                </c:pt>
                <c:pt idx="8">
                  <c:v>0.59840000000000004</c:v>
                </c:pt>
                <c:pt idx="9">
                  <c:v>0.76200000000000001</c:v>
                </c:pt>
                <c:pt idx="10">
                  <c:v>0.87780000000000002</c:v>
                </c:pt>
                <c:pt idx="11">
                  <c:v>0.94820000000000004</c:v>
                </c:pt>
                <c:pt idx="12">
                  <c:v>0.98419999999999996</c:v>
                </c:pt>
                <c:pt idx="13">
                  <c:v>0.99739999999999995</c:v>
                </c:pt>
                <c:pt idx="14">
                  <c:v>0.99960000000000004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spPr>
            <a:ln>
              <a:prstDash val="dash"/>
            </a:ln>
          </c:spPr>
          <c:marker>
            <c:symbol val="none"/>
          </c:marker>
          <c:xVal>
            <c:numRef>
              <c:f>('Report Graphs'!$B$224,'Report Graphs'!$B$224)</c:f>
              <c:numCache>
                <c:formatCode>#,##0.00</c:formatCode>
                <c:ptCount val="2"/>
                <c:pt idx="0">
                  <c:v>16.194545745849609</c:v>
                </c:pt>
                <c:pt idx="1">
                  <c:v>16.194545745849609</c:v>
                </c:pt>
              </c:numCache>
            </c:numRef>
          </c:xVal>
          <c:yVal>
            <c:numRef>
              <c:f>('Report Graphs'!$B$220,'Report Graphs'!$U$220)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ser>
          <c:idx val="2"/>
          <c:order val="2"/>
          <c:spPr>
            <a:ln>
              <a:prstDash val="dash"/>
            </a:ln>
          </c:spPr>
          <c:marker>
            <c:symbol val="none"/>
          </c:marker>
          <c:xVal>
            <c:numRef>
              <c:f>('Report Graphs'!$B$226,'Report Graphs'!$B$226)</c:f>
              <c:numCache>
                <c:formatCode>#,##0.00</c:formatCode>
                <c:ptCount val="2"/>
                <c:pt idx="0">
                  <c:v>20.747268676757813</c:v>
                </c:pt>
                <c:pt idx="1">
                  <c:v>20.747268676757813</c:v>
                </c:pt>
              </c:numCache>
            </c:numRef>
          </c:xVal>
          <c:yVal>
            <c:numRef>
              <c:f>('Report Graphs'!$B$220,'Report Graphs'!$U$220)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4352"/>
        <c:axId val="55526528"/>
      </c:scatterChart>
      <c:valAx>
        <c:axId val="55524352"/>
        <c:scaling>
          <c:orientation val="minMax"/>
          <c:min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of Electricity (cents / kWh)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26528"/>
        <c:crosses val="autoZero"/>
        <c:crossBetween val="midCat"/>
      </c:valAx>
      <c:valAx>
        <c:axId val="55526528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 Probability</a:t>
                </a:r>
              </a:p>
            </c:rich>
          </c:tx>
          <c:layout>
            <c:manualLayout>
              <c:xMode val="edge"/>
              <c:yMode val="edge"/>
              <c:x val="1.4563033989683331E-2"/>
              <c:y val="0.2634202508606022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24352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'Report Tables'!$A$92</c:f>
              <c:strCache>
                <c:ptCount val="1"/>
                <c:pt idx="0">
                  <c:v>Device</c:v>
                </c:pt>
              </c:strCache>
            </c:strRef>
          </c:tx>
          <c:invertIfNegative val="0"/>
          <c:cat>
            <c:numRef>
              <c:f>'Report Graphs'!$C$2:$E$2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('Report Tables'!$B$92,'Report Tables'!$D$92,'Report Tables'!$F$92)</c:f>
              <c:numCache>
                <c:formatCode>0.0</c:formatCode>
                <c:ptCount val="3"/>
                <c:pt idx="0">
                  <c:v>11.617888049425753</c:v>
                </c:pt>
                <c:pt idx="1">
                  <c:v>10.500004712227167</c:v>
                </c:pt>
                <c:pt idx="2">
                  <c:v>10.484134714042654</c:v>
                </c:pt>
              </c:numCache>
            </c:numRef>
          </c:val>
        </c:ser>
        <c:ser>
          <c:idx val="1"/>
          <c:order val="1"/>
          <c:tx>
            <c:strRef>
              <c:f>'Report Tables'!$A$93</c:f>
              <c:strCache>
                <c:ptCount val="1"/>
                <c:pt idx="0">
                  <c:v>Infrastructure</c:v>
                </c:pt>
              </c:strCache>
            </c:strRef>
          </c:tx>
          <c:invertIfNegative val="0"/>
          <c:cat>
            <c:numRef>
              <c:f>'Report Graphs'!$C$2:$E$2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('Report Tables'!$B$93,'Report Tables'!$D$93,'Report Tables'!$F$93)</c:f>
              <c:numCache>
                <c:formatCode>0.0</c:formatCode>
                <c:ptCount val="3"/>
                <c:pt idx="0">
                  <c:v>6.0380058844208566</c:v>
                </c:pt>
                <c:pt idx="1">
                  <c:v>1.2606344193521384</c:v>
                </c:pt>
                <c:pt idx="2">
                  <c:v>0.66233728060012476</c:v>
                </c:pt>
              </c:numCache>
            </c:numRef>
          </c:val>
        </c:ser>
        <c:ser>
          <c:idx val="3"/>
          <c:order val="2"/>
          <c:tx>
            <c:strRef>
              <c:f>'Report Tables'!$A$94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'Report Graphs'!$C$2:$E$2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('Report Tables'!$B$94,'Report Tables'!$D$94,'Report Tables'!$F$94)</c:f>
              <c:numCache>
                <c:formatCode>0.0</c:formatCode>
                <c:ptCount val="3"/>
                <c:pt idx="0">
                  <c:v>3.1492809259130765</c:v>
                </c:pt>
                <c:pt idx="1">
                  <c:v>0.81799784382687191</c:v>
                </c:pt>
                <c:pt idx="2">
                  <c:v>0.46049668307939251</c:v>
                </c:pt>
              </c:numCache>
            </c:numRef>
          </c:val>
        </c:ser>
        <c:ser>
          <c:idx val="4"/>
          <c:order val="3"/>
          <c:tx>
            <c:strRef>
              <c:f>'Report Tables'!$A$95</c:f>
              <c:strCache>
                <c:ptCount val="1"/>
                <c:pt idx="0">
                  <c:v>Installation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'Report Graphs'!$C$2:$E$2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('Report Tables'!$B$95,'Report Tables'!$D$95,'Report Tables'!$F$95)</c:f>
              <c:numCache>
                <c:formatCode>0.0</c:formatCode>
                <c:ptCount val="3"/>
                <c:pt idx="0">
                  <c:v>5.0957718433998105</c:v>
                </c:pt>
                <c:pt idx="1">
                  <c:v>2.1640431341152722</c:v>
                </c:pt>
                <c:pt idx="2">
                  <c:v>1.6579878743534766</c:v>
                </c:pt>
              </c:numCache>
            </c:numRef>
          </c:val>
        </c:ser>
        <c:ser>
          <c:idx val="5"/>
          <c:order val="4"/>
          <c:tx>
            <c:strRef>
              <c:f>'Report Tables'!$A$96</c:f>
              <c:strCache>
                <c:ptCount val="1"/>
                <c:pt idx="0">
                  <c:v>Contingency</c:v>
                </c:pt>
              </c:strCache>
            </c:strRef>
          </c:tx>
          <c:invertIfNegative val="0"/>
          <c:cat>
            <c:numRef>
              <c:f>'Report Graphs'!$C$2:$E$2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('Report Tables'!$B$96,'Report Tables'!$D$96,'Report Tables'!$F$96)</c:f>
              <c:numCache>
                <c:formatCode>0.0</c:formatCode>
                <c:ptCount val="3"/>
                <c:pt idx="0">
                  <c:v>2.59009467031595</c:v>
                </c:pt>
                <c:pt idx="1">
                  <c:v>1.4742680109521447</c:v>
                </c:pt>
                <c:pt idx="2">
                  <c:v>1.3264956552075646</c:v>
                </c:pt>
              </c:numCache>
            </c:numRef>
          </c:val>
        </c:ser>
        <c:ser>
          <c:idx val="2"/>
          <c:order val="5"/>
          <c:tx>
            <c:strRef>
              <c:f>'Report Tables'!$A$97</c:f>
              <c:strCache>
                <c:ptCount val="1"/>
                <c:pt idx="0">
                  <c:v>Operation and Maintenance</c:v>
                </c:pt>
              </c:strCache>
            </c:strRef>
          </c:tx>
          <c:invertIfNegative val="0"/>
          <c:cat>
            <c:numRef>
              <c:f>'Report Graphs'!$C$2:$E$2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('Report Tables'!$B$97,'Report Tables'!$D$97,'Report Tables'!$F$97)</c:f>
              <c:numCache>
                <c:formatCode>0.0</c:formatCode>
                <c:ptCount val="3"/>
                <c:pt idx="0">
                  <c:v>12.222382594305989</c:v>
                </c:pt>
                <c:pt idx="1">
                  <c:v>4.5292967030216209</c:v>
                </c:pt>
                <c:pt idx="2">
                  <c:v>3.4729222060229543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67104"/>
        <c:axId val="55569024"/>
      </c:barChart>
      <c:catAx>
        <c:axId val="5556710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# of Units</a:t>
                </a:r>
              </a:p>
            </c:rich>
          </c:tx>
          <c:layout>
            <c:manualLayout>
              <c:xMode val="edge"/>
              <c:yMode val="edge"/>
              <c:x val="0.38175822733534709"/>
              <c:y val="0.917786479234402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55569024"/>
        <c:crosses val="autoZero"/>
        <c:auto val="1"/>
        <c:lblAlgn val="ctr"/>
        <c:lblOffset val="100"/>
        <c:noMultiLvlLbl val="0"/>
      </c:catAx>
      <c:valAx>
        <c:axId val="5556902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LCoE (cents/kWh)</a:t>
                </a:r>
              </a:p>
            </c:rich>
          </c:tx>
          <c:layout>
            <c:manualLayout>
              <c:xMode val="edge"/>
              <c:yMode val="edge"/>
              <c:x val="9.1848450057405284E-3"/>
              <c:y val="0.3137263502138085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5556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35475356927579"/>
          <c:y val="2.6045056939967181E-2"/>
          <c:w val="0.8125597470708491"/>
          <c:h val="0.86544280032480125"/>
        </c:manualLayout>
      </c:layout>
      <c:scatterChart>
        <c:scatterStyle val="smoothMarker"/>
        <c:varyColors val="0"/>
        <c:ser>
          <c:idx val="0"/>
          <c:order val="0"/>
          <c:tx>
            <c:v>P fluid</c:v>
          </c:tx>
          <c:xVal>
            <c:numRef>
              <c:f>'Performance &amp; Economics'!$H$23:$H$39</c:f>
              <c:numCache>
                <c:formatCode>0.0</c:formatCode>
                <c:ptCount val="17"/>
                <c:pt idx="0">
                  <c:v>9.0572366426390674E-2</c:v>
                </c:pt>
                <c:pt idx="1">
                  <c:v>0.27171709927917198</c:v>
                </c:pt>
                <c:pt idx="2">
                  <c:v>0.45286183213195336</c:v>
                </c:pt>
                <c:pt idx="3">
                  <c:v>0.63400656498473462</c:v>
                </c:pt>
                <c:pt idx="4">
                  <c:v>0.81515129783751605</c:v>
                </c:pt>
                <c:pt idx="5">
                  <c:v>0.99629603069029748</c:v>
                </c:pt>
                <c:pt idx="6">
                  <c:v>1.1774407635430788</c:v>
                </c:pt>
                <c:pt idx="7">
                  <c:v>1.3585854963958601</c:v>
                </c:pt>
                <c:pt idx="8">
                  <c:v>1.5397302292486414</c:v>
                </c:pt>
                <c:pt idx="9">
                  <c:v>1.7208749621014228</c:v>
                </c:pt>
                <c:pt idx="10">
                  <c:v>1.9020196949542041</c:v>
                </c:pt>
                <c:pt idx="11">
                  <c:v>2.0831644278069854</c:v>
                </c:pt>
                <c:pt idx="12">
                  <c:v>2.2643091606597667</c:v>
                </c:pt>
                <c:pt idx="13">
                  <c:v>2.4454538935125485</c:v>
                </c:pt>
                <c:pt idx="14">
                  <c:v>2.6265986263653294</c:v>
                </c:pt>
                <c:pt idx="15">
                  <c:v>2.8077433592181107</c:v>
                </c:pt>
                <c:pt idx="16">
                  <c:v>2.988888092070892</c:v>
                </c:pt>
              </c:numCache>
            </c:numRef>
          </c:xVal>
          <c:yVal>
            <c:numRef>
              <c:f>'Performance &amp; Economics'!$K$23:$K$39</c:f>
              <c:numCache>
                <c:formatCode>#,##0</c:formatCode>
                <c:ptCount val="17"/>
                <c:pt idx="0">
                  <c:v>0.23925492302898754</c:v>
                </c:pt>
                <c:pt idx="1">
                  <c:v>6.4598829217826603</c:v>
                </c:pt>
                <c:pt idx="2">
                  <c:v>29.90686537862344</c:v>
                </c:pt>
                <c:pt idx="3">
                  <c:v>82.064438598942687</c:v>
                </c:pt>
                <c:pt idx="4">
                  <c:v>174.41683888813191</c:v>
                </c:pt>
                <c:pt idx="5">
                  <c:v>318.44830255158251</c:v>
                </c:pt>
                <c:pt idx="6">
                  <c:v>525.64306589468572</c:v>
                </c:pt>
                <c:pt idx="7">
                  <c:v>807.48536522283302</c:v>
                </c:pt>
                <c:pt idx="8">
                  <c:v>1175.4594368414157</c:v>
                </c:pt>
                <c:pt idx="9">
                  <c:v>1641.0495170558254</c:v>
                </c:pt>
                <c:pt idx="10">
                  <c:v>2215.7398421714533</c:v>
                </c:pt>
                <c:pt idx="11">
                  <c:v>2911.0146484936913</c:v>
                </c:pt>
                <c:pt idx="12">
                  <c:v>3738.3581723279299</c:v>
                </c:pt>
                <c:pt idx="13">
                  <c:v>4709.2546499795635</c:v>
                </c:pt>
                <c:pt idx="14">
                  <c:v>5835.1883177539767</c:v>
                </c:pt>
                <c:pt idx="15">
                  <c:v>7127.6434119565665</c:v>
                </c:pt>
                <c:pt idx="16">
                  <c:v>8598.1041688927235</c:v>
                </c:pt>
              </c:numCache>
            </c:numRef>
          </c:yVal>
          <c:smooth val="1"/>
        </c:ser>
        <c:ser>
          <c:idx val="1"/>
          <c:order val="1"/>
          <c:tx>
            <c:v>P rotor</c:v>
          </c:tx>
          <c:marker>
            <c:symbol val="square"/>
            <c:size val="7"/>
          </c:marker>
          <c:xVal>
            <c:numRef>
              <c:f>'Performance &amp; Economics'!$H$23:$H$39</c:f>
              <c:numCache>
                <c:formatCode>0.0</c:formatCode>
                <c:ptCount val="17"/>
                <c:pt idx="0">
                  <c:v>9.0572366426390674E-2</c:v>
                </c:pt>
                <c:pt idx="1">
                  <c:v>0.27171709927917198</c:v>
                </c:pt>
                <c:pt idx="2">
                  <c:v>0.45286183213195336</c:v>
                </c:pt>
                <c:pt idx="3">
                  <c:v>0.63400656498473462</c:v>
                </c:pt>
                <c:pt idx="4">
                  <c:v>0.81515129783751605</c:v>
                </c:pt>
                <c:pt idx="5">
                  <c:v>0.99629603069029748</c:v>
                </c:pt>
                <c:pt idx="6">
                  <c:v>1.1774407635430788</c:v>
                </c:pt>
                <c:pt idx="7">
                  <c:v>1.3585854963958601</c:v>
                </c:pt>
                <c:pt idx="8">
                  <c:v>1.5397302292486414</c:v>
                </c:pt>
                <c:pt idx="9">
                  <c:v>1.7208749621014228</c:v>
                </c:pt>
                <c:pt idx="10">
                  <c:v>1.9020196949542041</c:v>
                </c:pt>
                <c:pt idx="11">
                  <c:v>2.0831644278069854</c:v>
                </c:pt>
                <c:pt idx="12">
                  <c:v>2.2643091606597667</c:v>
                </c:pt>
                <c:pt idx="13">
                  <c:v>2.4454538935125485</c:v>
                </c:pt>
                <c:pt idx="14">
                  <c:v>2.6265986263653294</c:v>
                </c:pt>
                <c:pt idx="15">
                  <c:v>2.8077433592181107</c:v>
                </c:pt>
                <c:pt idx="16">
                  <c:v>2.988888092070892</c:v>
                </c:pt>
              </c:numCache>
            </c:numRef>
          </c:xVal>
          <c:yVal>
            <c:numRef>
              <c:f>'Performance &amp; Economics'!$L$23:$L$39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36.928997369524211</c:v>
                </c:pt>
                <c:pt idx="4">
                  <c:v>78.487577499659366</c:v>
                </c:pt>
                <c:pt idx="5">
                  <c:v>143.30173614821214</c:v>
                </c:pt>
                <c:pt idx="6">
                  <c:v>236.53937965260857</c:v>
                </c:pt>
                <c:pt idx="7">
                  <c:v>363.36841435027486</c:v>
                </c:pt>
                <c:pt idx="8">
                  <c:v>528.95674657863708</c:v>
                </c:pt>
                <c:pt idx="9">
                  <c:v>738.47228267512139</c:v>
                </c:pt>
                <c:pt idx="10">
                  <c:v>997.08292897715398</c:v>
                </c:pt>
                <c:pt idx="11">
                  <c:v>1213.4763418579294</c:v>
                </c:pt>
                <c:pt idx="12">
                  <c:v>1344.2689967619747</c:v>
                </c:pt>
                <c:pt idx="13">
                  <c:v>1423.6986023391833</c:v>
                </c:pt>
                <c:pt idx="14">
                  <c:v>1429.9160770815181</c:v>
                </c:pt>
                <c:pt idx="15">
                  <c:v>1338.4415874945021</c:v>
                </c:pt>
                <c:pt idx="16">
                  <c:v>1122.1645480972193</c:v>
                </c:pt>
              </c:numCache>
            </c:numRef>
          </c:yVal>
          <c:smooth val="1"/>
        </c:ser>
        <c:ser>
          <c:idx val="2"/>
          <c:order val="2"/>
          <c:tx>
            <c:v>P electric</c:v>
          </c:tx>
          <c:xVal>
            <c:numRef>
              <c:f>'Performance &amp; Economics'!$H$23:$H$39</c:f>
              <c:numCache>
                <c:formatCode>0.0</c:formatCode>
                <c:ptCount val="17"/>
                <c:pt idx="0">
                  <c:v>9.0572366426390674E-2</c:v>
                </c:pt>
                <c:pt idx="1">
                  <c:v>0.27171709927917198</c:v>
                </c:pt>
                <c:pt idx="2">
                  <c:v>0.45286183213195336</c:v>
                </c:pt>
                <c:pt idx="3">
                  <c:v>0.63400656498473462</c:v>
                </c:pt>
                <c:pt idx="4">
                  <c:v>0.81515129783751605</c:v>
                </c:pt>
                <c:pt idx="5">
                  <c:v>0.99629603069029748</c:v>
                </c:pt>
                <c:pt idx="6">
                  <c:v>1.1774407635430788</c:v>
                </c:pt>
                <c:pt idx="7">
                  <c:v>1.3585854963958601</c:v>
                </c:pt>
                <c:pt idx="8">
                  <c:v>1.5397302292486414</c:v>
                </c:pt>
                <c:pt idx="9">
                  <c:v>1.7208749621014228</c:v>
                </c:pt>
                <c:pt idx="10">
                  <c:v>1.9020196949542041</c:v>
                </c:pt>
                <c:pt idx="11">
                  <c:v>2.0831644278069854</c:v>
                </c:pt>
                <c:pt idx="12">
                  <c:v>2.2643091606597667</c:v>
                </c:pt>
                <c:pt idx="13">
                  <c:v>2.4454538935125485</c:v>
                </c:pt>
                <c:pt idx="14">
                  <c:v>2.6265986263653294</c:v>
                </c:pt>
                <c:pt idx="15">
                  <c:v>2.8077433592181107</c:v>
                </c:pt>
                <c:pt idx="16">
                  <c:v>2.988888092070892</c:v>
                </c:pt>
              </c:numCache>
            </c:numRef>
          </c:xVal>
          <c:yVal>
            <c:numRef>
              <c:f>'Performance &amp; Economics'!$M$23:$M$39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20.842252594986853</c:v>
                </c:pt>
                <c:pt idx="4">
                  <c:v>59.095612104864422</c:v>
                </c:pt>
                <c:pt idx="5">
                  <c:v>119.30768279535911</c:v>
                </c:pt>
                <c:pt idx="6">
                  <c:v>202.46375842614964</c:v>
                </c:pt>
                <c:pt idx="7">
                  <c:v>316.12040998557825</c:v>
                </c:pt>
                <c:pt idx="8">
                  <c:v>469.22625130595515</c:v>
                </c:pt>
                <c:pt idx="9">
                  <c:v>671.38594648863818</c:v>
                </c:pt>
                <c:pt idx="10">
                  <c:v>934.42967186946578</c:v>
                </c:pt>
                <c:pt idx="11">
                  <c:v>1115</c:v>
                </c:pt>
                <c:pt idx="12">
                  <c:v>1115</c:v>
                </c:pt>
                <c:pt idx="13">
                  <c:v>1115</c:v>
                </c:pt>
                <c:pt idx="14">
                  <c:v>1115</c:v>
                </c:pt>
                <c:pt idx="15">
                  <c:v>1115</c:v>
                </c:pt>
                <c:pt idx="16">
                  <c:v>1055.7324068498638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4848"/>
        <c:axId val="56736768"/>
      </c:scatterChart>
      <c:valAx>
        <c:axId val="56734848"/>
        <c:scaling>
          <c:orientation val="minMax"/>
          <c:max val="3.2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Fluid Velocity (m/s)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6736768"/>
        <c:crosses val="autoZero"/>
        <c:crossBetween val="midCat"/>
      </c:valAx>
      <c:valAx>
        <c:axId val="5673676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(kW)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56734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925843004969566"/>
          <c:y val="5.1207204104720516E-2"/>
          <c:w val="0.20315211871477473"/>
          <c:h val="0.1272604387476975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'Report Tables'!$A$7</c:f>
              <c:strCache>
                <c:ptCount val="1"/>
                <c:pt idx="0">
                  <c:v>Development</c:v>
                </c:pt>
              </c:strCache>
            </c:strRef>
          </c:tx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Tables'!$B$22:$E$22</c:f>
              <c:numCache>
                <c:formatCode>"$"#,##0</c:formatCode>
                <c:ptCount val="4"/>
                <c:pt idx="0">
                  <c:v>4520</c:v>
                </c:pt>
                <c:pt idx="1">
                  <c:v>680</c:v>
                </c:pt>
                <c:pt idx="2">
                  <c:v>180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'Report Tables'!$A$8</c:f>
              <c:strCache>
                <c:ptCount val="1"/>
                <c:pt idx="0">
                  <c:v>Infrastructure</c:v>
                </c:pt>
              </c:strCache>
            </c:strRef>
          </c:tx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Tables'!$B$23:$E$23</c:f>
              <c:numCache>
                <c:formatCode>"$"#,##0</c:formatCode>
                <c:ptCount val="4"/>
                <c:pt idx="0">
                  <c:v>13000</c:v>
                </c:pt>
                <c:pt idx="1">
                  <c:v>1310</c:v>
                </c:pt>
                <c:pt idx="2">
                  <c:v>270</c:v>
                </c:pt>
                <c:pt idx="3">
                  <c:v>140</c:v>
                </c:pt>
              </c:numCache>
            </c:numRef>
          </c:val>
        </c:ser>
        <c:ser>
          <c:idx val="3"/>
          <c:order val="2"/>
          <c:tx>
            <c:strRef>
              <c:f>'Report Tables'!$A$9</c:f>
              <c:strCache>
                <c:ptCount val="1"/>
                <c:pt idx="0">
                  <c:v>Mooring/Foundation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Tables'!$B$24:$E$24</c:f>
              <c:numCache>
                <c:formatCode>"$"#,##0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3"/>
          <c:tx>
            <c:strRef>
              <c:f>'Report Tables'!$A$10</c:f>
              <c:strCache>
                <c:ptCount val="1"/>
                <c:pt idx="0">
                  <c:v>Device Structural Components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Tables'!$B$25:$E$25</c:f>
              <c:numCache>
                <c:formatCode>"$"#,##0</c:formatCode>
                <c:ptCount val="4"/>
                <c:pt idx="0">
                  <c:v>1140</c:v>
                </c:pt>
                <c:pt idx="1">
                  <c:v>790</c:v>
                </c:pt>
                <c:pt idx="2">
                  <c:v>690</c:v>
                </c:pt>
                <c:pt idx="3">
                  <c:v>670</c:v>
                </c:pt>
              </c:numCache>
            </c:numRef>
          </c:val>
        </c:ser>
        <c:ser>
          <c:idx val="5"/>
          <c:order val="4"/>
          <c:tx>
            <c:strRef>
              <c:f>'Report Tables'!$A$11</c:f>
              <c:strCache>
                <c:ptCount val="1"/>
                <c:pt idx="0">
                  <c:v>Power Take Off</c:v>
                </c:pt>
              </c:strCache>
            </c:strRef>
          </c:tx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Tables'!$B$26:$E$26</c:f>
              <c:numCache>
                <c:formatCode>"$"#,##0</c:formatCode>
                <c:ptCount val="4"/>
                <c:pt idx="0">
                  <c:v>1710</c:v>
                </c:pt>
                <c:pt idx="1">
                  <c:v>1510</c:v>
                </c:pt>
                <c:pt idx="2">
                  <c:v>1380</c:v>
                </c:pt>
                <c:pt idx="3">
                  <c:v>1400</c:v>
                </c:pt>
              </c:numCache>
            </c:numRef>
          </c:val>
        </c:ser>
        <c:ser>
          <c:idx val="2"/>
          <c:order val="5"/>
          <c:tx>
            <c:strRef>
              <c:f>'Report Tables'!$A$12</c:f>
              <c:strCache>
                <c:ptCount val="1"/>
                <c:pt idx="0">
                  <c:v>Subsystem Integration &amp; Profit Margin</c:v>
                </c:pt>
              </c:strCache>
            </c:strRef>
          </c:tx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Tables'!$B$27:$E$27</c:f>
              <c:numCache>
                <c:formatCode>"$"#,##0</c:formatCode>
                <c:ptCount val="4"/>
                <c:pt idx="0">
                  <c:v>290</c:v>
                </c:pt>
                <c:pt idx="1">
                  <c:v>230</c:v>
                </c:pt>
                <c:pt idx="2">
                  <c:v>210</c:v>
                </c:pt>
                <c:pt idx="3">
                  <c:v>210</c:v>
                </c:pt>
              </c:numCache>
            </c:numRef>
          </c:val>
        </c:ser>
        <c:ser>
          <c:idx val="6"/>
          <c:order val="6"/>
          <c:tx>
            <c:strRef>
              <c:f>'Report Tables'!$A$13</c:f>
              <c:strCache>
                <c:ptCount val="1"/>
                <c:pt idx="0">
                  <c:v>Installation</c:v>
                </c:pt>
              </c:strCache>
            </c:strRef>
          </c:tx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Tables'!$B$28:$E$28</c:f>
              <c:numCache>
                <c:formatCode>"$"#,##0</c:formatCode>
                <c:ptCount val="4"/>
                <c:pt idx="0">
                  <c:v>8340</c:v>
                </c:pt>
                <c:pt idx="1">
                  <c:v>1110</c:v>
                </c:pt>
                <c:pt idx="2">
                  <c:v>470</c:v>
                </c:pt>
                <c:pt idx="3">
                  <c:v>360</c:v>
                </c:pt>
              </c:numCache>
            </c:numRef>
          </c:val>
        </c:ser>
        <c:ser>
          <c:idx val="7"/>
          <c:order val="7"/>
          <c:tx>
            <c:strRef>
              <c:f>'Report Tables'!$A$14</c:f>
              <c:strCache>
                <c:ptCount val="1"/>
                <c:pt idx="0">
                  <c:v>Contingency</c:v>
                </c:pt>
              </c:strCache>
            </c:strRef>
          </c:tx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Tables'!$B$29:$E$29</c:f>
              <c:numCache>
                <c:formatCode>"$"#,##0</c:formatCode>
                <c:ptCount val="4"/>
                <c:pt idx="0">
                  <c:v>2900</c:v>
                </c:pt>
                <c:pt idx="1">
                  <c:v>560</c:v>
                </c:pt>
                <c:pt idx="2">
                  <c:v>320</c:v>
                </c:pt>
                <c:pt idx="3">
                  <c:v>290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451712"/>
        <c:axId val="108466176"/>
      </c:barChart>
      <c:catAx>
        <c:axId val="10845171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# of Units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8466176"/>
        <c:crosses val="autoZero"/>
        <c:auto val="1"/>
        <c:lblAlgn val="ctr"/>
        <c:lblOffset val="100"/>
        <c:noMultiLvlLbl val="0"/>
      </c:catAx>
      <c:valAx>
        <c:axId val="10846617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Capex ($/kW)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10845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'Report Tables'!$A$7</c:f>
              <c:strCache>
                <c:ptCount val="1"/>
                <c:pt idx="0">
                  <c:v>Development</c:v>
                </c:pt>
              </c:strCache>
            </c:strRef>
          </c:tx>
          <c:invertIfNegative val="0"/>
          <c:cat>
            <c:numRef>
              <c:f>'Report Graphs'!$C$2:$E$2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('Report Tables'!$B$37,'Report Tables'!$D$37,'Report Tables'!$F$37)</c:f>
              <c:numCache>
                <c:formatCode>#,##0.0</c:formatCode>
                <c:ptCount val="3"/>
                <c:pt idx="0">
                  <c:v>3.1492809259130765</c:v>
                </c:pt>
                <c:pt idx="1">
                  <c:v>0.81799784382687191</c:v>
                </c:pt>
                <c:pt idx="2" formatCode="0.0">
                  <c:v>0.46049668307939251</c:v>
                </c:pt>
              </c:numCache>
            </c:numRef>
          </c:val>
        </c:ser>
        <c:ser>
          <c:idx val="1"/>
          <c:order val="1"/>
          <c:tx>
            <c:strRef>
              <c:f>'Report Tables'!$A$8</c:f>
              <c:strCache>
                <c:ptCount val="1"/>
                <c:pt idx="0">
                  <c:v>Infrastructure</c:v>
                </c:pt>
              </c:strCache>
            </c:strRef>
          </c:tx>
          <c:invertIfNegative val="0"/>
          <c:cat>
            <c:numRef>
              <c:f>'Report Graphs'!$C$2:$E$2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('Report Tables'!$B$38,'Report Tables'!$D$38,'Report Tables'!$F$38)</c:f>
              <c:numCache>
                <c:formatCode>#,##0.0</c:formatCode>
                <c:ptCount val="3"/>
                <c:pt idx="0">
                  <c:v>6.0380058844208566</c:v>
                </c:pt>
                <c:pt idx="1">
                  <c:v>1.2606344193521384</c:v>
                </c:pt>
                <c:pt idx="2" formatCode="0.0">
                  <c:v>0.66233728060012476</c:v>
                </c:pt>
              </c:numCache>
            </c:numRef>
          </c:val>
        </c:ser>
        <c:ser>
          <c:idx val="3"/>
          <c:order val="2"/>
          <c:tx>
            <c:strRef>
              <c:f>'Report Tables'!$A$9</c:f>
              <c:strCache>
                <c:ptCount val="1"/>
                <c:pt idx="0">
                  <c:v>Mooring/Foundation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'Report Graphs'!$C$2:$E$2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('Report Tables'!$B$39,'Report Tables'!$D$39,'Report Tables'!$F$39)</c:f>
              <c:numCache>
                <c:formatCode>#,##0.0</c:formatCode>
                <c:ptCount val="3"/>
                <c:pt idx="0">
                  <c:v>0</c:v>
                </c:pt>
                <c:pt idx="1">
                  <c:v>0</c:v>
                </c:pt>
                <c:pt idx="2" formatCode="0.0">
                  <c:v>0</c:v>
                </c:pt>
              </c:numCache>
            </c:numRef>
          </c:val>
        </c:ser>
        <c:ser>
          <c:idx val="4"/>
          <c:order val="3"/>
          <c:tx>
            <c:strRef>
              <c:f>'Report Tables'!$A$10</c:f>
              <c:strCache>
                <c:ptCount val="1"/>
                <c:pt idx="0">
                  <c:v>Device Structural Components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'Report Graphs'!$C$2:$E$2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('Report Tables'!$B$40,'Report Tables'!$D$40,'Report Tables'!$F$40)</c:f>
              <c:numCache>
                <c:formatCode>#,##0.0</c:formatCode>
                <c:ptCount val="3"/>
                <c:pt idx="0">
                  <c:v>3.6326679568666096</c:v>
                </c:pt>
                <c:pt idx="1">
                  <c:v>3.1764219916291525</c:v>
                </c:pt>
                <c:pt idx="2" formatCode="0.0">
                  <c:v>3.0677642218309975</c:v>
                </c:pt>
              </c:numCache>
            </c:numRef>
          </c:val>
        </c:ser>
        <c:ser>
          <c:idx val="5"/>
          <c:order val="4"/>
          <c:tx>
            <c:strRef>
              <c:f>'Report Tables'!$A$11</c:f>
              <c:strCache>
                <c:ptCount val="1"/>
                <c:pt idx="0">
                  <c:v>Power Take Off</c:v>
                </c:pt>
              </c:strCache>
            </c:strRef>
          </c:tx>
          <c:invertIfNegative val="0"/>
          <c:cat>
            <c:numRef>
              <c:f>'Report Graphs'!$C$2:$E$2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('Report Tables'!$B$41,'Report Tables'!$D$41,'Report Tables'!$F$41)</c:f>
              <c:numCache>
                <c:formatCode>#,##0.0</c:formatCode>
                <c:ptCount val="3"/>
                <c:pt idx="0">
                  <c:v>6.9290484517022577</c:v>
                </c:pt>
                <c:pt idx="1">
                  <c:v>6.3690368376682702</c:v>
                </c:pt>
                <c:pt idx="2" formatCode="0.0">
                  <c:v>6.4632673363895972</c:v>
                </c:pt>
              </c:numCache>
            </c:numRef>
          </c:val>
        </c:ser>
        <c:ser>
          <c:idx val="2"/>
          <c:order val="5"/>
          <c:tx>
            <c:strRef>
              <c:f>'Report Tables'!$A$12</c:f>
              <c:strCache>
                <c:ptCount val="1"/>
                <c:pt idx="0">
                  <c:v>Subsystem Integration &amp; Profit Margin</c:v>
                </c:pt>
              </c:strCache>
            </c:strRef>
          </c:tx>
          <c:invertIfNegative val="0"/>
          <c:cat>
            <c:numRef>
              <c:f>'Report Graphs'!$C$2:$E$2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('Report Tables'!$B$42,'Report Tables'!$D$42,'Report Tables'!$F$42)</c:f>
              <c:numCache>
                <c:formatCode>#,##0.0</c:formatCode>
                <c:ptCount val="3"/>
                <c:pt idx="0">
                  <c:v>1.0561716408568869</c:v>
                </c:pt>
                <c:pt idx="1">
                  <c:v>0.95454588292974218</c:v>
                </c:pt>
                <c:pt idx="2" formatCode="0.0">
                  <c:v>0.95310315582205973</c:v>
                </c:pt>
              </c:numCache>
            </c:numRef>
          </c:val>
        </c:ser>
        <c:ser>
          <c:idx val="6"/>
          <c:order val="6"/>
          <c:tx>
            <c:strRef>
              <c:f>'Report Tables'!$A$13</c:f>
              <c:strCache>
                <c:ptCount val="1"/>
                <c:pt idx="0">
                  <c:v>Installation</c:v>
                </c:pt>
              </c:strCache>
            </c:strRef>
          </c:tx>
          <c:invertIfNegative val="0"/>
          <c:cat>
            <c:numRef>
              <c:f>'Report Graphs'!$C$2:$E$2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('Report Tables'!$B$43,'Report Tables'!$D$43,'Report Tables'!$F$43)</c:f>
              <c:numCache>
                <c:formatCode>#,##0.0</c:formatCode>
                <c:ptCount val="3"/>
                <c:pt idx="0">
                  <c:v>5.0957718433998105</c:v>
                </c:pt>
                <c:pt idx="1">
                  <c:v>2.1640431341152722</c:v>
                </c:pt>
                <c:pt idx="2" formatCode="0.0">
                  <c:v>1.6579878743534766</c:v>
                </c:pt>
              </c:numCache>
            </c:numRef>
          </c:val>
        </c:ser>
        <c:ser>
          <c:idx val="7"/>
          <c:order val="7"/>
          <c:tx>
            <c:strRef>
              <c:f>'Report Tables'!$A$14</c:f>
              <c:strCache>
                <c:ptCount val="1"/>
                <c:pt idx="0">
                  <c:v>Contingency</c:v>
                </c:pt>
              </c:strCache>
            </c:strRef>
          </c:tx>
          <c:invertIfNegative val="0"/>
          <c:cat>
            <c:numRef>
              <c:f>'Report Graphs'!$C$2:$E$2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('Report Tables'!$B$44,'Report Tables'!$D$44,'Report Tables'!$F$44)</c:f>
              <c:numCache>
                <c:formatCode>#,##0.0</c:formatCode>
                <c:ptCount val="3"/>
                <c:pt idx="0">
                  <c:v>2.59009467031595</c:v>
                </c:pt>
                <c:pt idx="1">
                  <c:v>1.4742680109521447</c:v>
                </c:pt>
                <c:pt idx="2" formatCode="0.0">
                  <c:v>1.3264956552075646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435520"/>
        <c:axId val="133623808"/>
      </c:barChart>
      <c:catAx>
        <c:axId val="12743552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# of Units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3623808"/>
        <c:crosses val="autoZero"/>
        <c:auto val="1"/>
        <c:lblAlgn val="ctr"/>
        <c:lblOffset val="100"/>
        <c:noMultiLvlLbl val="0"/>
      </c:catAx>
      <c:valAx>
        <c:axId val="13362380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LCoE (cents/kWh)</a:t>
                </a:r>
              </a:p>
            </c:rich>
          </c:tx>
          <c:layout>
            <c:manualLayout>
              <c:xMode val="edge"/>
              <c:yMode val="edge"/>
              <c:x val="1.6838882510524303E-2"/>
              <c:y val="0.32321127075469908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crossAx val="12743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'Report Tables'!$A$52</c:f>
              <c:strCache>
                <c:ptCount val="1"/>
                <c:pt idx="0">
                  <c:v>Insurance</c:v>
                </c:pt>
              </c:strCache>
            </c:strRef>
          </c:tx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Tables'!$B$52:$E$52</c:f>
              <c:numCache>
                <c:formatCode>"$"#,##0</c:formatCode>
                <c:ptCount val="4"/>
                <c:pt idx="0">
                  <c:v>546</c:v>
                </c:pt>
                <c:pt idx="1">
                  <c:v>1102</c:v>
                </c:pt>
                <c:pt idx="2">
                  <c:v>1687</c:v>
                </c:pt>
                <c:pt idx="3">
                  <c:v>1551</c:v>
                </c:pt>
              </c:numCache>
            </c:numRef>
          </c:val>
        </c:ser>
        <c:ser>
          <c:idx val="1"/>
          <c:order val="1"/>
          <c:tx>
            <c:strRef>
              <c:f>'Report Tables'!$A$53</c:f>
              <c:strCache>
                <c:ptCount val="1"/>
                <c:pt idx="0">
                  <c:v>Environmental Monitoring &amp; Regulatory Compliance</c:v>
                </c:pt>
              </c:strCache>
            </c:strRef>
          </c:tx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Tables'!$B$53:$E$53</c:f>
              <c:numCache>
                <c:formatCode>"$"#,##0</c:formatCode>
                <c:ptCount val="4"/>
                <c:pt idx="0">
                  <c:v>670</c:v>
                </c:pt>
                <c:pt idx="1">
                  <c:v>983</c:v>
                </c:pt>
                <c:pt idx="2">
                  <c:v>983</c:v>
                </c:pt>
                <c:pt idx="3">
                  <c:v>983</c:v>
                </c:pt>
              </c:numCache>
            </c:numRef>
          </c:val>
        </c:ser>
        <c:ser>
          <c:idx val="3"/>
          <c:order val="2"/>
          <c:tx>
            <c:strRef>
              <c:f>'Report Tables'!$A$54</c:f>
              <c:strCache>
                <c:ptCount val="1"/>
                <c:pt idx="0">
                  <c:v>Marine Operations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Tables'!$B$54:$E$54</c:f>
              <c:numCache>
                <c:formatCode>"$"#,##0</c:formatCode>
                <c:ptCount val="4"/>
                <c:pt idx="0">
                  <c:v>61</c:v>
                </c:pt>
                <c:pt idx="1">
                  <c:v>614</c:v>
                </c:pt>
                <c:pt idx="2">
                  <c:v>1534</c:v>
                </c:pt>
                <c:pt idx="3">
                  <c:v>3068</c:v>
                </c:pt>
              </c:numCache>
            </c:numRef>
          </c:val>
        </c:ser>
        <c:ser>
          <c:idx val="4"/>
          <c:order val="3"/>
          <c:tx>
            <c:strRef>
              <c:f>'Report Tables'!$A$55</c:f>
              <c:strCache>
                <c:ptCount val="1"/>
                <c:pt idx="0">
                  <c:v>Shoreside Operations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Tables'!$B$55:$E$55</c:f>
              <c:numCache>
                <c:formatCode>"$"#,##0</c:formatCode>
                <c:ptCount val="4"/>
                <c:pt idx="0">
                  <c:v>280</c:v>
                </c:pt>
                <c:pt idx="1">
                  <c:v>280</c:v>
                </c:pt>
                <c:pt idx="2">
                  <c:v>335</c:v>
                </c:pt>
                <c:pt idx="3">
                  <c:v>555</c:v>
                </c:pt>
              </c:numCache>
            </c:numRef>
          </c:val>
        </c:ser>
        <c:ser>
          <c:idx val="5"/>
          <c:order val="4"/>
          <c:tx>
            <c:strRef>
              <c:f>'Report Tables'!$A$56</c:f>
              <c:strCache>
                <c:ptCount val="1"/>
                <c:pt idx="0">
                  <c:v>Replacement Parts</c:v>
                </c:pt>
              </c:strCache>
            </c:strRef>
          </c:tx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Tables'!$B$56:$E$56</c:f>
              <c:numCache>
                <c:formatCode>"$"#,##0</c:formatCode>
                <c:ptCount val="4"/>
                <c:pt idx="0">
                  <c:v>41</c:v>
                </c:pt>
                <c:pt idx="1">
                  <c:v>336</c:v>
                </c:pt>
                <c:pt idx="2">
                  <c:v>1544</c:v>
                </c:pt>
                <c:pt idx="3">
                  <c:v>3127</c:v>
                </c:pt>
              </c:numCache>
            </c:numRef>
          </c:val>
        </c:ser>
        <c:ser>
          <c:idx val="2"/>
          <c:order val="5"/>
          <c:tx>
            <c:strRef>
              <c:f>'Report Tables'!$A$57</c:f>
              <c:strCache>
                <c:ptCount val="1"/>
                <c:pt idx="0">
                  <c:v>Consumables</c:v>
                </c:pt>
              </c:strCache>
            </c:strRef>
          </c:tx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Tables'!$B$57:$E$57</c:f>
              <c:numCache>
                <c:formatCode>"$"#,##0</c:formatCode>
                <c:ptCount val="4"/>
                <c:pt idx="0">
                  <c:v>2</c:v>
                </c:pt>
                <c:pt idx="1">
                  <c:v>19</c:v>
                </c:pt>
                <c:pt idx="2">
                  <c:v>94</c:v>
                </c:pt>
                <c:pt idx="3">
                  <c:v>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51328"/>
        <c:axId val="55253248"/>
      </c:barChart>
      <c:catAx>
        <c:axId val="552513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# of Units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5253248"/>
        <c:crosses val="autoZero"/>
        <c:auto val="1"/>
        <c:lblAlgn val="ctr"/>
        <c:lblOffset val="100"/>
        <c:noMultiLvlLbl val="0"/>
      </c:catAx>
      <c:valAx>
        <c:axId val="5525324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strRef>
              <c:f>'Report Tables'!$A$49</c:f>
              <c:strCache>
                <c:ptCount val="1"/>
                <c:pt idx="0">
                  <c:v>Annual Cost in Thousands ($)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&quot;$&quot;#,##0" sourceLinked="1"/>
        <c:majorTickMark val="out"/>
        <c:minorTickMark val="none"/>
        <c:tickLblPos val="nextTo"/>
        <c:crossAx val="5525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'Report Tables'!$A$52</c:f>
              <c:strCache>
                <c:ptCount val="1"/>
                <c:pt idx="0">
                  <c:v>Insurance</c:v>
                </c:pt>
              </c:strCache>
            </c:strRef>
          </c:tx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Tables'!$B$65:$E$65</c:f>
              <c:numCache>
                <c:formatCode>"$"#,##0</c:formatCode>
                <c:ptCount val="4"/>
                <c:pt idx="0">
                  <c:v>490</c:v>
                </c:pt>
                <c:pt idx="1">
                  <c:v>99</c:v>
                </c:pt>
                <c:pt idx="2">
                  <c:v>30</c:v>
                </c:pt>
                <c:pt idx="3" formatCode="&quot;$&quot;#,##0.00">
                  <c:v>14</c:v>
                </c:pt>
              </c:numCache>
            </c:numRef>
          </c:val>
        </c:ser>
        <c:ser>
          <c:idx val="1"/>
          <c:order val="1"/>
          <c:tx>
            <c:strRef>
              <c:f>'Report Tables'!$A$53</c:f>
              <c:strCache>
                <c:ptCount val="1"/>
                <c:pt idx="0">
                  <c:v>Environmental Monitoring &amp; Regulatory Compliance</c:v>
                </c:pt>
              </c:strCache>
            </c:strRef>
          </c:tx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Tables'!$B$66:$E$66</c:f>
              <c:numCache>
                <c:formatCode>"$"#,##0</c:formatCode>
                <c:ptCount val="4"/>
                <c:pt idx="0">
                  <c:v>601</c:v>
                </c:pt>
                <c:pt idx="1">
                  <c:v>88</c:v>
                </c:pt>
                <c:pt idx="2">
                  <c:v>18</c:v>
                </c:pt>
                <c:pt idx="3" formatCode="&quot;$&quot;#,##0.00">
                  <c:v>9</c:v>
                </c:pt>
              </c:numCache>
            </c:numRef>
          </c:val>
        </c:ser>
        <c:ser>
          <c:idx val="3"/>
          <c:order val="2"/>
          <c:tx>
            <c:strRef>
              <c:f>'Report Tables'!$A$54</c:f>
              <c:strCache>
                <c:ptCount val="1"/>
                <c:pt idx="0">
                  <c:v>Marine Operations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Tables'!$B$67:$E$67</c:f>
              <c:numCache>
                <c:formatCode>"$"#,##0</c:formatCode>
                <c:ptCount val="4"/>
                <c:pt idx="0">
                  <c:v>55</c:v>
                </c:pt>
                <c:pt idx="1">
                  <c:v>55</c:v>
                </c:pt>
                <c:pt idx="2">
                  <c:v>28</c:v>
                </c:pt>
                <c:pt idx="3" formatCode="&quot;$&quot;#,##0.00">
                  <c:v>28</c:v>
                </c:pt>
              </c:numCache>
            </c:numRef>
          </c:val>
        </c:ser>
        <c:ser>
          <c:idx val="4"/>
          <c:order val="3"/>
          <c:tx>
            <c:strRef>
              <c:f>'Report Tables'!$A$55</c:f>
              <c:strCache>
                <c:ptCount val="1"/>
                <c:pt idx="0">
                  <c:v>Shoreside Operations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Tables'!$B$68:$E$68</c:f>
              <c:numCache>
                <c:formatCode>"$"#,##0</c:formatCode>
                <c:ptCount val="4"/>
                <c:pt idx="0">
                  <c:v>251</c:v>
                </c:pt>
                <c:pt idx="1">
                  <c:v>25</c:v>
                </c:pt>
                <c:pt idx="2">
                  <c:v>6</c:v>
                </c:pt>
                <c:pt idx="3" formatCode="&quot;$&quot;#,##0.00">
                  <c:v>5</c:v>
                </c:pt>
              </c:numCache>
            </c:numRef>
          </c:val>
        </c:ser>
        <c:ser>
          <c:idx val="5"/>
          <c:order val="4"/>
          <c:tx>
            <c:strRef>
              <c:f>'Report Tables'!$A$56</c:f>
              <c:strCache>
                <c:ptCount val="1"/>
                <c:pt idx="0">
                  <c:v>Replacement Parts</c:v>
                </c:pt>
              </c:strCache>
            </c:strRef>
          </c:tx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Tables'!$B$69:$E$69</c:f>
              <c:numCache>
                <c:formatCode>"$"#,##0</c:formatCode>
                <c:ptCount val="4"/>
                <c:pt idx="0">
                  <c:v>36</c:v>
                </c:pt>
                <c:pt idx="1">
                  <c:v>30</c:v>
                </c:pt>
                <c:pt idx="2">
                  <c:v>28</c:v>
                </c:pt>
                <c:pt idx="3" formatCode="&quot;$&quot;#,##0.00">
                  <c:v>28</c:v>
                </c:pt>
              </c:numCache>
            </c:numRef>
          </c:val>
        </c:ser>
        <c:ser>
          <c:idx val="2"/>
          <c:order val="5"/>
          <c:tx>
            <c:strRef>
              <c:f>'Report Tables'!$A$57</c:f>
              <c:strCache>
                <c:ptCount val="1"/>
                <c:pt idx="0">
                  <c:v>Consumables</c:v>
                </c:pt>
              </c:strCache>
            </c:strRef>
          </c:tx>
          <c:invertIfNegative val="0"/>
          <c:cat>
            <c:numRef>
              <c:f>'Report Graphs'!$B$2:$E$2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'Report Tables'!$B$70:$E$70</c:f>
              <c:numCache>
                <c:formatCode>"$"#,##0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 formatCode="&quot;$&quot;#,##0.0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65152"/>
        <c:axId val="55267328"/>
      </c:barChart>
      <c:catAx>
        <c:axId val="5526515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# of Units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5267328"/>
        <c:crosses val="autoZero"/>
        <c:auto val="1"/>
        <c:lblAlgn val="ctr"/>
        <c:lblOffset val="100"/>
        <c:noMultiLvlLbl val="0"/>
      </c:catAx>
      <c:valAx>
        <c:axId val="5526732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Opex ($ / kW-yr)</a:t>
                </a:r>
              </a:p>
            </c:rich>
          </c:tx>
          <c:layout>
            <c:manualLayout>
              <c:xMode val="edge"/>
              <c:yMode val="edge"/>
              <c:x val="9.1848450057405284E-3"/>
              <c:y val="0.31372635021380851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crossAx val="5526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'Report Tables'!$A$52</c:f>
              <c:strCache>
                <c:ptCount val="1"/>
                <c:pt idx="0">
                  <c:v>Insurance</c:v>
                </c:pt>
              </c:strCache>
            </c:strRef>
          </c:tx>
          <c:invertIfNegative val="0"/>
          <c:cat>
            <c:numRef>
              <c:f>'Report Graphs'!$C$2:$E$2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('Report Tables'!$B$79,'Report Tables'!$D$79,'Report Tables'!$F$79)</c:f>
              <c:numCache>
                <c:formatCode>0.0</c:formatCode>
                <c:ptCount val="3"/>
                <c:pt idx="0">
                  <c:v>4.0419799351383769</c:v>
                </c:pt>
                <c:pt idx="1">
                  <c:v>1.2369047363864385</c:v>
                </c:pt>
                <c:pt idx="2">
                  <c:v>0.56869868757617703</c:v>
                </c:pt>
              </c:numCache>
            </c:numRef>
          </c:val>
        </c:ser>
        <c:ser>
          <c:idx val="1"/>
          <c:order val="1"/>
          <c:tx>
            <c:strRef>
              <c:f>'Report Tables'!$A$53</c:f>
              <c:strCache>
                <c:ptCount val="1"/>
                <c:pt idx="0">
                  <c:v>Environmental Monitoring &amp; Regulatory Compliance</c:v>
                </c:pt>
              </c:strCache>
            </c:strRef>
          </c:tx>
          <c:invertIfNegative val="0"/>
          <c:cat>
            <c:numRef>
              <c:f>'Report Graphs'!$C$2:$E$2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('Report Tables'!$B$80,'Report Tables'!$D$80,'Report Tables'!$F$80)</c:f>
              <c:numCache>
                <c:formatCode>0.0</c:formatCode>
                <c:ptCount val="3"/>
                <c:pt idx="0">
                  <c:v>3.6035761719472683</c:v>
                </c:pt>
                <c:pt idx="1">
                  <c:v>0.72071523438945362</c:v>
                </c:pt>
                <c:pt idx="2">
                  <c:v>0.36035761719472681</c:v>
                </c:pt>
              </c:numCache>
            </c:numRef>
          </c:val>
        </c:ser>
        <c:ser>
          <c:idx val="3"/>
          <c:order val="2"/>
          <c:tx>
            <c:strRef>
              <c:f>'Report Tables'!$A$54</c:f>
              <c:strCache>
                <c:ptCount val="1"/>
                <c:pt idx="0">
                  <c:v>Marine Operations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'Report Graphs'!$C$2:$E$2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('Report Tables'!$B$81,'Report Tables'!$D$81,'Report Tables'!$F$81)</c:f>
              <c:numCache>
                <c:formatCode>0.0</c:formatCode>
                <c:ptCount val="3"/>
                <c:pt idx="0">
                  <c:v>2.2500659947888288</c:v>
                </c:pt>
                <c:pt idx="1">
                  <c:v>1.1250329973944142</c:v>
                </c:pt>
                <c:pt idx="2">
                  <c:v>1.1250329973944142</c:v>
                </c:pt>
              </c:numCache>
            </c:numRef>
          </c:val>
        </c:ser>
        <c:ser>
          <c:idx val="4"/>
          <c:order val="3"/>
          <c:tx>
            <c:strRef>
              <c:f>'Report Tables'!$A$55</c:f>
              <c:strCache>
                <c:ptCount val="1"/>
                <c:pt idx="0">
                  <c:v>Shoreside Operations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'Report Graphs'!$C$2:$E$2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('Report Tables'!$B$82,'Report Tables'!$D$82,'Report Tables'!$F$82)</c:f>
              <c:numCache>
                <c:formatCode>0.0</c:formatCode>
                <c:ptCount val="3"/>
                <c:pt idx="0">
                  <c:v>1.0264774350244015</c:v>
                </c:pt>
                <c:pt idx="1">
                  <c:v>0.2454516644398626</c:v>
                </c:pt>
                <c:pt idx="2">
                  <c:v>0.20337480198949892</c:v>
                </c:pt>
              </c:numCache>
            </c:numRef>
          </c:val>
        </c:ser>
        <c:ser>
          <c:idx val="5"/>
          <c:order val="4"/>
          <c:tx>
            <c:strRef>
              <c:f>'Report Tables'!$A$56</c:f>
              <c:strCache>
                <c:ptCount val="1"/>
                <c:pt idx="0">
                  <c:v>Replacement Parts</c:v>
                </c:pt>
              </c:strCache>
            </c:strRef>
          </c:tx>
          <c:invertIfNegative val="0"/>
          <c:cat>
            <c:numRef>
              <c:f>'Report Graphs'!$C$2:$E$2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('Report Tables'!$B$83,'Report Tables'!$D$83,'Report Tables'!$F$83)</c:f>
              <c:numCache>
                <c:formatCode>0.0</c:formatCode>
                <c:ptCount val="3"/>
                <c:pt idx="0">
                  <c:v>1.2315551319660205</c:v>
                </c:pt>
                <c:pt idx="1">
                  <c:v>1.1324641449703594</c:v>
                </c:pt>
                <c:pt idx="2">
                  <c:v>1.1467301764270454</c:v>
                </c:pt>
              </c:numCache>
            </c:numRef>
          </c:val>
        </c:ser>
        <c:ser>
          <c:idx val="2"/>
          <c:order val="5"/>
          <c:tx>
            <c:strRef>
              <c:f>'Report Tables'!$A$57</c:f>
              <c:strCache>
                <c:ptCount val="1"/>
                <c:pt idx="0">
                  <c:v>Consumables</c:v>
                </c:pt>
              </c:strCache>
            </c:strRef>
          </c:tx>
          <c:invertIfNegative val="0"/>
          <c:cat>
            <c:numRef>
              <c:f>'Report Graphs'!$C$2:$E$2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('Report Tables'!$B$84,'Report Tables'!$D$84,'Report Tables'!$F$84)</c:f>
              <c:numCache>
                <c:formatCode>0.0</c:formatCode>
                <c:ptCount val="3"/>
                <c:pt idx="0">
                  <c:v>6.8727925441092283E-2</c:v>
                </c:pt>
                <c:pt idx="1">
                  <c:v>6.8727925441092269E-2</c:v>
                </c:pt>
                <c:pt idx="2">
                  <c:v>6.8727925441092269E-2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96000"/>
        <c:axId val="55297920"/>
      </c:barChart>
      <c:catAx>
        <c:axId val="5529600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# of Units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5297920"/>
        <c:crosses val="autoZero"/>
        <c:auto val="1"/>
        <c:lblAlgn val="ctr"/>
        <c:lblOffset val="100"/>
        <c:noMultiLvlLbl val="0"/>
      </c:catAx>
      <c:valAx>
        <c:axId val="5529792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LCoE (cents/kWh)</a:t>
                </a:r>
              </a:p>
            </c:rich>
          </c:tx>
          <c:layout>
            <c:manualLayout>
              <c:xMode val="edge"/>
              <c:yMode val="edge"/>
              <c:x val="9.1848450057405284E-3"/>
              <c:y val="0.3137263502138085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5529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87609302847839"/>
          <c:y val="6.4437428146969553E-2"/>
          <c:w val="0.84078824371552485"/>
          <c:h val="0.75526731847010076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'Report Graphs'!$A$159:$A$169</c:f>
              <c:numCache>
                <c:formatCode>General</c:formatCode>
                <c:ptCount val="11"/>
                <c:pt idx="0">
                  <c:v>0.69475652654630971</c:v>
                </c:pt>
                <c:pt idx="1">
                  <c:v>0.78160109236459818</c:v>
                </c:pt>
                <c:pt idx="2">
                  <c:v>0.86844565818288688</c:v>
                </c:pt>
                <c:pt idx="3">
                  <c:v>0.9552902240011758</c:v>
                </c:pt>
                <c:pt idx="4">
                  <c:v>1.0421347898194642</c:v>
                </c:pt>
                <c:pt idx="5">
                  <c:v>1.1289793556377528</c:v>
                </c:pt>
                <c:pt idx="6">
                  <c:v>1.2158239214560427</c:v>
                </c:pt>
                <c:pt idx="7">
                  <c:v>1.3026684872743302</c:v>
                </c:pt>
                <c:pt idx="8">
                  <c:v>1.3895130530926194</c:v>
                </c:pt>
                <c:pt idx="9">
                  <c:v>1.476357618910908</c:v>
                </c:pt>
                <c:pt idx="10">
                  <c:v>1.5632021847291959</c:v>
                </c:pt>
              </c:numCache>
            </c:numRef>
          </c:xVal>
          <c:yVal>
            <c:numRef>
              <c:f>'Report Graphs'!$D$159:$D$169</c:f>
              <c:numCache>
                <c:formatCode>General</c:formatCode>
                <c:ptCount val="11"/>
                <c:pt idx="0">
                  <c:v>49.802177016567676</c:v>
                </c:pt>
                <c:pt idx="1">
                  <c:v>37.024080739299357</c:v>
                </c:pt>
                <c:pt idx="2">
                  <c:v>29.521573517128829</c:v>
                </c:pt>
                <c:pt idx="3">
                  <c:v>24.361876480495937</c:v>
                </c:pt>
                <c:pt idx="4">
                  <c:v>20.898420963865281</c:v>
                </c:pt>
                <c:pt idx="5">
                  <c:v>18.433257775589663</c:v>
                </c:pt>
                <c:pt idx="6">
                  <c:v>16.625786477647718</c:v>
                </c:pt>
                <c:pt idx="7">
                  <c:v>15.257497387403554</c:v>
                </c:pt>
                <c:pt idx="8">
                  <c:v>14.199268501247763</c:v>
                </c:pt>
                <c:pt idx="9">
                  <c:v>13.387873355762512</c:v>
                </c:pt>
                <c:pt idx="10">
                  <c:v>12.746915472510619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'Report Graphs'!$A$171</c:f>
              <c:numCache>
                <c:formatCode>General</c:formatCode>
                <c:ptCount val="1"/>
                <c:pt idx="0">
                  <c:v>1.1463482688014111</c:v>
                </c:pt>
              </c:numCache>
            </c:numRef>
          </c:xVal>
          <c:yVal>
            <c:numRef>
              <c:f>'Report Graphs'!$D$171</c:f>
              <c:numCache>
                <c:formatCode>0.00</c:formatCode>
                <c:ptCount val="1"/>
                <c:pt idx="0">
                  <c:v>18.027387335471719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6528"/>
        <c:axId val="55456896"/>
      </c:scatterChart>
      <c:valAx>
        <c:axId val="55446528"/>
        <c:scaling>
          <c:orientation val="minMax"/>
          <c:min val="0.5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Velocity (m/s)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56896"/>
        <c:crosses val="autoZero"/>
        <c:crossBetween val="midCat"/>
      </c:valAx>
      <c:valAx>
        <c:axId val="554568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CoE (cents/kWh)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465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'Report Graphs'!$C$159:$C$169</c:f>
              <c:numCache>
                <c:formatCode>General</c:formatCode>
                <c:ptCount val="11"/>
                <c:pt idx="0">
                  <c:v>0.35488864636838274</c:v>
                </c:pt>
                <c:pt idx="1">
                  <c:v>0.50530043594248264</c:v>
                </c:pt>
                <c:pt idx="2">
                  <c:v>0.69314188743824745</c:v>
                </c:pt>
                <c:pt idx="3">
                  <c:v>0.92257185218030791</c:v>
                </c:pt>
                <c:pt idx="4">
                  <c:v>1.1977491814932919</c:v>
                </c:pt>
                <c:pt idx="5">
                  <c:v>1.5228327267018298</c:v>
                </c:pt>
                <c:pt idx="6">
                  <c:v>1.9019813391305556</c:v>
                </c:pt>
                <c:pt idx="7">
                  <c:v>2.3393538701040844</c:v>
                </c:pt>
                <c:pt idx="8">
                  <c:v>2.8391091709470655</c:v>
                </c:pt>
                <c:pt idx="9">
                  <c:v>3.4054060929841126</c:v>
                </c:pt>
                <c:pt idx="10">
                  <c:v>4.0424034875398567</c:v>
                </c:pt>
              </c:numCache>
            </c:numRef>
          </c:xVal>
          <c:yVal>
            <c:numRef>
              <c:f>'Report Graphs'!$D$159:$D$169</c:f>
              <c:numCache>
                <c:formatCode>General</c:formatCode>
                <c:ptCount val="11"/>
                <c:pt idx="0">
                  <c:v>49.802177016567676</c:v>
                </c:pt>
                <c:pt idx="1">
                  <c:v>37.024080739299357</c:v>
                </c:pt>
                <c:pt idx="2">
                  <c:v>29.521573517128829</c:v>
                </c:pt>
                <c:pt idx="3">
                  <c:v>24.361876480495937</c:v>
                </c:pt>
                <c:pt idx="4">
                  <c:v>20.898420963865281</c:v>
                </c:pt>
                <c:pt idx="5">
                  <c:v>18.433257775589663</c:v>
                </c:pt>
                <c:pt idx="6">
                  <c:v>16.625786477647718</c:v>
                </c:pt>
                <c:pt idx="7">
                  <c:v>15.257497387403554</c:v>
                </c:pt>
                <c:pt idx="8">
                  <c:v>14.199268501247763</c:v>
                </c:pt>
                <c:pt idx="9">
                  <c:v>13.387873355762512</c:v>
                </c:pt>
                <c:pt idx="10">
                  <c:v>12.746915472510619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'Report Graphs'!$C$171</c:f>
              <c:numCache>
                <c:formatCode>General</c:formatCode>
                <c:ptCount val="1"/>
                <c:pt idx="0">
                  <c:v>1.5942041605675712</c:v>
                </c:pt>
              </c:numCache>
            </c:numRef>
          </c:xVal>
          <c:yVal>
            <c:numRef>
              <c:f>'Report Graphs'!$D$171</c:f>
              <c:numCache>
                <c:formatCode>0.00</c:formatCode>
                <c:ptCount val="1"/>
                <c:pt idx="0">
                  <c:v>18.027387335471719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3664"/>
        <c:axId val="55475584"/>
      </c:scatterChart>
      <c:valAx>
        <c:axId val="5547366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Power</a:t>
                </a:r>
                <a:r>
                  <a:rPr lang="en-US" baseline="0"/>
                  <a:t> Flux</a:t>
                </a:r>
                <a:r>
                  <a:rPr lang="en-US"/>
                  <a:t> (kW/m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75584"/>
        <c:crosses val="autoZero"/>
        <c:crossBetween val="midCat"/>
      </c:valAx>
      <c:valAx>
        <c:axId val="55475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CoE (cents/kWh)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736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'Report Graphs'!$B$159:$B$169</c:f>
              <c:numCache>
                <c:formatCode>General</c:formatCode>
                <c:ptCount val="11"/>
                <c:pt idx="0">
                  <c:v>1.8114473285278134</c:v>
                </c:pt>
                <c:pt idx="1">
                  <c:v>2.0378782445937902</c:v>
                </c:pt>
                <c:pt idx="2">
                  <c:v>2.2643091606597667</c:v>
                </c:pt>
                <c:pt idx="3">
                  <c:v>2.4907400767257437</c:v>
                </c:pt>
                <c:pt idx="4">
                  <c:v>2.7171709927917203</c:v>
                </c:pt>
                <c:pt idx="5">
                  <c:v>2.9436019088576972</c:v>
                </c:pt>
                <c:pt idx="6">
                  <c:v>3.170032824923676</c:v>
                </c:pt>
                <c:pt idx="7">
                  <c:v>3.3964637409896499</c:v>
                </c:pt>
                <c:pt idx="8">
                  <c:v>3.6228946570556286</c:v>
                </c:pt>
                <c:pt idx="9">
                  <c:v>3.8493255731216043</c:v>
                </c:pt>
                <c:pt idx="10">
                  <c:v>4.0757564891875795</c:v>
                </c:pt>
              </c:numCache>
            </c:numRef>
          </c:xVal>
          <c:yVal>
            <c:numRef>
              <c:f>'Report Graphs'!$D$159:$D$169</c:f>
              <c:numCache>
                <c:formatCode>General</c:formatCode>
                <c:ptCount val="11"/>
                <c:pt idx="0">
                  <c:v>49.802177016567676</c:v>
                </c:pt>
                <c:pt idx="1">
                  <c:v>37.024080739299357</c:v>
                </c:pt>
                <c:pt idx="2">
                  <c:v>29.521573517128829</c:v>
                </c:pt>
                <c:pt idx="3">
                  <c:v>24.361876480495937</c:v>
                </c:pt>
                <c:pt idx="4">
                  <c:v>20.898420963865281</c:v>
                </c:pt>
                <c:pt idx="5">
                  <c:v>18.433257775589663</c:v>
                </c:pt>
                <c:pt idx="6">
                  <c:v>16.625786477647718</c:v>
                </c:pt>
                <c:pt idx="7">
                  <c:v>15.257497387403554</c:v>
                </c:pt>
                <c:pt idx="8">
                  <c:v>14.199268501247763</c:v>
                </c:pt>
                <c:pt idx="9">
                  <c:v>13.387873355762512</c:v>
                </c:pt>
                <c:pt idx="10">
                  <c:v>12.746915472510619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'Report Graphs'!$B$171</c:f>
              <c:numCache>
                <c:formatCode>General</c:formatCode>
                <c:ptCount val="1"/>
                <c:pt idx="0">
                  <c:v>2.988888092070892</c:v>
                </c:pt>
              </c:numCache>
            </c:numRef>
          </c:xVal>
          <c:yVal>
            <c:numRef>
              <c:f>'Report Graphs'!$D$171</c:f>
              <c:numCache>
                <c:formatCode>0.00</c:formatCode>
                <c:ptCount val="1"/>
                <c:pt idx="0">
                  <c:v>18.027387335471719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2608"/>
        <c:axId val="55494528"/>
      </c:scatterChart>
      <c:valAx>
        <c:axId val="55492608"/>
        <c:scaling>
          <c:orientation val="minMax"/>
          <c:min val="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Velocity (m/s)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94528"/>
        <c:crosses val="autoZero"/>
        <c:crossBetween val="midCat"/>
      </c:valAx>
      <c:valAx>
        <c:axId val="554945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CoE (cents/kWh)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926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2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120762</xdr:colOff>
      <xdr:row>13</xdr:row>
      <xdr:rowOff>129267</xdr:rowOff>
    </xdr:from>
    <xdr:to>
      <xdr:col>11</xdr:col>
      <xdr:colOff>321995</xdr:colOff>
      <xdr:row>37</xdr:row>
      <xdr:rowOff>45923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62" y="2605767"/>
          <a:ext cx="6923162" cy="4488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5</xdr:row>
      <xdr:rowOff>152401</xdr:rowOff>
    </xdr:from>
    <xdr:to>
      <xdr:col>10</xdr:col>
      <xdr:colOff>361950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57150</xdr:rowOff>
    </xdr:from>
    <xdr:to>
      <xdr:col>10</xdr:col>
      <xdr:colOff>476250</xdr:colOff>
      <xdr:row>46</xdr:row>
      <xdr:rowOff>176743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38100</xdr:rowOff>
    </xdr:from>
    <xdr:to>
      <xdr:col>10</xdr:col>
      <xdr:colOff>533400</xdr:colOff>
      <xdr:row>67</xdr:row>
      <xdr:rowOff>157693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85725</xdr:rowOff>
    </xdr:from>
    <xdr:to>
      <xdr:col>11</xdr:col>
      <xdr:colOff>295275</xdr:colOff>
      <xdr:row>89</xdr:row>
      <xdr:rowOff>14818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89</xdr:row>
      <xdr:rowOff>57150</xdr:rowOff>
    </xdr:from>
    <xdr:to>
      <xdr:col>10</xdr:col>
      <xdr:colOff>476250</xdr:colOff>
      <xdr:row>108</xdr:row>
      <xdr:rowOff>176743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109</xdr:row>
      <xdr:rowOff>133350</xdr:rowOff>
    </xdr:from>
    <xdr:to>
      <xdr:col>11</xdr:col>
      <xdr:colOff>295275</xdr:colOff>
      <xdr:row>129</xdr:row>
      <xdr:rowOff>62443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178596</xdr:colOff>
      <xdr:row>171</xdr:row>
      <xdr:rowOff>154781</xdr:rowOff>
    </xdr:from>
    <xdr:to>
      <xdr:col>5</xdr:col>
      <xdr:colOff>59532</xdr:colOff>
      <xdr:row>187</xdr:row>
      <xdr:rowOff>83343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302419</xdr:colOff>
      <xdr:row>187</xdr:row>
      <xdr:rowOff>57150</xdr:rowOff>
    </xdr:from>
    <xdr:to>
      <xdr:col>5</xdr:col>
      <xdr:colOff>133770</xdr:colOff>
      <xdr:row>201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104776</xdr:colOff>
      <xdr:row>201</xdr:row>
      <xdr:rowOff>111920</xdr:rowOff>
    </xdr:from>
    <xdr:to>
      <xdr:col>5</xdr:col>
      <xdr:colOff>119064</xdr:colOff>
      <xdr:row>216</xdr:row>
      <xdr:rowOff>130970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absoluteAnchor>
    <xdr:pos x="47625" y="43226832"/>
    <xdr:ext cx="6867525" cy="3790950"/>
    <xdr:graphicFrame macro="">
      <xdr:nvGraphicFramePr>
        <xdr:cNvPr id="12" name="Chart 1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absoluteAnchor>
  <xdr:twoCellAnchor>
    <xdr:from>
      <xdr:col>0</xdr:col>
      <xdr:colOff>0</xdr:colOff>
      <xdr:row>131</xdr:row>
      <xdr:rowOff>47625</xdr:rowOff>
    </xdr:from>
    <xdr:to>
      <xdr:col>11</xdr:col>
      <xdr:colOff>66675</xdr:colOff>
      <xdr:row>150</xdr:row>
      <xdr:rowOff>167218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9</xdr:col>
      <xdr:colOff>0</xdr:colOff>
      <xdr:row>224</xdr:row>
      <xdr:rowOff>0</xdr:rowOff>
    </xdr:from>
    <xdr:to>
      <xdr:col>15</xdr:col>
      <xdr:colOff>160337</xdr:colOff>
      <xdr:row>239</xdr:row>
      <xdr:rowOff>10160</xdr:rowOff>
    </xdr:to>
    <xdr:pic>
      <xdr:nvPicPr>
        <xdr:cNvPr id="14" name="Picture 13"/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42672000"/>
          <a:ext cx="3803650" cy="28676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19</xdr:row>
          <xdr:rowOff>0</xdr:rowOff>
        </xdr:from>
        <xdr:to>
          <xdr:col>8</xdr:col>
          <xdr:colOff>495300</xdr:colOff>
          <xdr:row>19</xdr:row>
          <xdr:rowOff>0</xdr:rowOff>
        </xdr:to>
        <xdr:sp macro="" textlink="">
          <xdr:nvSpPr>
            <xdr:cNvPr id="29697" name="CommandButton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xdr:twoCellAnchor>
    <xdr:from>
      <xdr:col>15</xdr:col>
      <xdr:colOff>14552</xdr:colOff>
      <xdr:row>20</xdr:row>
      <xdr:rowOff>55165</xdr:rowOff>
    </xdr:from>
    <xdr:to>
      <xdr:col>25</xdr:col>
      <xdr:colOff>252678</xdr:colOff>
      <xdr:row>40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Tidal%20Energy%20Reference%20Model%201/Tidal%20Performanc%20&amp;%20Economic%20Model/3-31-2011%20Final%20Results/Previous%20Work/MCT%20Model%20Short%20MP%2004-29-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Projects/SnoPUD/Resource%20Measurements/AI_AH_ADCP_new/AI_AH_1_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rko/AppData/Local/Microsoft/Windows/Temporary%20Internet%20Files/Content.Outlook/HQ0EO667/OCT%20Cost%20JE%206-10-2012v3%20(2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Reporting"/>
      <sheetName val="Energy Model"/>
      <sheetName val="COE Model"/>
      <sheetName val="Cost Functions"/>
    </sheetNames>
    <sheetDataSet>
      <sheetData sheetId="0" refreshError="1">
        <row r="4">
          <cell r="K4">
            <v>55</v>
          </cell>
        </row>
        <row r="6">
          <cell r="K6">
            <v>0.95</v>
          </cell>
        </row>
        <row r="9">
          <cell r="K9">
            <v>9000</v>
          </cell>
        </row>
        <row r="10">
          <cell r="E10">
            <v>17</v>
          </cell>
        </row>
        <row r="11">
          <cell r="E11">
            <v>0.45</v>
          </cell>
          <cell r="K11">
            <v>22750</v>
          </cell>
        </row>
        <row r="12">
          <cell r="E12">
            <v>0.7</v>
          </cell>
        </row>
        <row r="13">
          <cell r="K13">
            <v>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AI_AH_ADCP_1_2007"/>
    </sheetNames>
    <sheetDataSet>
      <sheetData sheetId="0">
        <row r="2">
          <cell r="B2">
            <v>1024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Graphs"/>
      <sheetName val="CAPEX_S-Curve"/>
      <sheetName val="Report"/>
      <sheetName val="DB"/>
      <sheetName val="Inupt Screen Database"/>
      <sheetName val="Tables"/>
      <sheetName val="CAPEX_MonteCarlo_simulation"/>
      <sheetName val="Econ IO"/>
      <sheetName val="Sensitivity"/>
      <sheetName val="Energy IO"/>
      <sheetName val="Energy Model"/>
      <sheetName val="Non-Utility Model"/>
      <sheetName val="Non-Utility Model no taxes"/>
      <sheetName val="Utility Model"/>
      <sheetName val="Sheet1"/>
    </sheetNames>
    <sheetDataSet>
      <sheetData sheetId="0" refreshError="1">
        <row r="10">
          <cell r="E10">
            <v>1</v>
          </cell>
        </row>
        <row r="11">
          <cell r="E11">
            <v>350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irko@re-vision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3"/>
  <sheetViews>
    <sheetView zoomScale="70" zoomScaleNormal="70" workbookViewId="0">
      <selection activeCell="A40" sqref="A40"/>
    </sheetView>
  </sheetViews>
  <sheetFormatPr defaultRowHeight="15" x14ac:dyDescent="0.25"/>
  <cols>
    <col min="1" max="1" width="3.7109375" customWidth="1"/>
    <col min="2" max="2" width="12.7109375" customWidth="1"/>
    <col min="3" max="3" width="11" customWidth="1"/>
  </cols>
  <sheetData>
    <row r="1" spans="1:4" x14ac:dyDescent="0.25">
      <c r="A1" s="15" t="s">
        <v>210</v>
      </c>
    </row>
    <row r="3" spans="1:4" x14ac:dyDescent="0.25">
      <c r="A3" t="s">
        <v>115</v>
      </c>
      <c r="C3" t="s">
        <v>111</v>
      </c>
    </row>
    <row r="4" spans="1:4" x14ac:dyDescent="0.25">
      <c r="A4" t="s">
        <v>112</v>
      </c>
      <c r="C4" t="s">
        <v>182</v>
      </c>
    </row>
    <row r="5" spans="1:4" x14ac:dyDescent="0.25">
      <c r="A5" t="s">
        <v>113</v>
      </c>
      <c r="C5" s="44" t="s">
        <v>114</v>
      </c>
    </row>
    <row r="6" spans="1:4" x14ac:dyDescent="0.25">
      <c r="A6" t="s">
        <v>116</v>
      </c>
      <c r="C6" s="45">
        <v>41127</v>
      </c>
    </row>
    <row r="8" spans="1:4" x14ac:dyDescent="0.25">
      <c r="A8" t="s">
        <v>88</v>
      </c>
    </row>
    <row r="9" spans="1:4" x14ac:dyDescent="0.25">
      <c r="B9" t="s">
        <v>208</v>
      </c>
    </row>
    <row r="10" spans="1:4" x14ac:dyDescent="0.25">
      <c r="B10" t="s">
        <v>209</v>
      </c>
    </row>
    <row r="11" spans="1:4" x14ac:dyDescent="0.25">
      <c r="B11" t="s">
        <v>118</v>
      </c>
    </row>
    <row r="12" spans="1:4" s="156" customFormat="1" x14ac:dyDescent="0.25">
      <c r="B12" s="158"/>
      <c r="C12" s="157"/>
      <c r="D12" s="157"/>
    </row>
    <row r="13" spans="1:4" x14ac:dyDescent="0.25">
      <c r="A13" t="s">
        <v>117</v>
      </c>
    </row>
  </sheetData>
  <hyperlinks>
    <hyperlink ref="C5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N180"/>
  <sheetViews>
    <sheetView zoomScale="90" zoomScaleNormal="90" workbookViewId="0">
      <selection activeCell="H25" sqref="H25"/>
    </sheetView>
  </sheetViews>
  <sheetFormatPr defaultRowHeight="15" x14ac:dyDescent="0.25"/>
  <cols>
    <col min="1" max="1" width="35.7109375" customWidth="1"/>
    <col min="2" max="2" width="30.85546875" customWidth="1"/>
    <col min="3" max="3" width="21.28515625" customWidth="1"/>
    <col min="4" max="5" width="14.7109375" customWidth="1"/>
    <col min="6" max="7" width="12.7109375" customWidth="1"/>
    <col min="8" max="8" width="35.7109375" customWidth="1"/>
    <col min="9" max="14" width="12.7109375" customWidth="1"/>
  </cols>
  <sheetData>
    <row r="2" spans="1:14" x14ac:dyDescent="0.25">
      <c r="A2" s="177" t="s">
        <v>184</v>
      </c>
      <c r="B2">
        <v>0</v>
      </c>
      <c r="C2" t="s">
        <v>185</v>
      </c>
      <c r="D2" s="172"/>
      <c r="E2" s="172"/>
    </row>
    <row r="3" spans="1:14" x14ac:dyDescent="0.25">
      <c r="A3" s="172" t="s">
        <v>183</v>
      </c>
      <c r="B3" s="172">
        <v>1000</v>
      </c>
      <c r="C3" s="172"/>
      <c r="D3" s="170"/>
      <c r="E3" s="164"/>
    </row>
    <row r="4" spans="1:14" x14ac:dyDescent="0.25">
      <c r="A4" s="162" t="str">
        <f>IF(B3=1,"Total Cost ($)",IF(B3=1000,"Total Cost in Thousands ($)",IF(B3=1000000,"Total Cost in Millions ($)","CostBasisnotspecified")))</f>
        <v>Total Cost in Thousands ($)</v>
      </c>
      <c r="B4" s="164"/>
      <c r="C4" s="164"/>
      <c r="D4" s="164"/>
      <c r="E4" s="164"/>
    </row>
    <row r="5" spans="1:14" x14ac:dyDescent="0.25">
      <c r="A5" s="316"/>
      <c r="B5" s="216" t="s">
        <v>89</v>
      </c>
      <c r="C5" s="217" t="s">
        <v>85</v>
      </c>
      <c r="D5" s="218" t="s">
        <v>86</v>
      </c>
      <c r="E5" s="216" t="s">
        <v>87</v>
      </c>
    </row>
    <row r="6" spans="1:14" x14ac:dyDescent="0.25">
      <c r="A6" s="317"/>
      <c r="B6" s="216" t="s">
        <v>83</v>
      </c>
      <c r="C6" s="216" t="s">
        <v>83</v>
      </c>
      <c r="D6" s="216" t="s">
        <v>83</v>
      </c>
      <c r="E6" s="216" t="s">
        <v>83</v>
      </c>
    </row>
    <row r="7" spans="1:14" x14ac:dyDescent="0.25">
      <c r="A7" s="173" t="s">
        <v>90</v>
      </c>
      <c r="B7" s="174">
        <f>ROUND('CBS (Total)'!J4/B3,-B2)</f>
        <v>5036</v>
      </c>
      <c r="C7" s="174">
        <f>ROUND('CBS (Total)'!L4/B3,-B2)</f>
        <v>7629</v>
      </c>
      <c r="D7" s="174">
        <f>ROUND('CBS (Total)'!N4/B3,-B2)</f>
        <v>9908</v>
      </c>
      <c r="E7" s="174">
        <f>ROUND('CBS (Total)'!P4/B3,-B2)</f>
        <v>11155</v>
      </c>
    </row>
    <row r="8" spans="1:14" x14ac:dyDescent="0.25">
      <c r="A8" s="173" t="s">
        <v>10</v>
      </c>
      <c r="B8" s="174">
        <f>ROUND('CBS (Total)'!J12/B3,-B2)</f>
        <v>14494</v>
      </c>
      <c r="C8" s="174">
        <f>ROUND('CBS (Total)'!L12/B3,-B2)</f>
        <v>14627</v>
      </c>
      <c r="D8" s="174">
        <f>ROUND('CBS (Total)'!N12/B3,-B2)</f>
        <v>15269</v>
      </c>
      <c r="E8" s="174">
        <f>ROUND('CBS (Total)'!P12/B3,-B2)</f>
        <v>16045</v>
      </c>
    </row>
    <row r="9" spans="1:14" x14ac:dyDescent="0.25">
      <c r="A9" s="173" t="s">
        <v>19</v>
      </c>
      <c r="B9" s="174">
        <f>ROUND('CBS (Total)'!J18/B3,-B2)</f>
        <v>0</v>
      </c>
      <c r="C9" s="174">
        <f>ROUND('CBS (Total)'!L18/B3,-B2)</f>
        <v>0</v>
      </c>
      <c r="D9" s="174">
        <f>ROUND('CBS (Total)'!N18/B3,-B2)</f>
        <v>0</v>
      </c>
      <c r="E9" s="174">
        <f>ROUND('CBS (Total)'!P18/B3,-B2)</f>
        <v>0</v>
      </c>
    </row>
    <row r="10" spans="1:14" x14ac:dyDescent="0.25">
      <c r="A10" s="173" t="s">
        <v>29</v>
      </c>
      <c r="B10" s="174">
        <f>ROUND('CBS (Total)'!J24/B3,-B2)</f>
        <v>1275</v>
      </c>
      <c r="C10" s="174">
        <f>ROUND('CBS (Total)'!L24/B3,-B2)</f>
        <v>8800</v>
      </c>
      <c r="D10" s="174">
        <f>ROUND('CBS (Total)'!N24/B3,-B2)</f>
        <v>38474</v>
      </c>
      <c r="E10" s="174">
        <f>ROUND('CBS (Total)'!P24/B3,-B2)</f>
        <v>74316</v>
      </c>
    </row>
    <row r="11" spans="1:14" x14ac:dyDescent="0.25">
      <c r="A11" s="173" t="s">
        <v>34</v>
      </c>
      <c r="B11" s="174">
        <f>ROUND('CBS (Total)'!J29/B3,-B2)</f>
        <v>1908</v>
      </c>
      <c r="C11" s="174">
        <f>ROUND('CBS (Total)'!L29/B3,-B2)</f>
        <v>16785</v>
      </c>
      <c r="D11" s="174">
        <f>ROUND('CBS (Total)'!N29/B3,-B2)</f>
        <v>77144</v>
      </c>
      <c r="E11" s="174">
        <f>ROUND('CBS (Total)'!P29/B3,-B2)</f>
        <v>156571</v>
      </c>
    </row>
    <row r="12" spans="1:14" s="171" customFormat="1" x14ac:dyDescent="0.25">
      <c r="A12" s="173" t="s">
        <v>76</v>
      </c>
      <c r="B12" s="174">
        <f>ROUND('CBS (Total)'!J44/B3,-B2)</f>
        <v>318</v>
      </c>
      <c r="C12" s="174">
        <f>ROUND('CBS (Total)'!L44/B3,-B2)</f>
        <v>2559</v>
      </c>
      <c r="D12" s="174">
        <f>ROUND('CBS (Total)'!N44/B3,-B2)</f>
        <v>11562</v>
      </c>
      <c r="E12" s="174">
        <f>ROUND('CBS (Total)'!P44/B3,-B2)</f>
        <v>23089</v>
      </c>
    </row>
    <row r="13" spans="1:14" x14ac:dyDescent="0.25">
      <c r="A13" s="173" t="s">
        <v>49</v>
      </c>
      <c r="B13" s="174">
        <f>ROUND('CBS (Total)'!J45/B3,-B2)</f>
        <v>9297</v>
      </c>
      <c r="C13" s="174">
        <f>ROUND('CBS (Total)'!L45/B3,-B2)</f>
        <v>12344</v>
      </c>
      <c r="D13" s="174">
        <f>ROUND('CBS (Total)'!N45/B3,-B2)</f>
        <v>26212</v>
      </c>
      <c r="E13" s="174">
        <f>ROUND('CBS (Total)'!P45/B3,-B2)</f>
        <v>40164</v>
      </c>
    </row>
    <row r="14" spans="1:14" x14ac:dyDescent="0.25">
      <c r="A14" s="173" t="s">
        <v>104</v>
      </c>
      <c r="B14" s="174">
        <f>ROUND('CBS (Total)'!J53/B3,-B2)</f>
        <v>3233</v>
      </c>
      <c r="C14" s="174">
        <f>ROUND('CBS (Total)'!L53/B3,-B2)</f>
        <v>6274</v>
      </c>
      <c r="D14" s="174">
        <f>ROUND('CBS (Total)'!N53/B3,-B2)</f>
        <v>17857</v>
      </c>
      <c r="E14" s="174">
        <f>ROUND('CBS (Total)'!P53/B3,-B2)</f>
        <v>32134</v>
      </c>
    </row>
    <row r="15" spans="1:14" x14ac:dyDescent="0.25">
      <c r="A15" s="173" t="s">
        <v>84</v>
      </c>
      <c r="B15" s="174">
        <f>SUM(B7:B14)</f>
        <v>35561</v>
      </c>
      <c r="C15" s="174">
        <f>SUM(C7:C14)</f>
        <v>69018</v>
      </c>
      <c r="D15" s="174">
        <f>SUM(D7:D14)</f>
        <v>196426</v>
      </c>
      <c r="E15" s="174">
        <f>SUM(E7:E14)</f>
        <v>353474</v>
      </c>
    </row>
    <row r="16" spans="1:14" s="175" customFormat="1" x14ac:dyDescent="0.25">
      <c r="A16" s="163"/>
      <c r="B16" s="166"/>
      <c r="C16" s="166"/>
      <c r="D16" s="166"/>
      <c r="E16" s="166"/>
      <c r="J16" s="190"/>
      <c r="L16" s="190"/>
      <c r="N16" s="190"/>
    </row>
    <row r="17" spans="1:14" s="175" customFormat="1" x14ac:dyDescent="0.25">
      <c r="A17" s="175" t="s">
        <v>184</v>
      </c>
      <c r="B17">
        <v>1</v>
      </c>
      <c r="C17" s="175" t="s">
        <v>185</v>
      </c>
      <c r="D17" s="166"/>
      <c r="E17" s="166"/>
      <c r="N17" s="190"/>
    </row>
    <row r="19" spans="1:14" s="175" customFormat="1" x14ac:dyDescent="0.25">
      <c r="A19" s="199" t="s">
        <v>0</v>
      </c>
    </row>
    <row r="20" spans="1:14" x14ac:dyDescent="0.25">
      <c r="A20" s="167"/>
      <c r="B20" s="216" t="s">
        <v>89</v>
      </c>
      <c r="C20" s="217" t="s">
        <v>85</v>
      </c>
      <c r="D20" s="218" t="s">
        <v>86</v>
      </c>
      <c r="E20" s="216" t="s">
        <v>87</v>
      </c>
    </row>
    <row r="21" spans="1:14" x14ac:dyDescent="0.25">
      <c r="A21" s="165"/>
      <c r="B21" s="216" t="s">
        <v>186</v>
      </c>
      <c r="C21" s="216" t="s">
        <v>186</v>
      </c>
      <c r="D21" s="216" t="s">
        <v>186</v>
      </c>
      <c r="E21" s="216" t="s">
        <v>186</v>
      </c>
    </row>
    <row r="22" spans="1:14" x14ac:dyDescent="0.25">
      <c r="A22" s="173" t="s">
        <v>90</v>
      </c>
      <c r="B22" s="176">
        <f>ROUND('CBS ($ per kW)'!J6,-B17)</f>
        <v>4520</v>
      </c>
      <c r="C22" s="176">
        <f>ROUND('CBS ($ per kW)'!L6,-B17)</f>
        <v>680</v>
      </c>
      <c r="D22" s="176">
        <f>ROUND('CBS ($ per kW)'!N6,-B17)</f>
        <v>180</v>
      </c>
      <c r="E22" s="176">
        <f>ROUND('CBS ($ per kW)'!P6,-B17)</f>
        <v>100</v>
      </c>
    </row>
    <row r="23" spans="1:14" x14ac:dyDescent="0.25">
      <c r="A23" s="173" t="s">
        <v>10</v>
      </c>
      <c r="B23" s="176">
        <f>ROUND('CBS ($ per kW)'!J14,-B17)</f>
        <v>13000</v>
      </c>
      <c r="C23" s="176">
        <f>ROUND('CBS ($ per kW)'!L14,-B17)</f>
        <v>1310</v>
      </c>
      <c r="D23" s="176">
        <f>ROUND('CBS ($ per kW)'!N14,-B17)</f>
        <v>270</v>
      </c>
      <c r="E23" s="176">
        <f>ROUND('CBS ($ per kW)'!P14,-B17)</f>
        <v>140</v>
      </c>
    </row>
    <row r="24" spans="1:14" x14ac:dyDescent="0.25">
      <c r="A24" s="173" t="s">
        <v>19</v>
      </c>
      <c r="B24" s="176">
        <f>ROUND('CBS ($ per kW)'!J20,-B17)</f>
        <v>0</v>
      </c>
      <c r="C24" s="176">
        <f>ROUND('CBS ($ per kW)'!L20,-B17)</f>
        <v>0</v>
      </c>
      <c r="D24" s="176">
        <f>ROUND('CBS ($ per kW)'!N20,-B17)</f>
        <v>0</v>
      </c>
      <c r="E24" s="176">
        <f>ROUND('CBS ($ per kW)'!P20,-B17)</f>
        <v>0</v>
      </c>
    </row>
    <row r="25" spans="1:14" x14ac:dyDescent="0.25">
      <c r="A25" s="173" t="s">
        <v>29</v>
      </c>
      <c r="B25" s="176">
        <f>ROUND('CBS ($ per kW)'!J26,-B17)</f>
        <v>1140</v>
      </c>
      <c r="C25" s="176">
        <f>ROUND('CBS ($ per kW)'!L26,-B17)</f>
        <v>790</v>
      </c>
      <c r="D25" s="176">
        <f>ROUND('CBS ($ per kW)'!N26,-B17)</f>
        <v>690</v>
      </c>
      <c r="E25" s="176">
        <f>ROUND('CBS ($ per kW)'!P26,-B17)</f>
        <v>670</v>
      </c>
    </row>
    <row r="26" spans="1:14" x14ac:dyDescent="0.25">
      <c r="A26" s="173" t="s">
        <v>34</v>
      </c>
      <c r="B26" s="176">
        <f>ROUND('CBS ($ per kW)'!J31,-B17)</f>
        <v>1710</v>
      </c>
      <c r="C26" s="176">
        <f>ROUND('CBS ($ per kW)'!L31,-B17)</f>
        <v>1510</v>
      </c>
      <c r="D26" s="176">
        <f>ROUND('CBS ($ per kW)'!N31,-B17)</f>
        <v>1380</v>
      </c>
      <c r="E26" s="176">
        <f>ROUND('CBS ($ per kW)'!P31,-B17)</f>
        <v>1400</v>
      </c>
    </row>
    <row r="27" spans="1:14" x14ac:dyDescent="0.25">
      <c r="A27" s="173" t="s">
        <v>76</v>
      </c>
      <c r="B27" s="176">
        <f>ROUND('CBS ($ per kW)'!J46,-B17)</f>
        <v>290</v>
      </c>
      <c r="C27" s="176">
        <f>ROUND('CBS ($ per kW)'!L46,-B17)</f>
        <v>230</v>
      </c>
      <c r="D27" s="176">
        <f>ROUND('CBS ($ per kW)'!N46,-B17)</f>
        <v>210</v>
      </c>
      <c r="E27" s="176">
        <f>ROUND('CBS ($ per kW)'!P46,-B17)</f>
        <v>210</v>
      </c>
    </row>
    <row r="28" spans="1:14" x14ac:dyDescent="0.25">
      <c r="A28" s="173" t="s">
        <v>49</v>
      </c>
      <c r="B28" s="176">
        <f>ROUND('CBS ($ per kW)'!J47,-B17)</f>
        <v>8340</v>
      </c>
      <c r="C28" s="176">
        <f>ROUND('CBS ($ per kW)'!L47,-B17)</f>
        <v>1110</v>
      </c>
      <c r="D28" s="176">
        <f>ROUND('CBS ($ per kW)'!N47,-B17)</f>
        <v>470</v>
      </c>
      <c r="E28" s="176">
        <f>ROUND('CBS ($ per kW)'!P47,-B17)</f>
        <v>360</v>
      </c>
    </row>
    <row r="29" spans="1:14" x14ac:dyDescent="0.25">
      <c r="A29" s="173" t="s">
        <v>104</v>
      </c>
      <c r="B29" s="176">
        <f>ROUND('CBS ($ per kW)'!J55,-B17)</f>
        <v>2900</v>
      </c>
      <c r="C29" s="176">
        <f>ROUND('CBS ($ per kW)'!L55,-B17)</f>
        <v>560</v>
      </c>
      <c r="D29" s="176">
        <f>ROUND('CBS ($ per kW)'!N55,-B17)</f>
        <v>320</v>
      </c>
      <c r="E29" s="176">
        <f>ROUND('CBS ($ per kW)'!P55,-B17)</f>
        <v>290</v>
      </c>
    </row>
    <row r="30" spans="1:14" x14ac:dyDescent="0.25">
      <c r="A30" s="173" t="s">
        <v>84</v>
      </c>
      <c r="B30" s="168">
        <f>SUM(B22:B29)</f>
        <v>31900</v>
      </c>
      <c r="C30" s="168">
        <f>SUM(C22:C29)</f>
        <v>6190</v>
      </c>
      <c r="D30" s="168">
        <f>SUM(D22:D29)</f>
        <v>3520</v>
      </c>
      <c r="E30" s="168">
        <f>SUM(E22:E29)</f>
        <v>3170</v>
      </c>
    </row>
    <row r="31" spans="1:14" s="210" customFormat="1" x14ac:dyDescent="0.25">
      <c r="A31" s="163"/>
      <c r="B31" s="213"/>
      <c r="C31" s="213"/>
      <c r="D31" s="213"/>
      <c r="E31" s="213"/>
    </row>
    <row r="32" spans="1:14" s="210" customFormat="1" x14ac:dyDescent="0.25">
      <c r="A32" s="163"/>
      <c r="B32" s="213"/>
      <c r="C32" s="213"/>
      <c r="D32" s="213"/>
      <c r="E32" s="213"/>
    </row>
    <row r="33" spans="1:7" s="210" customFormat="1" x14ac:dyDescent="0.25">
      <c r="A33" s="163"/>
      <c r="B33" s="213"/>
      <c r="C33" s="213"/>
      <c r="D33" s="213"/>
      <c r="E33" s="213"/>
    </row>
    <row r="34" spans="1:7" s="210" customFormat="1" x14ac:dyDescent="0.25">
      <c r="A34" t="s">
        <v>0</v>
      </c>
      <c r="B34"/>
      <c r="C34"/>
      <c r="D34"/>
      <c r="E34"/>
      <c r="F34"/>
      <c r="G34"/>
    </row>
    <row r="35" spans="1:7" s="210" customFormat="1" x14ac:dyDescent="0.25">
      <c r="A35" s="185"/>
      <c r="B35" s="318" t="s">
        <v>85</v>
      </c>
      <c r="C35" s="319"/>
      <c r="D35" s="318" t="s">
        <v>86</v>
      </c>
      <c r="E35" s="319"/>
      <c r="F35" s="318" t="s">
        <v>87</v>
      </c>
      <c r="G35" s="319"/>
    </row>
    <row r="36" spans="1:7" s="210" customFormat="1" x14ac:dyDescent="0.25">
      <c r="A36" s="183"/>
      <c r="B36" s="184" t="s">
        <v>187</v>
      </c>
      <c r="C36" s="184" t="s">
        <v>188</v>
      </c>
      <c r="D36" s="184" t="s">
        <v>187</v>
      </c>
      <c r="E36" s="184" t="s">
        <v>188</v>
      </c>
      <c r="F36" s="184" t="s">
        <v>187</v>
      </c>
      <c r="G36" s="184" t="s">
        <v>188</v>
      </c>
    </row>
    <row r="37" spans="1:7" s="210" customFormat="1" x14ac:dyDescent="0.25">
      <c r="A37" s="180" t="s">
        <v>90</v>
      </c>
      <c r="B37" s="182">
        <f>'CBS (CoE)'!L6</f>
        <v>3.1492809259130765</v>
      </c>
      <c r="C37" s="181">
        <f t="shared" ref="C37:C44" si="0">B37/B$45</f>
        <v>0.11053583070659502</v>
      </c>
      <c r="D37" s="182">
        <f>'CBS (CoE)'!N6</f>
        <v>0.81799784382687191</v>
      </c>
      <c r="E37" s="192">
        <f t="shared" ref="E37:E44" si="1">D37/D$45</f>
        <v>5.0440923763834765E-2</v>
      </c>
      <c r="F37" s="179">
        <f>'CBS (CoE)'!P6</f>
        <v>0.46049668307939251</v>
      </c>
      <c r="G37" s="192">
        <f t="shared" ref="G37:G44" si="2">F37/F$45</f>
        <v>3.1559345604376447E-2</v>
      </c>
    </row>
    <row r="38" spans="1:7" s="210" customFormat="1" x14ac:dyDescent="0.25">
      <c r="A38" s="180" t="s">
        <v>10</v>
      </c>
      <c r="B38" s="182">
        <f>'CBS (CoE)'!L14</f>
        <v>6.0380058844208566</v>
      </c>
      <c r="C38" s="192">
        <f t="shared" si="0"/>
        <v>0.21192647208894624</v>
      </c>
      <c r="D38" s="182">
        <f>'CBS (CoE)'!N14</f>
        <v>1.2606344193521384</v>
      </c>
      <c r="E38" s="192">
        <f t="shared" si="1"/>
        <v>7.7735614000060294E-2</v>
      </c>
      <c r="F38" s="179">
        <f>'CBS (CoE)'!P14</f>
        <v>0.66233728060012476</v>
      </c>
      <c r="G38" s="192">
        <f t="shared" si="2"/>
        <v>4.5392142686765891E-2</v>
      </c>
    </row>
    <row r="39" spans="1:7" s="210" customFormat="1" x14ac:dyDescent="0.25">
      <c r="A39" s="180" t="s">
        <v>19</v>
      </c>
      <c r="B39" s="182">
        <f>'CBS (CoE)'!L20</f>
        <v>0</v>
      </c>
      <c r="C39" s="192">
        <f t="shared" si="0"/>
        <v>0</v>
      </c>
      <c r="D39" s="182">
        <f>'CBS (CoE)'!N20</f>
        <v>0</v>
      </c>
      <c r="E39" s="192">
        <f t="shared" si="1"/>
        <v>0</v>
      </c>
      <c r="F39" s="179">
        <f>'CBS (CoE)'!P20</f>
        <v>0</v>
      </c>
      <c r="G39" s="192">
        <f t="shared" si="2"/>
        <v>0</v>
      </c>
    </row>
    <row r="40" spans="1:7" s="210" customFormat="1" x14ac:dyDescent="0.25">
      <c r="A40" s="180" t="s">
        <v>29</v>
      </c>
      <c r="B40" s="182">
        <f>'CBS (CoE)'!L26</f>
        <v>3.6326679568666096</v>
      </c>
      <c r="C40" s="192">
        <f t="shared" si="0"/>
        <v>0.12750211230427491</v>
      </c>
      <c r="D40" s="182">
        <f>'CBS (CoE)'!N26</f>
        <v>3.1764219916291525</v>
      </c>
      <c r="E40" s="192">
        <f t="shared" si="1"/>
        <v>0.19587051571182987</v>
      </c>
      <c r="F40" s="179">
        <f>'CBS (CoE)'!P26</f>
        <v>3.0677642218309975</v>
      </c>
      <c r="G40" s="192">
        <f t="shared" si="2"/>
        <v>0.21024392762632263</v>
      </c>
    </row>
    <row r="41" spans="1:7" s="210" customFormat="1" x14ac:dyDescent="0.25">
      <c r="A41" s="180" t="s">
        <v>34</v>
      </c>
      <c r="B41" s="182">
        <f>'CBS (CoE)'!L31</f>
        <v>6.9290484517022577</v>
      </c>
      <c r="C41" s="192">
        <f t="shared" si="0"/>
        <v>0.24320095432359501</v>
      </c>
      <c r="D41" s="182">
        <f>'CBS (CoE)'!N31</f>
        <v>6.3690368376682702</v>
      </c>
      <c r="E41" s="192">
        <f t="shared" si="1"/>
        <v>0.39273954571190128</v>
      </c>
      <c r="F41" s="179">
        <f>'CBS (CoE)'!P31</f>
        <v>6.4632673363895972</v>
      </c>
      <c r="G41" s="192">
        <f t="shared" si="2"/>
        <v>0.44294887476405576</v>
      </c>
    </row>
    <row r="42" spans="1:7" s="210" customFormat="1" x14ac:dyDescent="0.25">
      <c r="A42" s="180" t="s">
        <v>76</v>
      </c>
      <c r="B42" s="182">
        <f>'CBS (CoE)'!L46</f>
        <v>1.0561716408568869</v>
      </c>
      <c r="C42" s="192">
        <f t="shared" si="0"/>
        <v>3.7070306662786996E-2</v>
      </c>
      <c r="D42" s="182">
        <f>'CBS (CoE)'!N46</f>
        <v>0.95454588292974218</v>
      </c>
      <c r="E42" s="192">
        <f t="shared" si="1"/>
        <v>5.8861006142373107E-2</v>
      </c>
      <c r="F42" s="179">
        <f>'CBS (CoE)'!P46</f>
        <v>0.95310315582205973</v>
      </c>
      <c r="G42" s="192">
        <f t="shared" si="2"/>
        <v>6.5319280239037852E-2</v>
      </c>
    </row>
    <row r="43" spans="1:7" s="210" customFormat="1" x14ac:dyDescent="0.25">
      <c r="A43" s="180" t="s">
        <v>49</v>
      </c>
      <c r="B43" s="182">
        <f>'CBS (CoE)'!L47</f>
        <v>5.0957718433998105</v>
      </c>
      <c r="C43" s="192">
        <f t="shared" si="0"/>
        <v>0.17885523300471093</v>
      </c>
      <c r="D43" s="182">
        <f>'CBS (CoE)'!N47</f>
        <v>2.1640431341152722</v>
      </c>
      <c r="E43" s="192">
        <f t="shared" si="1"/>
        <v>0.13344330376090976</v>
      </c>
      <c r="F43" s="179">
        <f>'CBS (CoE)'!P47</f>
        <v>1.6579878743534766</v>
      </c>
      <c r="G43" s="192">
        <f t="shared" si="2"/>
        <v>0.11362733817035048</v>
      </c>
    </row>
    <row r="44" spans="1:7" s="210" customFormat="1" x14ac:dyDescent="0.25">
      <c r="A44" s="180" t="s">
        <v>104</v>
      </c>
      <c r="B44" s="182">
        <f>'CBS (CoE)'!L55</f>
        <v>2.59009467031595</v>
      </c>
      <c r="C44" s="192">
        <f t="shared" si="0"/>
        <v>9.0909090909090912E-2</v>
      </c>
      <c r="D44" s="182">
        <f>'CBS (CoE)'!N55</f>
        <v>1.4742680109521447</v>
      </c>
      <c r="E44" s="192">
        <f t="shared" si="1"/>
        <v>9.0909090909090898E-2</v>
      </c>
      <c r="F44" s="179">
        <f>'CBS (CoE)'!P55</f>
        <v>1.3264956552075646</v>
      </c>
      <c r="G44" s="192">
        <f t="shared" si="2"/>
        <v>9.0909090909090898E-2</v>
      </c>
    </row>
    <row r="45" spans="1:7" s="210" customFormat="1" x14ac:dyDescent="0.25">
      <c r="A45" s="180" t="s">
        <v>84</v>
      </c>
      <c r="B45" s="182">
        <f>SUM(B37:B44)</f>
        <v>28.491041373475447</v>
      </c>
      <c r="C45" s="178"/>
      <c r="D45" s="182">
        <f>SUM(D37:D44)</f>
        <v>16.216948120473592</v>
      </c>
      <c r="E45" s="178"/>
      <c r="F45" s="182">
        <f>SUM(F37:F44)</f>
        <v>14.591452207283213</v>
      </c>
      <c r="G45" s="178"/>
    </row>
    <row r="46" spans="1:7" s="210" customFormat="1" x14ac:dyDescent="0.25">
      <c r="A46" s="163"/>
      <c r="B46" s="213"/>
      <c r="C46" s="213"/>
      <c r="D46" s="213"/>
      <c r="E46" s="213"/>
    </row>
    <row r="47" spans="1:7" x14ac:dyDescent="0.25">
      <c r="A47" t="s">
        <v>184</v>
      </c>
      <c r="B47">
        <v>0</v>
      </c>
      <c r="C47" t="s">
        <v>185</v>
      </c>
    </row>
    <row r="48" spans="1:7" x14ac:dyDescent="0.25">
      <c r="A48" t="s">
        <v>183</v>
      </c>
      <c r="B48">
        <v>1000</v>
      </c>
    </row>
    <row r="49" spans="1:5" x14ac:dyDescent="0.25">
      <c r="A49" s="198" t="str">
        <f>IF(B48=1,"Annual Cost ($)",IF(B48=1000,"Annual Cost in Thousands ($)",IF(B48=1000000,"Annual Cost in Millions ($)","CostBasisnotspecified")))</f>
        <v>Annual Cost in Thousands ($)</v>
      </c>
    </row>
    <row r="50" spans="1:5" x14ac:dyDescent="0.25">
      <c r="A50" s="322"/>
      <c r="B50" s="216" t="s">
        <v>89</v>
      </c>
      <c r="C50" s="217" t="s">
        <v>85</v>
      </c>
      <c r="D50" s="218" t="s">
        <v>86</v>
      </c>
      <c r="E50" s="216" t="s">
        <v>87</v>
      </c>
    </row>
    <row r="51" spans="1:5" x14ac:dyDescent="0.25">
      <c r="A51" s="323"/>
      <c r="B51" s="216" t="s">
        <v>191</v>
      </c>
      <c r="C51" s="216" t="s">
        <v>191</v>
      </c>
      <c r="D51" s="216" t="s">
        <v>191</v>
      </c>
      <c r="E51" s="216" t="s">
        <v>191</v>
      </c>
    </row>
    <row r="52" spans="1:5" x14ac:dyDescent="0.25">
      <c r="A52" s="186" t="s">
        <v>54</v>
      </c>
      <c r="B52" s="187">
        <f>ROUND('CBS (Total)'!J58/B48,-B47)</f>
        <v>546</v>
      </c>
      <c r="C52" s="187">
        <f>ROUND('CBS (Total)'!L58/B48,-B47)</f>
        <v>1102</v>
      </c>
      <c r="D52" s="187">
        <f>ROUND('CBS (Total)'!N58/B48,-B47)</f>
        <v>1687</v>
      </c>
      <c r="E52" s="187">
        <f>ROUND('CBS (Total)'!P58/B48,-B47)</f>
        <v>1551</v>
      </c>
    </row>
    <row r="53" spans="1:5" x14ac:dyDescent="0.25">
      <c r="A53" s="186" t="s">
        <v>190</v>
      </c>
      <c r="B53" s="187">
        <f>ROUND('CBS (Total)'!J59/B48,-B47)</f>
        <v>670</v>
      </c>
      <c r="C53" s="187">
        <f>ROUND('CBS (Total)'!L59/B48,-B47)</f>
        <v>983</v>
      </c>
      <c r="D53" s="187">
        <f>ROUND('CBS (Total)'!N59/B48,-B47)</f>
        <v>983</v>
      </c>
      <c r="E53" s="187">
        <f>ROUND('CBS (Total)'!P59/B48,-B47)</f>
        <v>983</v>
      </c>
    </row>
    <row r="54" spans="1:5" x14ac:dyDescent="0.25">
      <c r="A54" s="186" t="s">
        <v>56</v>
      </c>
      <c r="B54" s="187">
        <f>ROUND('CBS (Total)'!J60/B48,-B47)</f>
        <v>61</v>
      </c>
      <c r="C54" s="187">
        <f>ROUND('CBS (Total)'!L60/B48,-B47)</f>
        <v>614</v>
      </c>
      <c r="D54" s="187">
        <f>ROUND('CBS (Total)'!N60/B48,-B47)</f>
        <v>1534</v>
      </c>
      <c r="E54" s="187">
        <f>ROUND('CBS (Total)'!P60/B48,-B47)</f>
        <v>3068</v>
      </c>
    </row>
    <row r="55" spans="1:5" x14ac:dyDescent="0.25">
      <c r="A55" s="186" t="s">
        <v>57</v>
      </c>
      <c r="B55" s="187">
        <f>ROUND('CBS (Total)'!J61/B48,-B47)</f>
        <v>280</v>
      </c>
      <c r="C55" s="187">
        <f>ROUND('CBS (Total)'!L61/B48,-B47)</f>
        <v>280</v>
      </c>
      <c r="D55" s="187">
        <f>ROUND('CBS (Total)'!N61/B48,-B47)</f>
        <v>335</v>
      </c>
      <c r="E55" s="187">
        <f>ROUND('CBS (Total)'!P61/B48,-B47)</f>
        <v>555</v>
      </c>
    </row>
    <row r="56" spans="1:5" x14ac:dyDescent="0.25">
      <c r="A56" s="186" t="s">
        <v>58</v>
      </c>
      <c r="B56" s="187">
        <f>ROUND('CBS (Total)'!J62/B48,-B47)</f>
        <v>41</v>
      </c>
      <c r="C56" s="187">
        <f>ROUND('CBS (Total)'!L62/B48,-B47)</f>
        <v>336</v>
      </c>
      <c r="D56" s="187">
        <f>ROUND('CBS (Total)'!N62/B48,-B47)</f>
        <v>1544</v>
      </c>
      <c r="E56" s="187">
        <f>ROUND('CBS (Total)'!P62/B48,-B47)</f>
        <v>3127</v>
      </c>
    </row>
    <row r="57" spans="1:5" x14ac:dyDescent="0.25">
      <c r="A57" s="186" t="s">
        <v>59</v>
      </c>
      <c r="B57" s="187">
        <f>ROUND('CBS (Total)'!J63/B48,-B47)</f>
        <v>2</v>
      </c>
      <c r="C57" s="187">
        <f>ROUND('CBS (Total)'!L63/B48,-B47)</f>
        <v>19</v>
      </c>
      <c r="D57" s="187">
        <f>ROUND('CBS (Total)'!N63/B48,-B47)</f>
        <v>94</v>
      </c>
      <c r="E57" s="187">
        <f>ROUND('CBS (Total)'!P63/B48,-B47)</f>
        <v>187</v>
      </c>
    </row>
    <row r="58" spans="1:5" x14ac:dyDescent="0.25">
      <c r="A58" s="186" t="s">
        <v>84</v>
      </c>
      <c r="B58" s="187">
        <f>SUM(B52:B57)</f>
        <v>1600</v>
      </c>
      <c r="C58" s="187">
        <f t="shared" ref="C58:E58" si="3">SUM(C52:C57)</f>
        <v>3334</v>
      </c>
      <c r="D58" s="187">
        <f t="shared" si="3"/>
        <v>6177</v>
      </c>
      <c r="E58" s="187">
        <f t="shared" si="3"/>
        <v>9471</v>
      </c>
    </row>
    <row r="60" spans="1:5" x14ac:dyDescent="0.25">
      <c r="A60" t="s">
        <v>184</v>
      </c>
      <c r="B60">
        <v>0</v>
      </c>
      <c r="C60" t="s">
        <v>185</v>
      </c>
    </row>
    <row r="62" spans="1:5" x14ac:dyDescent="0.25">
      <c r="A62" t="s">
        <v>194</v>
      </c>
    </row>
    <row r="63" spans="1:5" x14ac:dyDescent="0.25">
      <c r="A63" s="322"/>
      <c r="B63" s="216" t="s">
        <v>89</v>
      </c>
      <c r="C63" s="217" t="s">
        <v>85</v>
      </c>
      <c r="D63" s="218" t="s">
        <v>86</v>
      </c>
      <c r="E63" s="216" t="s">
        <v>87</v>
      </c>
    </row>
    <row r="64" spans="1:5" x14ac:dyDescent="0.25">
      <c r="A64" s="323"/>
      <c r="B64" s="216" t="s">
        <v>189</v>
      </c>
      <c r="C64" s="216" t="s">
        <v>189</v>
      </c>
      <c r="D64" s="216" t="s">
        <v>189</v>
      </c>
      <c r="E64" s="216" t="s">
        <v>189</v>
      </c>
    </row>
    <row r="65" spans="1:7" x14ac:dyDescent="0.25">
      <c r="A65" s="188" t="s">
        <v>54</v>
      </c>
      <c r="B65" s="189">
        <f>ROUND('CBS ($ per kW)'!J60,-B60)</f>
        <v>490</v>
      </c>
      <c r="C65" s="189">
        <f>ROUND('CBS ($ per kW)'!L60,-B60)</f>
        <v>99</v>
      </c>
      <c r="D65" s="189">
        <f>ROUND('CBS ($ per kW)'!N60,-B60)</f>
        <v>30</v>
      </c>
      <c r="E65" s="303">
        <f>ROUND('CBS ($ per kW)'!P60,-B60)</f>
        <v>14</v>
      </c>
    </row>
    <row r="66" spans="1:7" x14ac:dyDescent="0.25">
      <c r="A66" s="188" t="s">
        <v>190</v>
      </c>
      <c r="B66" s="189">
        <f>ROUND('CBS ($ per kW)'!J61,-B60)</f>
        <v>601</v>
      </c>
      <c r="C66" s="189">
        <f>ROUND('CBS ($ per kW)'!L61,-B60)</f>
        <v>88</v>
      </c>
      <c r="D66" s="189">
        <f>ROUND('CBS ($ per kW)'!N61,-B60)</f>
        <v>18</v>
      </c>
      <c r="E66" s="303">
        <f>ROUND('CBS ($ per kW)'!P61,-B60)</f>
        <v>9</v>
      </c>
    </row>
    <row r="67" spans="1:7" x14ac:dyDescent="0.25">
      <c r="A67" s="188" t="s">
        <v>56</v>
      </c>
      <c r="B67" s="189">
        <f>ROUND('CBS ($ per kW)'!J62,-B60)</f>
        <v>55</v>
      </c>
      <c r="C67" s="189">
        <f>ROUND('CBS ($ per kW)'!L62,-B60)</f>
        <v>55</v>
      </c>
      <c r="D67" s="189">
        <f>ROUND('CBS ($ per kW)'!N62,-B60)</f>
        <v>28</v>
      </c>
      <c r="E67" s="303">
        <f>ROUND('CBS ($ per kW)'!P62,-B60)</f>
        <v>28</v>
      </c>
    </row>
    <row r="68" spans="1:7" x14ac:dyDescent="0.25">
      <c r="A68" s="188" t="s">
        <v>57</v>
      </c>
      <c r="B68" s="189">
        <f>ROUND('CBS ($ per kW)'!J63,-B60)</f>
        <v>251</v>
      </c>
      <c r="C68" s="189">
        <f>ROUND('CBS ($ per kW)'!L63,-B60)</f>
        <v>25</v>
      </c>
      <c r="D68" s="189">
        <f>ROUND('CBS ($ per kW)'!N63,-B60)</f>
        <v>6</v>
      </c>
      <c r="E68" s="303">
        <f>ROUND('CBS ($ per kW)'!P63,-B60)</f>
        <v>5</v>
      </c>
    </row>
    <row r="69" spans="1:7" x14ac:dyDescent="0.25">
      <c r="A69" s="188" t="s">
        <v>58</v>
      </c>
      <c r="B69" s="189">
        <f>ROUND('CBS ($ per kW)'!J64,-B60)</f>
        <v>36</v>
      </c>
      <c r="C69" s="189">
        <f>ROUND('CBS ($ per kW)'!L64,-B60)</f>
        <v>30</v>
      </c>
      <c r="D69" s="189">
        <f>ROUND('CBS ($ per kW)'!N64,-B60)</f>
        <v>28</v>
      </c>
      <c r="E69" s="303">
        <f>ROUND('CBS ($ per kW)'!P64,-B60)</f>
        <v>28</v>
      </c>
    </row>
    <row r="70" spans="1:7" x14ac:dyDescent="0.25">
      <c r="A70" s="188" t="s">
        <v>59</v>
      </c>
      <c r="B70" s="189">
        <f>ROUND('CBS ($ per kW)'!J65,-B60)</f>
        <v>2</v>
      </c>
      <c r="C70" s="189">
        <f>ROUND('CBS ($ per kW)'!L65,-B60)</f>
        <v>2</v>
      </c>
      <c r="D70" s="189">
        <f>ROUND('CBS ($ per kW)'!N65,-B60)</f>
        <v>2</v>
      </c>
      <c r="E70" s="303">
        <f>ROUND('CBS ($ per kW)'!P65,-B60)</f>
        <v>2</v>
      </c>
    </row>
    <row r="71" spans="1:7" x14ac:dyDescent="0.25">
      <c r="A71" s="188" t="s">
        <v>84</v>
      </c>
      <c r="B71" s="189">
        <f>SUM(B65:B70)</f>
        <v>1435</v>
      </c>
      <c r="C71" s="189">
        <f t="shared" ref="C71:D71" si="4">SUM(C65:C70)</f>
        <v>299</v>
      </c>
      <c r="D71" s="189">
        <f t="shared" si="4"/>
        <v>112</v>
      </c>
      <c r="E71" s="303">
        <f>SUM(E65:E70)</f>
        <v>86</v>
      </c>
    </row>
    <row r="73" spans="1:7" x14ac:dyDescent="0.25">
      <c r="A73" s="199"/>
    </row>
    <row r="76" spans="1:7" x14ac:dyDescent="0.25">
      <c r="A76" t="s">
        <v>194</v>
      </c>
    </row>
    <row r="77" spans="1:7" x14ac:dyDescent="0.25">
      <c r="A77" s="320"/>
      <c r="B77" s="318" t="s">
        <v>85</v>
      </c>
      <c r="C77" s="319"/>
      <c r="D77" s="318" t="s">
        <v>86</v>
      </c>
      <c r="E77" s="319"/>
      <c r="F77" s="318" t="s">
        <v>87</v>
      </c>
      <c r="G77" s="319"/>
    </row>
    <row r="78" spans="1:7" x14ac:dyDescent="0.25">
      <c r="A78" s="321"/>
      <c r="B78" s="197" t="s">
        <v>187</v>
      </c>
      <c r="C78" s="197" t="s">
        <v>188</v>
      </c>
      <c r="D78" s="197" t="s">
        <v>187</v>
      </c>
      <c r="E78" s="197" t="s">
        <v>188</v>
      </c>
      <c r="F78" s="197" t="s">
        <v>187</v>
      </c>
      <c r="G78" s="197" t="s">
        <v>188</v>
      </c>
    </row>
    <row r="79" spans="1:7" x14ac:dyDescent="0.25">
      <c r="A79" s="193" t="s">
        <v>54</v>
      </c>
      <c r="B79" s="194">
        <f>'CBS (CoE)'!L60</f>
        <v>4.0419799351383769</v>
      </c>
      <c r="C79" s="192">
        <f t="shared" ref="C79:C84" si="5">B79/B$85</f>
        <v>0.3307031099665792</v>
      </c>
      <c r="D79" s="194">
        <f>'CBS (CoE)'!N60</f>
        <v>1.2369047363864385</v>
      </c>
      <c r="E79" s="192">
        <f t="shared" ref="E79:E84" si="6">D79/D$85</f>
        <v>0.27308980124028187</v>
      </c>
      <c r="F79" s="194">
        <f>'CBS (CoE)'!P60</f>
        <v>0.56869868757617703</v>
      </c>
      <c r="G79" s="192">
        <f t="shared" ref="G79:G84" si="7">F79/F$85</f>
        <v>0.16375221034030216</v>
      </c>
    </row>
    <row r="80" spans="1:7" x14ac:dyDescent="0.25">
      <c r="A80" s="193" t="s">
        <v>190</v>
      </c>
      <c r="B80" s="194">
        <f>'CBS (CoE)'!L61</f>
        <v>3.6035761719472683</v>
      </c>
      <c r="C80" s="192">
        <f t="shared" si="5"/>
        <v>0.29483418180887722</v>
      </c>
      <c r="D80" s="194">
        <f>'CBS (CoE)'!N61</f>
        <v>0.72071523438945362</v>
      </c>
      <c r="E80" s="192">
        <f t="shared" si="6"/>
        <v>0.1591229900899723</v>
      </c>
      <c r="F80" s="194">
        <f>'CBS (CoE)'!P61</f>
        <v>0.36035761719472681</v>
      </c>
      <c r="G80" s="192">
        <f t="shared" si="7"/>
        <v>0.10376207580169017</v>
      </c>
    </row>
    <row r="81" spans="1:7" x14ac:dyDescent="0.25">
      <c r="A81" s="193" t="s">
        <v>56</v>
      </c>
      <c r="B81" s="194">
        <f>'CBS (CoE)'!L62</f>
        <v>2.2500659947888288</v>
      </c>
      <c r="C81" s="192">
        <f t="shared" si="5"/>
        <v>0.18409389310371135</v>
      </c>
      <c r="D81" s="194">
        <f>'CBS (CoE)'!N62</f>
        <v>1.1250329973944142</v>
      </c>
      <c r="E81" s="192">
        <f t="shared" si="6"/>
        <v>0.24839021842924822</v>
      </c>
      <c r="F81" s="194">
        <f>'CBS (CoE)'!P62</f>
        <v>1.1250329973944142</v>
      </c>
      <c r="G81" s="192">
        <f t="shared" si="7"/>
        <v>0.32394419761067872</v>
      </c>
    </row>
    <row r="82" spans="1:7" x14ac:dyDescent="0.25">
      <c r="A82" s="193" t="s">
        <v>57</v>
      </c>
      <c r="B82" s="194">
        <f>'CBS (CoE)'!L63</f>
        <v>1.0264774350244015</v>
      </c>
      <c r="C82" s="192">
        <f t="shared" si="5"/>
        <v>8.398341543510543E-2</v>
      </c>
      <c r="D82" s="194">
        <f>'CBS (CoE)'!N63</f>
        <v>0.2454516644398626</v>
      </c>
      <c r="E82" s="192">
        <f t="shared" si="6"/>
        <v>5.4192003865879426E-2</v>
      </c>
      <c r="F82" s="194">
        <f>'CBS (CoE)'!P63</f>
        <v>0.20337480198949892</v>
      </c>
      <c r="G82" s="192">
        <f t="shared" si="7"/>
        <v>5.8560137522456993E-2</v>
      </c>
    </row>
    <row r="83" spans="1:7" x14ac:dyDescent="0.25">
      <c r="A83" s="193" t="s">
        <v>58</v>
      </c>
      <c r="B83" s="194">
        <f>'CBS (CoE)'!L64</f>
        <v>1.2315551319660205</v>
      </c>
      <c r="C83" s="192">
        <f t="shared" si="5"/>
        <v>0.10076227956894117</v>
      </c>
      <c r="D83" s="194">
        <f>'CBS (CoE)'!N64</f>
        <v>1.1324641449703594</v>
      </c>
      <c r="E83" s="192">
        <f t="shared" si="6"/>
        <v>0.25003090307924869</v>
      </c>
      <c r="F83" s="194">
        <f>'CBS (CoE)'!P64</f>
        <v>1.1467301764270454</v>
      </c>
      <c r="G83" s="192">
        <f t="shared" si="7"/>
        <v>0.33019172569956096</v>
      </c>
    </row>
    <row r="84" spans="1:7" x14ac:dyDescent="0.25">
      <c r="A84" s="193" t="s">
        <v>59</v>
      </c>
      <c r="B84" s="194">
        <f>'CBS (CoE)'!L65</f>
        <v>6.8727925441092283E-2</v>
      </c>
      <c r="C84" s="192">
        <f t="shared" si="5"/>
        <v>5.6231201167856086E-3</v>
      </c>
      <c r="D84" s="194">
        <f>'CBS (CoE)'!N65</f>
        <v>6.8727925441092269E-2</v>
      </c>
      <c r="E84" s="192">
        <f t="shared" si="6"/>
        <v>1.5174083295369442E-2</v>
      </c>
      <c r="F84" s="194">
        <f>'CBS (CoE)'!P65</f>
        <v>6.8727925441092269E-2</v>
      </c>
      <c r="G84" s="192">
        <f t="shared" si="7"/>
        <v>1.9789653025311105E-2</v>
      </c>
    </row>
    <row r="85" spans="1:7" x14ac:dyDescent="0.25">
      <c r="A85" s="193" t="s">
        <v>84</v>
      </c>
      <c r="B85" s="194">
        <f>SUM(B79:B84)</f>
        <v>12.222382594305989</v>
      </c>
      <c r="C85" s="191"/>
      <c r="D85" s="194">
        <f>SUM(D79:D84)</f>
        <v>4.5292967030216209</v>
      </c>
      <c r="E85" s="195"/>
      <c r="F85" s="194">
        <f>SUM(F79:F84)</f>
        <v>3.4729222060229543</v>
      </c>
      <c r="G85" s="196"/>
    </row>
    <row r="89" spans="1:7" x14ac:dyDescent="0.25">
      <c r="A89" t="s">
        <v>195</v>
      </c>
    </row>
    <row r="90" spans="1:7" x14ac:dyDescent="0.25">
      <c r="A90" s="215"/>
      <c r="B90" s="318" t="s">
        <v>85</v>
      </c>
      <c r="C90" s="319"/>
      <c r="D90" s="318" t="s">
        <v>86</v>
      </c>
      <c r="E90" s="319"/>
      <c r="F90" s="318" t="s">
        <v>87</v>
      </c>
      <c r="G90" s="319"/>
    </row>
    <row r="91" spans="1:7" x14ac:dyDescent="0.25">
      <c r="A91" s="206"/>
      <c r="B91" s="207" t="s">
        <v>187</v>
      </c>
      <c r="C91" s="207" t="s">
        <v>188</v>
      </c>
      <c r="D91" s="207" t="s">
        <v>187</v>
      </c>
      <c r="E91" s="207" t="s">
        <v>188</v>
      </c>
      <c r="F91" s="207" t="s">
        <v>187</v>
      </c>
      <c r="G91" s="207" t="s">
        <v>188</v>
      </c>
    </row>
    <row r="92" spans="1:7" x14ac:dyDescent="0.25">
      <c r="A92" s="202" t="s">
        <v>192</v>
      </c>
      <c r="B92" s="203">
        <f>B39+B40+B41+B42</f>
        <v>11.617888049425753</v>
      </c>
      <c r="C92" s="201">
        <f t="shared" ref="C92:C97" si="8">B92/B$98</f>
        <v>0.28535767609768142</v>
      </c>
      <c r="D92" s="203">
        <f>D39+D40+D41+D42</f>
        <v>10.500004712227167</v>
      </c>
      <c r="E92" s="201">
        <f t="shared" ref="E92:E97" si="9">D92/D$98</f>
        <v>0.50611591647351351</v>
      </c>
      <c r="F92" s="203">
        <f>F39+F40+F41+F42</f>
        <v>10.484134714042654</v>
      </c>
      <c r="G92" s="201">
        <f t="shared" ref="G92:G97" si="10">F92/F$98</f>
        <v>0.58037629613788722</v>
      </c>
    </row>
    <row r="93" spans="1:7" x14ac:dyDescent="0.25">
      <c r="A93" s="202" t="s">
        <v>10</v>
      </c>
      <c r="B93" s="203">
        <f>B38</f>
        <v>6.0380058844208566</v>
      </c>
      <c r="C93" s="201">
        <f t="shared" si="8"/>
        <v>0.14830503789607655</v>
      </c>
      <c r="D93" s="203">
        <f>D38</f>
        <v>1.2606344193521384</v>
      </c>
      <c r="E93" s="201">
        <f t="shared" si="9"/>
        <v>6.0764462681191553E-2</v>
      </c>
      <c r="F93" s="203">
        <f>F38</f>
        <v>0.66233728060012476</v>
      </c>
      <c r="G93" s="201">
        <f t="shared" si="10"/>
        <v>3.6665387100936579E-2</v>
      </c>
    </row>
    <row r="94" spans="1:7" x14ac:dyDescent="0.25">
      <c r="A94" s="202" t="s">
        <v>90</v>
      </c>
      <c r="B94" s="203">
        <f>B37</f>
        <v>3.1492809259130765</v>
      </c>
      <c r="C94" s="201">
        <f t="shared" si="8"/>
        <v>7.7352396801734488E-2</v>
      </c>
      <c r="D94" s="203">
        <f>D37</f>
        <v>0.81799784382687191</v>
      </c>
      <c r="E94" s="201">
        <f t="shared" si="9"/>
        <v>3.9428718343306433E-2</v>
      </c>
      <c r="F94" s="203">
        <f>F37</f>
        <v>0.46049668307939251</v>
      </c>
      <c r="G94" s="201">
        <f t="shared" si="10"/>
        <v>2.5491980654485987E-2</v>
      </c>
    </row>
    <row r="95" spans="1:7" x14ac:dyDescent="0.25">
      <c r="A95" s="202" t="s">
        <v>49</v>
      </c>
      <c r="B95" s="203">
        <f>B43</f>
        <v>5.0957718433998105</v>
      </c>
      <c r="C95" s="201">
        <f t="shared" si="8"/>
        <v>0.12516195757527909</v>
      </c>
      <c r="D95" s="203">
        <f>D43</f>
        <v>2.1640431341152722</v>
      </c>
      <c r="E95" s="201">
        <f t="shared" si="9"/>
        <v>0.104310112626478</v>
      </c>
      <c r="F95" s="203">
        <f>F43</f>
        <v>1.6579878743534766</v>
      </c>
      <c r="G95" s="201">
        <f t="shared" si="10"/>
        <v>9.1782191645242206E-2</v>
      </c>
    </row>
    <row r="96" spans="1:7" x14ac:dyDescent="0.25">
      <c r="A96" s="202" t="s">
        <v>104</v>
      </c>
      <c r="B96" s="203">
        <f>B44</f>
        <v>2.59009467031595</v>
      </c>
      <c r="C96" s="201">
        <f t="shared" si="8"/>
        <v>6.3617706837077168E-2</v>
      </c>
      <c r="D96" s="203">
        <f>D44</f>
        <v>1.4742680109521447</v>
      </c>
      <c r="E96" s="201">
        <f t="shared" si="9"/>
        <v>7.1061921012448945E-2</v>
      </c>
      <c r="F96" s="203">
        <f>F44</f>
        <v>1.3264956552075646</v>
      </c>
      <c r="G96" s="201">
        <f t="shared" si="10"/>
        <v>7.3431585553855191E-2</v>
      </c>
    </row>
    <row r="97" spans="1:8" x14ac:dyDescent="0.25">
      <c r="A97" s="202" t="s">
        <v>193</v>
      </c>
      <c r="B97" s="203">
        <f>B85</f>
        <v>12.222382594305989</v>
      </c>
      <c r="C97" s="201">
        <f t="shared" si="8"/>
        <v>0.30020522479215139</v>
      </c>
      <c r="D97" s="203">
        <f>D85</f>
        <v>4.5292967030216209</v>
      </c>
      <c r="E97" s="201">
        <f t="shared" si="9"/>
        <v>0.21831886886306154</v>
      </c>
      <c r="F97" s="203">
        <f>F85</f>
        <v>3.4729222060229543</v>
      </c>
      <c r="G97" s="201">
        <f t="shared" si="10"/>
        <v>0.19225255890759269</v>
      </c>
    </row>
    <row r="98" spans="1:8" x14ac:dyDescent="0.25">
      <c r="A98" s="202" t="s">
        <v>84</v>
      </c>
      <c r="B98" s="203">
        <f>SUM(B92:B97)</f>
        <v>40.713423967781431</v>
      </c>
      <c r="C98" s="200"/>
      <c r="D98" s="203">
        <f>SUM(D92:D97)</f>
        <v>20.746244823495214</v>
      </c>
      <c r="E98" s="204"/>
      <c r="F98" s="203">
        <f>SUM(F92:F97)</f>
        <v>18.064374413306169</v>
      </c>
      <c r="G98" s="205"/>
    </row>
    <row r="100" spans="1:8" x14ac:dyDescent="0.25">
      <c r="A100" s="294"/>
      <c r="B100" s="294"/>
      <c r="C100" s="294"/>
      <c r="D100" s="294"/>
      <c r="E100" s="294"/>
      <c r="F100" s="294"/>
      <c r="G100" s="294"/>
      <c r="H100" s="294"/>
    </row>
    <row r="101" spans="1:8" ht="15" customHeight="1" x14ac:dyDescent="0.25">
      <c r="A101" s="294"/>
      <c r="B101" s="294"/>
      <c r="C101" s="294"/>
      <c r="D101" s="294"/>
      <c r="E101" s="294"/>
      <c r="F101" s="294"/>
      <c r="G101" s="294"/>
      <c r="H101" s="294"/>
    </row>
    <row r="102" spans="1:8" ht="14.25" customHeight="1" x14ac:dyDescent="0.25">
      <c r="A102" s="228"/>
      <c r="B102" s="279"/>
      <c r="C102" s="265"/>
      <c r="D102" s="265"/>
      <c r="E102" s="265"/>
      <c r="F102" s="265"/>
      <c r="G102" s="294"/>
      <c r="H102" s="294"/>
    </row>
    <row r="103" spans="1:8" x14ac:dyDescent="0.25">
      <c r="A103" s="295"/>
      <c r="B103" s="295"/>
      <c r="C103" s="277"/>
      <c r="D103" s="277"/>
      <c r="E103" s="277"/>
      <c r="F103" s="277"/>
      <c r="G103" s="294"/>
      <c r="H103" s="294"/>
    </row>
    <row r="104" spans="1:8" x14ac:dyDescent="0.25">
      <c r="A104" s="295"/>
      <c r="B104" s="295"/>
      <c r="C104" s="277"/>
      <c r="D104" s="277"/>
      <c r="E104" s="277"/>
      <c r="F104" s="277"/>
      <c r="G104" s="294"/>
      <c r="H104" s="294"/>
    </row>
    <row r="105" spans="1:8" x14ac:dyDescent="0.25">
      <c r="A105" s="295"/>
      <c r="B105" s="277"/>
      <c r="C105" s="277"/>
      <c r="D105" s="277"/>
      <c r="E105" s="277"/>
      <c r="F105" s="277"/>
      <c r="G105" s="294"/>
      <c r="H105" s="294"/>
    </row>
    <row r="106" spans="1:8" x14ac:dyDescent="0.25">
      <c r="A106" s="295"/>
      <c r="B106" s="277"/>
      <c r="C106" s="277"/>
      <c r="D106" s="277"/>
      <c r="E106" s="277"/>
      <c r="F106" s="277"/>
      <c r="G106" s="294"/>
      <c r="H106" s="294"/>
    </row>
    <row r="107" spans="1:8" x14ac:dyDescent="0.25">
      <c r="A107" s="295"/>
      <c r="B107" s="277"/>
      <c r="C107" s="277"/>
      <c r="D107" s="277"/>
      <c r="E107" s="277"/>
      <c r="F107" s="277"/>
      <c r="G107" s="294"/>
      <c r="H107" s="294"/>
    </row>
    <row r="108" spans="1:8" x14ac:dyDescent="0.25">
      <c r="A108" s="295"/>
      <c r="B108" s="277"/>
      <c r="C108" s="277"/>
      <c r="D108" s="277"/>
      <c r="E108" s="277"/>
      <c r="F108" s="277"/>
      <c r="G108" s="294"/>
      <c r="H108" s="294"/>
    </row>
    <row r="109" spans="1:8" x14ac:dyDescent="0.25">
      <c r="A109" s="295"/>
      <c r="B109" s="277"/>
      <c r="C109" s="277"/>
      <c r="D109" s="277"/>
      <c r="E109" s="277"/>
      <c r="F109" s="277"/>
      <c r="G109" s="294"/>
      <c r="H109" s="294"/>
    </row>
    <row r="110" spans="1:8" x14ac:dyDescent="0.25">
      <c r="A110" s="295"/>
      <c r="B110" s="277"/>
      <c r="C110" s="277"/>
      <c r="D110" s="277"/>
      <c r="E110" s="277"/>
      <c r="F110" s="277"/>
      <c r="G110" s="294"/>
      <c r="H110" s="294"/>
    </row>
    <row r="111" spans="1:8" x14ac:dyDescent="0.25">
      <c r="A111" s="295"/>
      <c r="B111" s="277"/>
      <c r="C111" s="277"/>
      <c r="D111" s="277"/>
      <c r="E111" s="277"/>
      <c r="F111" s="277"/>
      <c r="G111" s="294"/>
      <c r="H111" s="294"/>
    </row>
    <row r="112" spans="1:8" x14ac:dyDescent="0.25">
      <c r="A112" s="295"/>
      <c r="B112" s="277"/>
      <c r="C112" s="277"/>
      <c r="D112" s="277"/>
      <c r="E112" s="277"/>
      <c r="F112" s="277"/>
      <c r="G112" s="294"/>
      <c r="H112" s="294"/>
    </row>
    <row r="113" spans="1:8" x14ac:dyDescent="0.25">
      <c r="A113" s="295"/>
      <c r="B113" s="295"/>
      <c r="C113" s="277"/>
      <c r="D113" s="277"/>
      <c r="E113" s="277"/>
      <c r="F113" s="277"/>
      <c r="G113" s="294"/>
      <c r="H113" s="294"/>
    </row>
    <row r="114" spans="1:8" x14ac:dyDescent="0.25">
      <c r="A114" s="295"/>
      <c r="B114" s="269"/>
      <c r="C114" s="277"/>
      <c r="D114" s="277"/>
      <c r="E114" s="277"/>
      <c r="F114" s="277"/>
      <c r="G114" s="294"/>
      <c r="H114" s="294"/>
    </row>
    <row r="115" spans="1:8" x14ac:dyDescent="0.25">
      <c r="A115" s="295"/>
      <c r="B115" s="295"/>
      <c r="C115" s="295"/>
      <c r="D115" s="295"/>
      <c r="E115" s="295"/>
      <c r="F115" s="295"/>
      <c r="G115" s="294"/>
      <c r="H115" s="294"/>
    </row>
    <row r="116" spans="1:8" x14ac:dyDescent="0.25">
      <c r="A116" s="226"/>
      <c r="B116" s="226"/>
      <c r="C116" s="276"/>
      <c r="D116" s="276"/>
      <c r="E116" s="276"/>
      <c r="F116" s="276"/>
      <c r="G116" s="294"/>
      <c r="H116" s="294"/>
    </row>
    <row r="117" spans="1:8" x14ac:dyDescent="0.25">
      <c r="A117" s="294"/>
      <c r="B117" s="294"/>
      <c r="C117" s="294"/>
      <c r="D117" s="294"/>
      <c r="E117" s="294"/>
      <c r="F117" s="294"/>
      <c r="G117" s="294"/>
      <c r="H117" s="294"/>
    </row>
    <row r="118" spans="1:8" x14ac:dyDescent="0.25">
      <c r="A118" s="294"/>
      <c r="B118" s="294"/>
      <c r="C118" s="294"/>
      <c r="D118" s="294"/>
      <c r="E118" s="294"/>
      <c r="F118" s="294"/>
      <c r="G118" s="294"/>
      <c r="H118" s="294"/>
    </row>
    <row r="119" spans="1:8" x14ac:dyDescent="0.25">
      <c r="A119" s="295"/>
      <c r="B119" s="286"/>
      <c r="C119" s="294"/>
      <c r="D119" s="294"/>
      <c r="E119" s="294"/>
      <c r="F119" s="294"/>
      <c r="G119" s="294"/>
      <c r="H119" s="294"/>
    </row>
    <row r="120" spans="1:8" x14ac:dyDescent="0.25">
      <c r="A120" s="295"/>
      <c r="B120" s="219"/>
      <c r="C120" s="294"/>
      <c r="D120" s="294"/>
      <c r="E120" s="294"/>
      <c r="F120" s="294"/>
      <c r="G120" s="294"/>
      <c r="H120" s="294"/>
    </row>
    <row r="121" spans="1:8" x14ac:dyDescent="0.25">
      <c r="A121" s="295"/>
      <c r="B121" s="219"/>
      <c r="C121" s="294"/>
      <c r="D121" s="294"/>
      <c r="E121" s="294"/>
      <c r="F121" s="294"/>
      <c r="G121" s="294"/>
      <c r="H121" s="294"/>
    </row>
    <row r="122" spans="1:8" x14ac:dyDescent="0.25">
      <c r="A122" s="295"/>
      <c r="B122" s="219"/>
      <c r="C122" s="294"/>
      <c r="D122" s="294"/>
      <c r="E122" s="294"/>
      <c r="F122" s="294"/>
      <c r="G122" s="294"/>
      <c r="H122" s="294"/>
    </row>
    <row r="123" spans="1:8" x14ac:dyDescent="0.25">
      <c r="A123" s="295"/>
      <c r="B123" s="219"/>
      <c r="C123" s="296"/>
      <c r="D123" s="294"/>
      <c r="E123" s="294"/>
      <c r="F123" s="294"/>
      <c r="G123" s="294"/>
      <c r="H123" s="294"/>
    </row>
    <row r="124" spans="1:8" x14ac:dyDescent="0.25">
      <c r="A124" s="295"/>
      <c r="B124" s="219"/>
      <c r="C124" s="294"/>
      <c r="D124" s="294"/>
      <c r="E124" s="294"/>
      <c r="F124" s="294"/>
      <c r="G124" s="294"/>
      <c r="H124" s="294"/>
    </row>
    <row r="125" spans="1:8" x14ac:dyDescent="0.25">
      <c r="A125" s="294"/>
      <c r="B125" s="294"/>
      <c r="C125" s="294"/>
      <c r="D125" s="294"/>
      <c r="E125" s="294"/>
      <c r="F125" s="294"/>
      <c r="G125" s="294"/>
      <c r="H125" s="294"/>
    </row>
    <row r="126" spans="1:8" x14ac:dyDescent="0.25">
      <c r="A126" s="294"/>
      <c r="B126" s="294"/>
      <c r="C126" s="294"/>
      <c r="D126" s="294"/>
      <c r="E126" s="294"/>
      <c r="F126" s="294"/>
      <c r="G126" s="294"/>
      <c r="H126" s="294"/>
    </row>
    <row r="127" spans="1:8" x14ac:dyDescent="0.25">
      <c r="A127" s="294"/>
      <c r="B127" s="294"/>
      <c r="C127" s="294"/>
      <c r="D127" s="294"/>
      <c r="E127" s="294"/>
      <c r="F127" s="294"/>
      <c r="G127" s="294"/>
      <c r="H127" s="294"/>
    </row>
    <row r="128" spans="1:8" x14ac:dyDescent="0.25">
      <c r="A128" s="294"/>
      <c r="B128" s="294"/>
      <c r="C128" s="294"/>
      <c r="D128" s="294"/>
      <c r="E128" s="294"/>
      <c r="F128" s="294"/>
      <c r="G128" s="294"/>
      <c r="H128" s="294"/>
    </row>
    <row r="129" spans="1:8" x14ac:dyDescent="0.25">
      <c r="A129" s="226"/>
      <c r="B129" s="286"/>
      <c r="C129" s="286"/>
      <c r="D129" s="286"/>
      <c r="E129" s="286"/>
      <c r="F129" s="294"/>
      <c r="G129" s="294"/>
      <c r="H129" s="294"/>
    </row>
    <row r="130" spans="1:8" x14ac:dyDescent="0.25">
      <c r="A130" s="295"/>
      <c r="B130" s="277"/>
      <c r="C130" s="277"/>
      <c r="D130" s="220"/>
      <c r="E130" s="277"/>
      <c r="F130" s="294"/>
      <c r="G130" s="294"/>
      <c r="H130" s="294"/>
    </row>
    <row r="131" spans="1:8" x14ac:dyDescent="0.25">
      <c r="A131" s="295"/>
      <c r="B131" s="277"/>
      <c r="C131" s="277"/>
      <c r="D131" s="220"/>
      <c r="E131" s="223"/>
      <c r="F131" s="294"/>
      <c r="G131" s="294"/>
      <c r="H131" s="294"/>
    </row>
    <row r="132" spans="1:8" x14ac:dyDescent="0.25">
      <c r="A132" s="295"/>
      <c r="B132" s="277"/>
      <c r="C132" s="277"/>
      <c r="D132" s="220"/>
      <c r="E132" s="223"/>
      <c r="F132" s="294"/>
      <c r="G132" s="294"/>
      <c r="H132" s="294"/>
    </row>
    <row r="133" spans="1:8" x14ac:dyDescent="0.25">
      <c r="A133" s="295"/>
      <c r="B133" s="277"/>
      <c r="C133" s="277"/>
      <c r="D133" s="220"/>
      <c r="E133" s="223"/>
      <c r="F133" s="294"/>
      <c r="G133" s="294"/>
      <c r="H133" s="294"/>
    </row>
    <row r="134" spans="1:8" x14ac:dyDescent="0.25">
      <c r="A134" s="295"/>
      <c r="B134" s="277"/>
      <c r="C134" s="277"/>
      <c r="D134" s="220"/>
      <c r="E134" s="223"/>
      <c r="F134" s="294"/>
      <c r="G134" s="294"/>
      <c r="H134" s="294"/>
    </row>
    <row r="135" spans="1:8" x14ac:dyDescent="0.25">
      <c r="A135" s="295"/>
      <c r="B135" s="277"/>
      <c r="C135" s="277"/>
      <c r="D135" s="220"/>
      <c r="E135" s="277"/>
      <c r="F135" s="294"/>
      <c r="G135" s="294"/>
      <c r="H135" s="294"/>
    </row>
    <row r="136" spans="1:8" x14ac:dyDescent="0.25">
      <c r="A136" s="295"/>
      <c r="B136" s="277"/>
      <c r="C136" s="277"/>
      <c r="D136" s="220"/>
      <c r="E136" s="277"/>
      <c r="F136" s="294"/>
      <c r="G136" s="294"/>
      <c r="H136" s="294"/>
    </row>
    <row r="137" spans="1:8" x14ac:dyDescent="0.25">
      <c r="A137" s="295"/>
      <c r="B137" s="277"/>
      <c r="C137" s="277"/>
      <c r="D137" s="220"/>
      <c r="E137" s="277"/>
      <c r="F137" s="294"/>
      <c r="G137" s="294"/>
      <c r="H137" s="294"/>
    </row>
    <row r="138" spans="1:8" x14ac:dyDescent="0.25">
      <c r="A138" s="295"/>
      <c r="B138" s="277"/>
      <c r="C138" s="277"/>
      <c r="D138" s="220"/>
      <c r="E138" s="277"/>
      <c r="F138" s="294"/>
      <c r="G138" s="294"/>
      <c r="H138" s="294"/>
    </row>
    <row r="139" spans="1:8" x14ac:dyDescent="0.25">
      <c r="A139" s="295"/>
      <c r="B139" s="277"/>
      <c r="C139" s="277"/>
      <c r="D139" s="277"/>
      <c r="E139" s="278"/>
      <c r="F139" s="294"/>
      <c r="G139" s="294"/>
      <c r="H139" s="294"/>
    </row>
    <row r="140" spans="1:8" x14ac:dyDescent="0.25">
      <c r="A140" s="295"/>
      <c r="B140" s="277"/>
      <c r="C140" s="277"/>
      <c r="D140" s="277"/>
      <c r="E140" s="278"/>
      <c r="F140" s="294"/>
      <c r="G140" s="294"/>
      <c r="H140" s="294"/>
    </row>
    <row r="141" spans="1:8" x14ac:dyDescent="0.25">
      <c r="A141" s="295"/>
      <c r="B141" s="295"/>
      <c r="C141" s="295"/>
      <c r="D141" s="295"/>
      <c r="E141" s="295"/>
      <c r="F141" s="294"/>
      <c r="G141" s="294"/>
      <c r="H141" s="294"/>
    </row>
    <row r="142" spans="1:8" x14ac:dyDescent="0.25">
      <c r="A142" s="295"/>
      <c r="B142" s="295"/>
      <c r="C142" s="295"/>
      <c r="D142" s="295"/>
      <c r="E142" s="295"/>
      <c r="F142" s="294"/>
      <c r="G142" s="294"/>
      <c r="H142" s="294"/>
    </row>
    <row r="143" spans="1:8" x14ac:dyDescent="0.25">
      <c r="A143" s="226"/>
      <c r="B143" s="225"/>
      <c r="C143" s="225"/>
      <c r="D143" s="225"/>
      <c r="E143" s="225"/>
      <c r="F143" s="294"/>
      <c r="G143" s="294"/>
      <c r="H143" s="294"/>
    </row>
    <row r="144" spans="1:8" x14ac:dyDescent="0.25">
      <c r="A144" s="294"/>
      <c r="B144" s="294"/>
      <c r="C144" s="294"/>
      <c r="D144" s="294"/>
      <c r="E144" s="294"/>
      <c r="F144" s="294"/>
      <c r="G144" s="294"/>
      <c r="H144" s="294"/>
    </row>
    <row r="145" spans="1:8" x14ac:dyDescent="0.25">
      <c r="A145" s="226"/>
      <c r="B145" s="286"/>
      <c r="C145" s="294"/>
      <c r="D145" s="294"/>
      <c r="E145" s="294"/>
      <c r="F145" s="294"/>
      <c r="G145" s="294"/>
      <c r="H145" s="294"/>
    </row>
    <row r="146" spans="1:8" x14ac:dyDescent="0.25">
      <c r="A146" s="295"/>
      <c r="B146" s="267"/>
      <c r="C146" s="294"/>
      <c r="D146" s="294"/>
      <c r="E146" s="294"/>
      <c r="F146" s="294"/>
      <c r="G146" s="294"/>
      <c r="H146" s="294"/>
    </row>
    <row r="147" spans="1:8" x14ac:dyDescent="0.25">
      <c r="A147" s="295"/>
      <c r="B147" s="267"/>
      <c r="C147" s="294"/>
      <c r="D147" s="294"/>
      <c r="E147" s="294"/>
      <c r="F147" s="294"/>
      <c r="G147" s="294"/>
      <c r="H147" s="294"/>
    </row>
    <row r="148" spans="1:8" x14ac:dyDescent="0.25">
      <c r="A148" s="295"/>
      <c r="B148" s="267"/>
      <c r="C148" s="294"/>
      <c r="D148" s="294"/>
      <c r="E148" s="294"/>
      <c r="F148" s="294"/>
      <c r="G148" s="294"/>
      <c r="H148" s="294"/>
    </row>
    <row r="149" spans="1:8" x14ac:dyDescent="0.25">
      <c r="A149" s="295"/>
      <c r="B149" s="267"/>
      <c r="C149" s="294"/>
      <c r="D149" s="294"/>
      <c r="E149" s="294"/>
      <c r="F149" s="294"/>
      <c r="G149" s="294"/>
      <c r="H149" s="294"/>
    </row>
    <row r="150" spans="1:8" x14ac:dyDescent="0.25">
      <c r="A150" s="295"/>
      <c r="B150" s="267"/>
      <c r="C150" s="294"/>
      <c r="D150" s="294"/>
      <c r="E150" s="294"/>
      <c r="F150" s="294"/>
      <c r="G150" s="294"/>
      <c r="H150" s="294"/>
    </row>
    <row r="151" spans="1:8" x14ac:dyDescent="0.25">
      <c r="A151" s="295"/>
      <c r="B151" s="267"/>
      <c r="C151" s="294"/>
      <c r="D151" s="294"/>
      <c r="E151" s="294"/>
      <c r="F151" s="294"/>
      <c r="G151" s="294"/>
      <c r="H151" s="294"/>
    </row>
    <row r="152" spans="1:8" x14ac:dyDescent="0.25">
      <c r="A152" s="295"/>
      <c r="B152" s="267"/>
      <c r="C152" s="294"/>
      <c r="D152" s="294"/>
      <c r="E152" s="294"/>
      <c r="F152" s="294"/>
      <c r="G152" s="294"/>
      <c r="H152" s="294"/>
    </row>
    <row r="153" spans="1:8" x14ac:dyDescent="0.25">
      <c r="A153" s="295"/>
      <c r="B153" s="267"/>
      <c r="C153" s="294"/>
      <c r="D153" s="294"/>
      <c r="E153" s="294"/>
      <c r="F153" s="294"/>
      <c r="G153" s="294"/>
      <c r="H153" s="294"/>
    </row>
    <row r="154" spans="1:8" x14ac:dyDescent="0.25">
      <c r="A154" s="295"/>
      <c r="B154" s="224"/>
      <c r="C154" s="294"/>
      <c r="D154" s="294"/>
      <c r="E154" s="294"/>
      <c r="F154" s="294"/>
      <c r="G154" s="294"/>
      <c r="H154" s="294"/>
    </row>
    <row r="155" spans="1:8" x14ac:dyDescent="0.25">
      <c r="A155" s="226"/>
      <c r="B155" s="286"/>
      <c r="C155" s="294"/>
      <c r="D155" s="294"/>
      <c r="E155" s="294"/>
      <c r="F155" s="294"/>
      <c r="G155" s="294"/>
      <c r="H155" s="294"/>
    </row>
    <row r="156" spans="1:8" x14ac:dyDescent="0.25">
      <c r="A156" s="266"/>
      <c r="B156" s="221"/>
      <c r="C156" s="294"/>
      <c r="D156" s="294"/>
      <c r="E156" s="294"/>
      <c r="F156" s="294"/>
      <c r="G156" s="294"/>
      <c r="H156" s="294"/>
    </row>
    <row r="157" spans="1:8" x14ac:dyDescent="0.25">
      <c r="A157" s="294"/>
      <c r="B157" s="264"/>
      <c r="C157" s="294"/>
      <c r="D157" s="294"/>
      <c r="E157" s="294"/>
      <c r="F157" s="294"/>
      <c r="G157" s="294"/>
      <c r="H157" s="294"/>
    </row>
    <row r="158" spans="1:8" x14ac:dyDescent="0.25">
      <c r="A158" s="226"/>
      <c r="B158" s="286"/>
      <c r="C158" s="294"/>
      <c r="D158" s="294"/>
      <c r="E158" s="294"/>
      <c r="F158" s="294"/>
      <c r="G158" s="294"/>
      <c r="H158" s="294"/>
    </row>
    <row r="159" spans="1:8" x14ac:dyDescent="0.25">
      <c r="A159" s="295"/>
      <c r="B159" s="222"/>
      <c r="C159" s="294"/>
      <c r="D159" s="294"/>
      <c r="E159" s="294"/>
      <c r="F159" s="294"/>
      <c r="G159" s="294"/>
      <c r="H159" s="294"/>
    </row>
    <row r="160" spans="1:8" x14ac:dyDescent="0.25">
      <c r="A160" s="295"/>
      <c r="B160" s="222"/>
      <c r="C160" s="294"/>
      <c r="D160" s="294"/>
      <c r="E160" s="294"/>
      <c r="F160" s="294"/>
      <c r="G160" s="294"/>
      <c r="H160" s="294"/>
    </row>
    <row r="161" spans="1:8" x14ac:dyDescent="0.25">
      <c r="A161" s="295"/>
      <c r="B161" s="222"/>
      <c r="C161" s="294"/>
      <c r="D161" s="294"/>
      <c r="E161" s="294"/>
      <c r="F161" s="294"/>
      <c r="G161" s="294"/>
      <c r="H161" s="294"/>
    </row>
    <row r="162" spans="1:8" x14ac:dyDescent="0.25">
      <c r="A162" s="295"/>
      <c r="B162" s="222"/>
      <c r="C162" s="294"/>
      <c r="D162" s="294"/>
      <c r="E162" s="294"/>
      <c r="F162" s="294"/>
      <c r="G162" s="294"/>
      <c r="H162" s="294"/>
    </row>
    <row r="163" spans="1:8" x14ac:dyDescent="0.25">
      <c r="A163" s="295"/>
      <c r="B163" s="222"/>
      <c r="C163" s="294"/>
      <c r="D163" s="294"/>
      <c r="E163" s="294"/>
      <c r="F163" s="294"/>
      <c r="G163" s="294"/>
      <c r="H163" s="294"/>
    </row>
    <row r="164" spans="1:8" x14ac:dyDescent="0.25">
      <c r="A164" s="295"/>
      <c r="B164" s="222"/>
      <c r="C164" s="294"/>
      <c r="D164" s="294"/>
      <c r="E164" s="294"/>
      <c r="F164" s="294"/>
      <c r="G164" s="294"/>
      <c r="H164" s="294"/>
    </row>
    <row r="165" spans="1:8" x14ac:dyDescent="0.25">
      <c r="A165" s="295"/>
      <c r="B165" s="224"/>
      <c r="C165" s="294"/>
      <c r="D165" s="294"/>
      <c r="E165" s="294"/>
      <c r="F165" s="294"/>
      <c r="G165" s="294"/>
      <c r="H165" s="294"/>
    </row>
    <row r="166" spans="1:8" x14ac:dyDescent="0.25">
      <c r="A166" s="226"/>
      <c r="B166" s="272"/>
      <c r="C166" s="294"/>
      <c r="D166" s="294"/>
      <c r="E166" s="294"/>
      <c r="F166" s="294"/>
      <c r="G166" s="294"/>
      <c r="H166" s="294"/>
    </row>
    <row r="167" spans="1:8" x14ac:dyDescent="0.25">
      <c r="A167" s="294"/>
      <c r="B167" s="294"/>
      <c r="C167" s="294"/>
      <c r="D167" s="294"/>
      <c r="E167" s="294"/>
      <c r="F167" s="294"/>
      <c r="G167" s="294"/>
      <c r="H167" s="294"/>
    </row>
    <row r="168" spans="1:8" x14ac:dyDescent="0.25">
      <c r="A168" s="294"/>
      <c r="B168" s="294"/>
      <c r="C168" s="294"/>
      <c r="D168" s="294"/>
      <c r="E168" s="294"/>
      <c r="F168" s="294"/>
      <c r="G168" s="294"/>
      <c r="H168" s="294"/>
    </row>
    <row r="169" spans="1:8" x14ac:dyDescent="0.25">
      <c r="A169" s="294"/>
      <c r="B169" s="294"/>
      <c r="C169" s="294"/>
      <c r="D169" s="294"/>
      <c r="E169" s="294"/>
      <c r="F169" s="294"/>
      <c r="G169" s="294"/>
      <c r="H169" s="294"/>
    </row>
    <row r="170" spans="1:8" x14ac:dyDescent="0.25">
      <c r="A170" s="294"/>
      <c r="B170" s="294"/>
      <c r="C170" s="294"/>
      <c r="D170" s="294"/>
      <c r="E170" s="294"/>
      <c r="F170" s="294"/>
      <c r="G170" s="294"/>
      <c r="H170" s="294"/>
    </row>
    <row r="171" spans="1:8" x14ac:dyDescent="0.25">
      <c r="A171" s="294"/>
      <c r="B171" s="294"/>
      <c r="C171" s="294"/>
      <c r="D171" s="294"/>
      <c r="E171" s="294"/>
      <c r="F171" s="294"/>
      <c r="G171" s="294"/>
      <c r="H171" s="294"/>
    </row>
    <row r="172" spans="1:8" x14ac:dyDescent="0.25">
      <c r="A172" s="294"/>
      <c r="B172" s="294"/>
      <c r="C172" s="294"/>
      <c r="D172" s="294"/>
      <c r="E172" s="294"/>
      <c r="F172" s="294"/>
      <c r="G172" s="294"/>
      <c r="H172" s="294"/>
    </row>
    <row r="173" spans="1:8" x14ac:dyDescent="0.25">
      <c r="A173" s="294"/>
      <c r="B173" s="294"/>
      <c r="C173" s="294"/>
      <c r="D173" s="294"/>
      <c r="E173" s="294"/>
      <c r="F173" s="294"/>
      <c r="G173" s="294"/>
      <c r="H173" s="294"/>
    </row>
    <row r="174" spans="1:8" x14ac:dyDescent="0.25">
      <c r="A174" s="294"/>
      <c r="B174" s="294"/>
      <c r="C174" s="294"/>
      <c r="D174" s="294"/>
      <c r="E174" s="294"/>
      <c r="F174" s="294"/>
      <c r="G174" s="294"/>
      <c r="H174" s="294"/>
    </row>
    <row r="175" spans="1:8" x14ac:dyDescent="0.25">
      <c r="A175" s="294"/>
      <c r="B175" s="294"/>
      <c r="C175" s="294"/>
      <c r="D175" s="294"/>
      <c r="E175" s="294"/>
      <c r="F175" s="294"/>
      <c r="G175" s="294"/>
      <c r="H175" s="294"/>
    </row>
    <row r="176" spans="1:8" x14ac:dyDescent="0.25">
      <c r="A176" s="294"/>
      <c r="B176" s="294"/>
      <c r="C176" s="294"/>
      <c r="D176" s="294"/>
      <c r="E176" s="294"/>
      <c r="F176" s="294"/>
      <c r="G176" s="294"/>
      <c r="H176" s="294"/>
    </row>
    <row r="177" spans="1:8" x14ac:dyDescent="0.25">
      <c r="A177" s="294"/>
      <c r="B177" s="294"/>
      <c r="C177" s="294"/>
      <c r="D177" s="294"/>
      <c r="E177" s="294"/>
      <c r="F177" s="294"/>
      <c r="G177" s="294"/>
      <c r="H177" s="294"/>
    </row>
    <row r="178" spans="1:8" x14ac:dyDescent="0.25">
      <c r="A178" s="294"/>
      <c r="B178" s="294"/>
      <c r="C178" s="294"/>
      <c r="D178" s="294"/>
      <c r="E178" s="294"/>
      <c r="F178" s="294"/>
      <c r="G178" s="294"/>
      <c r="H178" s="294"/>
    </row>
    <row r="179" spans="1:8" x14ac:dyDescent="0.25">
      <c r="A179" s="294"/>
      <c r="B179" s="294"/>
      <c r="C179" s="294"/>
      <c r="D179" s="294"/>
      <c r="E179" s="294"/>
      <c r="F179" s="294"/>
      <c r="G179" s="294"/>
      <c r="H179" s="294"/>
    </row>
    <row r="180" spans="1:8" x14ac:dyDescent="0.25">
      <c r="A180" s="294"/>
      <c r="B180" s="294"/>
      <c r="C180" s="294"/>
      <c r="D180" s="294"/>
      <c r="E180" s="294"/>
      <c r="F180" s="294"/>
      <c r="G180" s="294"/>
      <c r="H180" s="294"/>
    </row>
  </sheetData>
  <sortState ref="A44:A47">
    <sortCondition descending="1" ref="A47"/>
  </sortState>
  <mergeCells count="13">
    <mergeCell ref="A5:A6"/>
    <mergeCell ref="F77:G77"/>
    <mergeCell ref="A77:A78"/>
    <mergeCell ref="F90:G90"/>
    <mergeCell ref="B90:C90"/>
    <mergeCell ref="D90:E90"/>
    <mergeCell ref="A50:A51"/>
    <mergeCell ref="A63:A64"/>
    <mergeCell ref="B77:C77"/>
    <mergeCell ref="D77:E77"/>
    <mergeCell ref="F35:G35"/>
    <mergeCell ref="B35:C35"/>
    <mergeCell ref="D35:E35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U226"/>
  <sheetViews>
    <sheetView zoomScale="80" zoomScaleNormal="80" workbookViewId="0">
      <selection activeCell="O244" sqref="O244"/>
    </sheetView>
  </sheetViews>
  <sheetFormatPr defaultRowHeight="15" x14ac:dyDescent="0.25"/>
  <cols>
    <col min="1" max="1" width="25" customWidth="1"/>
    <col min="2" max="2" width="15" customWidth="1"/>
    <col min="3" max="3" width="14.7109375" customWidth="1"/>
    <col min="4" max="4" width="16.28515625" customWidth="1"/>
  </cols>
  <sheetData>
    <row r="2" spans="1:6" x14ac:dyDescent="0.25">
      <c r="A2" t="s">
        <v>196</v>
      </c>
      <c r="B2">
        <v>1</v>
      </c>
      <c r="C2">
        <v>10</v>
      </c>
      <c r="D2">
        <v>50</v>
      </c>
      <c r="E2">
        <v>100</v>
      </c>
    </row>
    <row r="3" spans="1:6" x14ac:dyDescent="0.25">
      <c r="A3" t="s">
        <v>197</v>
      </c>
      <c r="B3">
        <f>'CBS ($ per kW)'!J1</f>
        <v>1115</v>
      </c>
      <c r="C3" s="198">
        <f>'CBS ($ per kW)'!L1</f>
        <v>11150</v>
      </c>
      <c r="D3" s="198">
        <f>'CBS ($ per kW)'!N1</f>
        <v>55750</v>
      </c>
      <c r="E3" s="198">
        <f>'CBS ($ per kW)'!P1</f>
        <v>111500</v>
      </c>
      <c r="F3" s="198"/>
    </row>
    <row r="4" spans="1:6" x14ac:dyDescent="0.25">
      <c r="A4" s="198" t="s">
        <v>198</v>
      </c>
      <c r="B4">
        <f>B3/1000</f>
        <v>1.115</v>
      </c>
      <c r="C4" s="198">
        <f t="shared" ref="C4:E4" si="0">C3/1000</f>
        <v>11.15</v>
      </c>
      <c r="D4" s="198">
        <f t="shared" si="0"/>
        <v>55.75</v>
      </c>
      <c r="E4" s="198">
        <f t="shared" si="0"/>
        <v>111.5</v>
      </c>
    </row>
    <row r="26" s="210" customFormat="1" x14ac:dyDescent="0.25"/>
    <row r="27" s="210" customFormat="1" x14ac:dyDescent="0.25"/>
    <row r="28" s="210" customFormat="1" x14ac:dyDescent="0.25"/>
    <row r="29" s="210" customFormat="1" x14ac:dyDescent="0.25"/>
    <row r="30" s="210" customFormat="1" x14ac:dyDescent="0.25"/>
    <row r="31" s="210" customFormat="1" x14ac:dyDescent="0.25"/>
    <row r="32" s="210" customFormat="1" x14ac:dyDescent="0.25"/>
    <row r="33" s="210" customFormat="1" x14ac:dyDescent="0.25"/>
    <row r="34" s="210" customFormat="1" x14ac:dyDescent="0.25"/>
    <row r="35" s="210" customFormat="1" x14ac:dyDescent="0.25"/>
    <row r="36" s="210" customFormat="1" x14ac:dyDescent="0.25"/>
    <row r="37" s="210" customFormat="1" x14ac:dyDescent="0.25"/>
    <row r="38" s="210" customFormat="1" x14ac:dyDescent="0.25"/>
    <row r="39" s="210" customFormat="1" x14ac:dyDescent="0.25"/>
    <row r="40" s="210" customFormat="1" x14ac:dyDescent="0.25"/>
    <row r="41" s="210" customFormat="1" x14ac:dyDescent="0.25"/>
    <row r="42" s="210" customFormat="1" x14ac:dyDescent="0.25"/>
    <row r="43" s="210" customFormat="1" x14ac:dyDescent="0.25"/>
    <row r="44" s="210" customFormat="1" x14ac:dyDescent="0.25"/>
    <row r="45" s="210" customFormat="1" x14ac:dyDescent="0.25"/>
    <row r="46" s="210" customFormat="1" x14ac:dyDescent="0.25"/>
    <row r="47" s="210" customFormat="1" x14ac:dyDescent="0.25"/>
    <row r="48" s="210" customFormat="1" x14ac:dyDescent="0.25"/>
    <row r="49" s="210" customFormat="1" x14ac:dyDescent="0.25"/>
    <row r="50" s="210" customFormat="1" x14ac:dyDescent="0.25"/>
    <row r="51" s="210" customFormat="1" x14ac:dyDescent="0.25"/>
    <row r="52" s="210" customFormat="1" x14ac:dyDescent="0.25"/>
    <row r="53" s="210" customFormat="1" x14ac:dyDescent="0.25"/>
    <row r="54" s="210" customFormat="1" x14ac:dyDescent="0.25"/>
    <row r="55" s="210" customFormat="1" x14ac:dyDescent="0.25"/>
    <row r="56" s="210" customFormat="1" x14ac:dyDescent="0.25"/>
    <row r="57" s="210" customFormat="1" x14ac:dyDescent="0.25"/>
    <row r="58" s="210" customFormat="1" x14ac:dyDescent="0.25"/>
    <row r="59" s="210" customFormat="1" x14ac:dyDescent="0.25"/>
    <row r="60" s="210" customFormat="1" x14ac:dyDescent="0.25"/>
    <row r="61" s="210" customFormat="1" x14ac:dyDescent="0.25"/>
    <row r="62" s="210" customFormat="1" x14ac:dyDescent="0.25"/>
    <row r="63" s="210" customFormat="1" x14ac:dyDescent="0.25"/>
    <row r="64" s="210" customFormat="1" x14ac:dyDescent="0.25"/>
    <row r="65" s="210" customFormat="1" x14ac:dyDescent="0.25"/>
    <row r="66" s="210" customFormat="1" x14ac:dyDescent="0.25"/>
    <row r="67" s="210" customFormat="1" x14ac:dyDescent="0.25"/>
    <row r="68" s="210" customFormat="1" x14ac:dyDescent="0.25"/>
    <row r="69" s="210" customFormat="1" x14ac:dyDescent="0.25"/>
    <row r="110" s="210" customFormat="1" x14ac:dyDescent="0.25"/>
    <row r="111" s="210" customFormat="1" x14ac:dyDescent="0.25"/>
    <row r="112" s="210" customFormat="1" x14ac:dyDescent="0.25"/>
    <row r="113" s="210" customFormat="1" x14ac:dyDescent="0.25"/>
    <row r="114" s="210" customFormat="1" x14ac:dyDescent="0.25"/>
    <row r="115" s="210" customFormat="1" x14ac:dyDescent="0.25"/>
    <row r="116" s="210" customFormat="1" x14ac:dyDescent="0.25"/>
    <row r="117" s="210" customFormat="1" x14ac:dyDescent="0.25"/>
    <row r="118" s="210" customFormat="1" x14ac:dyDescent="0.25"/>
    <row r="119" s="210" customFormat="1" x14ac:dyDescent="0.25"/>
    <row r="120" s="210" customFormat="1" x14ac:dyDescent="0.25"/>
    <row r="121" s="210" customFormat="1" x14ac:dyDescent="0.25"/>
    <row r="122" s="210" customFormat="1" x14ac:dyDescent="0.25"/>
    <row r="123" s="210" customFormat="1" x14ac:dyDescent="0.25"/>
    <row r="124" s="210" customFormat="1" x14ac:dyDescent="0.25"/>
    <row r="125" s="210" customFormat="1" x14ac:dyDescent="0.25"/>
    <row r="126" s="210" customFormat="1" x14ac:dyDescent="0.25"/>
    <row r="127" s="210" customFormat="1" x14ac:dyDescent="0.25"/>
    <row r="129" s="210" customFormat="1" x14ac:dyDescent="0.25"/>
    <row r="130" s="210" customFormat="1" x14ac:dyDescent="0.25"/>
    <row r="131" s="210" customFormat="1" x14ac:dyDescent="0.25"/>
    <row r="133" s="210" customFormat="1" x14ac:dyDescent="0.25"/>
    <row r="134" s="210" customFormat="1" x14ac:dyDescent="0.25"/>
    <row r="135" s="210" customFormat="1" x14ac:dyDescent="0.25"/>
    <row r="136" s="210" customFormat="1" x14ac:dyDescent="0.25"/>
    <row r="137" s="210" customFormat="1" x14ac:dyDescent="0.25"/>
    <row r="138" s="210" customFormat="1" x14ac:dyDescent="0.25"/>
    <row r="139" s="210" customFormat="1" x14ac:dyDescent="0.25"/>
    <row r="140" s="210" customFormat="1" x14ac:dyDescent="0.25"/>
    <row r="141" s="210" customFormat="1" x14ac:dyDescent="0.25"/>
    <row r="155" spans="1:4" s="208" customFormat="1" x14ac:dyDescent="0.25"/>
    <row r="156" spans="1:4" x14ac:dyDescent="0.25">
      <c r="A156" t="s">
        <v>222</v>
      </c>
    </row>
    <row r="158" spans="1:4" x14ac:dyDescent="0.25">
      <c r="A158" t="s">
        <v>199</v>
      </c>
      <c r="B158" t="s">
        <v>200</v>
      </c>
      <c r="C158" t="s">
        <v>201</v>
      </c>
      <c r="D158" t="s">
        <v>202</v>
      </c>
    </row>
    <row r="159" spans="1:4" x14ac:dyDescent="0.25">
      <c r="A159" s="305">
        <v>0.69475652654630971</v>
      </c>
      <c r="B159" s="304">
        <v>1.8114473285278134</v>
      </c>
      <c r="C159" s="306">
        <v>0.35488864636838274</v>
      </c>
      <c r="D159" s="307">
        <v>49.802177016567676</v>
      </c>
    </row>
    <row r="160" spans="1:4" x14ac:dyDescent="0.25">
      <c r="A160" s="305">
        <v>0.78160109236459818</v>
      </c>
      <c r="B160" s="304">
        <v>2.0378782445937902</v>
      </c>
      <c r="C160" s="306">
        <v>0.50530043594248264</v>
      </c>
      <c r="D160" s="307">
        <v>37.024080739299357</v>
      </c>
    </row>
    <row r="161" spans="1:5" x14ac:dyDescent="0.25">
      <c r="A161" s="305">
        <v>0.86844565818288688</v>
      </c>
      <c r="B161" s="304">
        <v>2.2643091606597667</v>
      </c>
      <c r="C161" s="306">
        <v>0.69314188743824745</v>
      </c>
      <c r="D161" s="307">
        <v>29.521573517128829</v>
      </c>
    </row>
    <row r="162" spans="1:5" x14ac:dyDescent="0.25">
      <c r="A162" s="305">
        <v>0.9552902240011758</v>
      </c>
      <c r="B162" s="304">
        <v>2.4907400767257437</v>
      </c>
      <c r="C162" s="306">
        <v>0.92257185218030791</v>
      </c>
      <c r="D162" s="307">
        <v>24.361876480495937</v>
      </c>
    </row>
    <row r="163" spans="1:5" x14ac:dyDescent="0.25">
      <c r="A163" s="305">
        <v>1.0421347898194642</v>
      </c>
      <c r="B163" s="304">
        <v>2.7171709927917203</v>
      </c>
      <c r="C163" s="306">
        <v>1.1977491814932919</v>
      </c>
      <c r="D163" s="307">
        <v>20.898420963865281</v>
      </c>
    </row>
    <row r="164" spans="1:5" x14ac:dyDescent="0.25">
      <c r="A164" s="305">
        <v>1.1289793556377528</v>
      </c>
      <c r="B164" s="304">
        <v>2.9436019088576972</v>
      </c>
      <c r="C164" s="306">
        <v>1.5228327267018298</v>
      </c>
      <c r="D164" s="307">
        <v>18.433257775589663</v>
      </c>
    </row>
    <row r="165" spans="1:5" x14ac:dyDescent="0.25">
      <c r="A165" s="305">
        <v>1.2158239214560427</v>
      </c>
      <c r="B165" s="304">
        <v>3.170032824923676</v>
      </c>
      <c r="C165" s="306">
        <v>1.9019813391305556</v>
      </c>
      <c r="D165" s="307">
        <v>16.625786477647718</v>
      </c>
    </row>
    <row r="166" spans="1:5" x14ac:dyDescent="0.25">
      <c r="A166" s="305">
        <v>1.3026684872743302</v>
      </c>
      <c r="B166" s="304">
        <v>3.3964637409896499</v>
      </c>
      <c r="C166" s="306">
        <v>2.3393538701040844</v>
      </c>
      <c r="D166" s="307">
        <v>15.257497387403554</v>
      </c>
    </row>
    <row r="167" spans="1:5" x14ac:dyDescent="0.25">
      <c r="A167" s="305">
        <v>1.3895130530926194</v>
      </c>
      <c r="B167" s="304">
        <v>3.6228946570556286</v>
      </c>
      <c r="C167" s="306">
        <v>2.8391091709470655</v>
      </c>
      <c r="D167" s="307">
        <v>14.199268501247763</v>
      </c>
    </row>
    <row r="168" spans="1:5" x14ac:dyDescent="0.25">
      <c r="A168" s="305">
        <v>1.476357618910908</v>
      </c>
      <c r="B168" s="304">
        <v>3.8493255731216043</v>
      </c>
      <c r="C168" s="306">
        <v>3.4054060929841126</v>
      </c>
      <c r="D168" s="307">
        <v>13.387873355762512</v>
      </c>
    </row>
    <row r="169" spans="1:5" x14ac:dyDescent="0.25">
      <c r="A169" s="305">
        <v>1.5632021847291959</v>
      </c>
      <c r="B169" s="304">
        <v>4.0757564891875795</v>
      </c>
      <c r="C169" s="306">
        <v>4.0424034875398567</v>
      </c>
      <c r="D169" s="307">
        <v>12.746915472510619</v>
      </c>
    </row>
    <row r="171" spans="1:5" s="306" customFormat="1" x14ac:dyDescent="0.25">
      <c r="A171" s="308">
        <v>1.1463482688014111</v>
      </c>
      <c r="B171" s="311">
        <v>2.988888092070892</v>
      </c>
      <c r="C171" s="310">
        <v>1.5942041605675712</v>
      </c>
      <c r="D171" s="309">
        <v>18.027387335471719</v>
      </c>
      <c r="E171" s="306" t="s">
        <v>218</v>
      </c>
    </row>
    <row r="172" spans="1:5" s="306" customFormat="1" x14ac:dyDescent="0.25"/>
    <row r="173" spans="1:5" s="306" customFormat="1" x14ac:dyDescent="0.25"/>
    <row r="184" s="210" customFormat="1" x14ac:dyDescent="0.25"/>
    <row r="185" s="210" customFormat="1" x14ac:dyDescent="0.25"/>
    <row r="186" s="210" customFormat="1" x14ac:dyDescent="0.25"/>
    <row r="187" s="210" customFormat="1" x14ac:dyDescent="0.25"/>
    <row r="188" s="210" customFormat="1" x14ac:dyDescent="0.25"/>
    <row r="189" s="210" customFormat="1" x14ac:dyDescent="0.25"/>
    <row r="190" s="210" customFormat="1" x14ac:dyDescent="0.25"/>
    <row r="191" s="210" customFormat="1" x14ac:dyDescent="0.25"/>
    <row r="192" s="210" customFormat="1" x14ac:dyDescent="0.25"/>
    <row r="193" s="210" customFormat="1" x14ac:dyDescent="0.25"/>
    <row r="194" s="210" customFormat="1" x14ac:dyDescent="0.25"/>
    <row r="195" s="210" customFormat="1" x14ac:dyDescent="0.25"/>
    <row r="206" s="210" customFormat="1" x14ac:dyDescent="0.25"/>
    <row r="207" s="210" customFormat="1" x14ac:dyDescent="0.25"/>
    <row r="208" s="210" customFormat="1" x14ac:dyDescent="0.25"/>
    <row r="209" spans="1:21" s="210" customFormat="1" x14ac:dyDescent="0.25"/>
    <row r="210" spans="1:21" s="210" customFormat="1" x14ac:dyDescent="0.25"/>
    <row r="219" spans="1:21" x14ac:dyDescent="0.25">
      <c r="A219" s="209" t="s">
        <v>203</v>
      </c>
      <c r="B219" s="313">
        <v>11.603549803295945</v>
      </c>
      <c r="C219" s="314">
        <v>12.489969217365072</v>
      </c>
      <c r="D219" s="314">
        <v>13.3763886314342</v>
      </c>
      <c r="E219" s="314">
        <v>14.262808045503327</v>
      </c>
      <c r="F219" s="314">
        <v>15.149227459572455</v>
      </c>
      <c r="G219" s="314">
        <v>16.035646873641582</v>
      </c>
      <c r="H219" s="314">
        <v>16.92206628771071</v>
      </c>
      <c r="I219" s="314">
        <v>17.808485701779837</v>
      </c>
      <c r="J219" s="314">
        <v>18.694905115848965</v>
      </c>
      <c r="K219" s="314">
        <v>19.581324529918092</v>
      </c>
      <c r="L219" s="314">
        <v>20.46774394398722</v>
      </c>
      <c r="M219" s="314">
        <v>21.354163358056347</v>
      </c>
      <c r="N219" s="314">
        <v>22.240582772125475</v>
      </c>
      <c r="O219" s="314">
        <v>23.127002186194602</v>
      </c>
      <c r="P219" s="314">
        <v>24.01342160026373</v>
      </c>
      <c r="Q219" s="314">
        <v>24.899841014332857</v>
      </c>
      <c r="R219" s="314">
        <v>25.786260428401985</v>
      </c>
      <c r="S219" s="314">
        <v>26.672679842471112</v>
      </c>
      <c r="T219" s="314">
        <v>27.55909925654024</v>
      </c>
      <c r="U219" s="314">
        <v>28.44551867060936</v>
      </c>
    </row>
    <row r="220" spans="1:21" x14ac:dyDescent="0.25">
      <c r="A220" s="209" t="s">
        <v>188</v>
      </c>
      <c r="B220" s="315">
        <v>0</v>
      </c>
      <c r="C220" s="315">
        <v>0</v>
      </c>
      <c r="D220" s="315">
        <v>0</v>
      </c>
      <c r="E220" s="315">
        <v>4.0000000000000002E-4</v>
      </c>
      <c r="F220" s="315">
        <v>1.1599999999999999E-2</v>
      </c>
      <c r="G220" s="315">
        <v>7.5800000000000006E-2</v>
      </c>
      <c r="H220" s="315">
        <v>0.21079999999999999</v>
      </c>
      <c r="I220" s="315">
        <v>0.39879999999999999</v>
      </c>
      <c r="J220" s="315">
        <v>0.59840000000000004</v>
      </c>
      <c r="K220" s="315">
        <v>0.76200000000000001</v>
      </c>
      <c r="L220" s="315">
        <v>0.87780000000000002</v>
      </c>
      <c r="M220" s="315">
        <v>0.94820000000000004</v>
      </c>
      <c r="N220" s="315">
        <v>0.98419999999999996</v>
      </c>
      <c r="O220" s="315">
        <v>0.99739999999999995</v>
      </c>
      <c r="P220" s="315">
        <v>0.99960000000000004</v>
      </c>
      <c r="Q220" s="315">
        <v>1</v>
      </c>
      <c r="R220" s="315">
        <v>1</v>
      </c>
      <c r="S220" s="315">
        <v>1</v>
      </c>
      <c r="T220" s="315">
        <v>1</v>
      </c>
      <c r="U220" s="315">
        <v>1</v>
      </c>
    </row>
    <row r="222" spans="1:21" x14ac:dyDescent="0.25">
      <c r="A222" s="324" t="s">
        <v>204</v>
      </c>
      <c r="B222" s="325"/>
    </row>
    <row r="223" spans="1:21" x14ac:dyDescent="0.25">
      <c r="A223" s="211" t="s">
        <v>188</v>
      </c>
      <c r="B223" s="212" t="s">
        <v>203</v>
      </c>
    </row>
    <row r="224" spans="1:21" x14ac:dyDescent="0.25">
      <c r="A224" s="169">
        <v>0.1</v>
      </c>
      <c r="B224" s="312">
        <v>16.194545745849609</v>
      </c>
    </row>
    <row r="225" spans="1:2" x14ac:dyDescent="0.25">
      <c r="A225" s="169">
        <v>0.5</v>
      </c>
      <c r="B225" s="312">
        <v>18.257911682128906</v>
      </c>
    </row>
    <row r="226" spans="1:2" x14ac:dyDescent="0.25">
      <c r="A226" s="169">
        <v>0.9</v>
      </c>
      <c r="B226" s="312">
        <v>20.747268676757813</v>
      </c>
    </row>
  </sheetData>
  <mergeCells count="1">
    <mergeCell ref="A222:B2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E68"/>
  <sheetViews>
    <sheetView zoomScale="80" zoomScaleNormal="80" workbookViewId="0">
      <selection activeCell="K51" sqref="K51"/>
    </sheetView>
  </sheetViews>
  <sheetFormatPr defaultRowHeight="12.75" outlineLevelRow="1" x14ac:dyDescent="0.2"/>
  <cols>
    <col min="1" max="1" width="3" style="51" customWidth="1"/>
    <col min="2" max="2" width="11.42578125" style="51" customWidth="1"/>
    <col min="3" max="3" width="11" style="51" customWidth="1"/>
    <col min="4" max="4" width="9.140625" style="51"/>
    <col min="5" max="5" width="11" style="51" bestFit="1" customWidth="1"/>
    <col min="6" max="6" width="10.7109375" style="51" customWidth="1"/>
    <col min="7" max="7" width="13.85546875" style="51" customWidth="1"/>
    <col min="8" max="8" width="16.140625" style="237" customWidth="1"/>
    <col min="9" max="9" width="8.28515625" style="51" customWidth="1"/>
    <col min="10" max="10" width="10.28515625" style="289" customWidth="1"/>
    <col min="11" max="11" width="19.5703125" style="103" customWidth="1"/>
    <col min="12" max="12" width="17.140625" style="103" customWidth="1"/>
    <col min="13" max="13" width="14.28515625" style="51" customWidth="1"/>
    <col min="14" max="14" width="12.7109375" style="51" customWidth="1"/>
    <col min="15" max="15" width="3" style="50" customWidth="1"/>
    <col min="16" max="16" width="12.42578125" style="51" bestFit="1" customWidth="1"/>
    <col min="17" max="17" width="9.28515625" style="51" bestFit="1" customWidth="1"/>
    <col min="18" max="18" width="11.42578125" style="51" bestFit="1" customWidth="1"/>
    <col min="19" max="19" width="13.28515625" style="51" customWidth="1"/>
    <col min="20" max="20" width="10.42578125" style="51" customWidth="1"/>
    <col min="21" max="21" width="9" style="51" customWidth="1"/>
    <col min="22" max="22" width="11.42578125" style="51" bestFit="1" customWidth="1"/>
    <col min="23" max="16384" width="9.140625" style="51"/>
  </cols>
  <sheetData>
    <row r="1" spans="1:31" s="49" customFormat="1" ht="15.75" x14ac:dyDescent="0.25">
      <c r="A1" s="100" t="s">
        <v>123</v>
      </c>
      <c r="B1" s="101"/>
      <c r="C1" s="101"/>
      <c r="D1" s="101"/>
      <c r="E1" s="101"/>
      <c r="F1" s="101"/>
      <c r="G1" s="101"/>
      <c r="H1" s="235"/>
      <c r="I1" s="101"/>
      <c r="J1" s="287"/>
      <c r="K1" s="101"/>
      <c r="L1" s="101"/>
      <c r="M1" s="101"/>
      <c r="N1" s="101"/>
      <c r="O1" s="100" t="s">
        <v>148</v>
      </c>
      <c r="P1" s="101"/>
      <c r="Q1" s="101"/>
      <c r="R1" s="101"/>
      <c r="S1" s="101"/>
      <c r="T1" s="101"/>
      <c r="U1" s="101"/>
    </row>
    <row r="2" spans="1:31" ht="12.75" customHeight="1" x14ac:dyDescent="0.2">
      <c r="A2" s="102"/>
      <c r="B2" s="102"/>
      <c r="C2" s="103"/>
      <c r="D2" s="103"/>
      <c r="E2" s="103"/>
      <c r="F2" s="103"/>
      <c r="G2" s="103"/>
      <c r="I2" s="103"/>
      <c r="M2" s="103"/>
      <c r="N2" s="103"/>
      <c r="O2" s="102"/>
      <c r="P2" s="102"/>
      <c r="Q2" s="102"/>
      <c r="R2" s="102"/>
      <c r="S2" s="102"/>
      <c r="T2" s="102"/>
      <c r="U2" s="102"/>
      <c r="V2" s="50"/>
      <c r="Z2" s="52"/>
    </row>
    <row r="3" spans="1:31" s="160" customFormat="1" ht="12.75" customHeight="1" x14ac:dyDescent="0.2">
      <c r="A3" s="159" t="s">
        <v>181</v>
      </c>
      <c r="B3" s="159"/>
      <c r="H3" s="237"/>
      <c r="J3" s="289"/>
      <c r="O3" s="159"/>
      <c r="P3" s="159"/>
      <c r="Q3" s="159"/>
      <c r="R3" s="159"/>
      <c r="S3" s="159"/>
      <c r="T3" s="159"/>
      <c r="U3" s="159"/>
      <c r="V3" s="159"/>
      <c r="Z3" s="161"/>
    </row>
    <row r="4" spans="1:31" s="160" customFormat="1" ht="12.75" customHeight="1" x14ac:dyDescent="0.2">
      <c r="A4" s="159"/>
      <c r="B4" s="159"/>
      <c r="H4" s="237"/>
      <c r="J4" s="289"/>
      <c r="O4" s="159"/>
      <c r="P4" s="159"/>
      <c r="Q4" s="159"/>
      <c r="R4" s="159"/>
      <c r="S4" s="159"/>
      <c r="T4" s="159"/>
      <c r="U4" s="159"/>
      <c r="V4" s="159"/>
      <c r="Z4" s="161"/>
    </row>
    <row r="5" spans="1:31" ht="14.25" x14ac:dyDescent="0.2">
      <c r="A5" s="104" t="s">
        <v>130</v>
      </c>
      <c r="B5" s="105"/>
      <c r="C5" s="102"/>
      <c r="D5" s="102"/>
      <c r="E5" s="102"/>
      <c r="F5" s="106"/>
      <c r="G5" s="106"/>
      <c r="H5" s="248"/>
      <c r="I5" s="102"/>
      <c r="J5" s="288"/>
      <c r="K5" s="102"/>
      <c r="L5" s="102"/>
      <c r="M5" s="102"/>
      <c r="N5" s="103"/>
      <c r="O5" s="104" t="s">
        <v>149</v>
      </c>
      <c r="P5" s="107"/>
      <c r="Q5" s="107"/>
      <c r="R5" s="108"/>
      <c r="S5" s="107"/>
      <c r="T5" s="107"/>
      <c r="U5" s="102"/>
      <c r="V5" s="54"/>
      <c r="W5" s="54"/>
      <c r="Z5" s="55"/>
    </row>
    <row r="6" spans="1:31" ht="14.25" outlineLevel="1" x14ac:dyDescent="0.2">
      <c r="A6" s="109"/>
      <c r="B6" s="107" t="s">
        <v>103</v>
      </c>
      <c r="C6" s="107"/>
      <c r="D6" s="107"/>
      <c r="E6" s="107"/>
      <c r="F6" s="110"/>
      <c r="G6" s="111">
        <v>20</v>
      </c>
      <c r="H6" s="102" t="s">
        <v>97</v>
      </c>
      <c r="K6" s="102"/>
      <c r="L6" s="102"/>
      <c r="M6" s="102"/>
      <c r="N6" s="103"/>
      <c r="O6" s="102"/>
      <c r="P6" s="112" t="s">
        <v>124</v>
      </c>
      <c r="Q6" s="107"/>
      <c r="R6" s="107"/>
      <c r="S6" s="153">
        <f>SUMPRODUCT(F23:F41,G23:G41)</f>
        <v>1.265671102601766</v>
      </c>
      <c r="T6" s="114" t="s">
        <v>125</v>
      </c>
      <c r="U6" s="115"/>
      <c r="V6" s="56"/>
      <c r="W6" s="56"/>
      <c r="X6" s="56"/>
      <c r="Y6" s="56"/>
      <c r="Z6" s="56"/>
      <c r="AA6" s="56"/>
      <c r="AB6" s="57"/>
      <c r="AC6" s="57"/>
      <c r="AD6" s="50"/>
      <c r="AE6" s="50"/>
    </row>
    <row r="7" spans="1:31" ht="14.25" outlineLevel="1" x14ac:dyDescent="0.2">
      <c r="A7" s="109"/>
      <c r="B7" s="116" t="s">
        <v>131</v>
      </c>
      <c r="C7" s="107"/>
      <c r="D7" s="107"/>
      <c r="E7" s="107"/>
      <c r="F7" s="110"/>
      <c r="G7" s="117">
        <v>2</v>
      </c>
      <c r="H7" s="102"/>
      <c r="K7" s="102"/>
      <c r="L7" s="102"/>
      <c r="M7" s="102"/>
      <c r="N7" s="103"/>
      <c r="O7" s="102"/>
      <c r="P7" s="118" t="s">
        <v>126</v>
      </c>
      <c r="Q7" s="118"/>
      <c r="R7" s="118"/>
      <c r="S7" s="154">
        <f>SUMPRODUCT(G23:G41,K23:K41)/G11</f>
        <v>1.5957610005681255</v>
      </c>
      <c r="T7" s="119" t="s">
        <v>127</v>
      </c>
      <c r="U7" s="115"/>
      <c r="V7" s="56"/>
      <c r="W7" s="56"/>
      <c r="X7" s="58"/>
      <c r="Y7" s="56"/>
      <c r="Z7" s="56"/>
      <c r="AA7" s="56"/>
      <c r="AB7" s="57"/>
      <c r="AC7" s="57"/>
      <c r="AD7" s="50"/>
      <c r="AE7" s="50"/>
    </row>
    <row r="8" spans="1:31" s="237" customFormat="1" ht="14.25" outlineLevel="1" x14ac:dyDescent="0.2">
      <c r="A8" s="250"/>
      <c r="B8" s="253" t="s">
        <v>211</v>
      </c>
      <c r="C8" s="249"/>
      <c r="D8" s="249"/>
      <c r="E8" s="249"/>
      <c r="F8" s="251"/>
      <c r="G8" s="242">
        <v>60</v>
      </c>
      <c r="H8" s="236" t="s">
        <v>97</v>
      </c>
      <c r="J8" s="289"/>
      <c r="K8" s="236"/>
      <c r="L8" s="236"/>
      <c r="M8" s="236"/>
      <c r="O8" s="236"/>
      <c r="P8" s="112" t="s">
        <v>128</v>
      </c>
      <c r="Q8" s="107"/>
      <c r="R8" s="107"/>
      <c r="S8" s="153">
        <f ca="1">OFFSET(F22,MATCH(MAX(K23:K41),K23:K41,0),0)</f>
        <v>3.3</v>
      </c>
      <c r="T8" s="114" t="s">
        <v>125</v>
      </c>
      <c r="U8" s="252"/>
      <c r="V8" s="238"/>
      <c r="W8" s="238"/>
      <c r="X8" s="240"/>
      <c r="Y8" s="238"/>
      <c r="Z8" s="238"/>
      <c r="AA8" s="238"/>
      <c r="AB8" s="239"/>
      <c r="AC8" s="239"/>
      <c r="AD8" s="236"/>
      <c r="AE8" s="236"/>
    </row>
    <row r="9" spans="1:31" outlineLevel="1" x14ac:dyDescent="0.2">
      <c r="A9" s="102"/>
      <c r="B9" s="120" t="s">
        <v>219</v>
      </c>
      <c r="C9" s="121"/>
      <c r="D9" s="121"/>
      <c r="E9" s="121"/>
      <c r="F9" s="110"/>
      <c r="G9" s="117">
        <v>30</v>
      </c>
      <c r="H9" s="102" t="s">
        <v>97</v>
      </c>
      <c r="K9" s="102"/>
      <c r="L9" s="102"/>
      <c r="M9" s="102"/>
      <c r="N9" s="103"/>
      <c r="O9" s="102"/>
      <c r="P9" s="118" t="s">
        <v>129</v>
      </c>
      <c r="Q9" s="121"/>
      <c r="R9" s="121"/>
      <c r="S9" s="153">
        <f>MAX(K23:K41)/G11</f>
        <v>13.684307796983095</v>
      </c>
      <c r="T9" s="119" t="s">
        <v>127</v>
      </c>
      <c r="U9" s="102"/>
      <c r="V9" s="50"/>
      <c r="W9" s="50"/>
      <c r="X9" s="50"/>
      <c r="Y9" s="50"/>
      <c r="Z9" s="59"/>
      <c r="AA9" s="50"/>
      <c r="AB9" s="50"/>
      <c r="AC9" s="50"/>
      <c r="AD9" s="50"/>
      <c r="AE9" s="50"/>
    </row>
    <row r="10" spans="1:31" s="237" customFormat="1" outlineLevel="1" x14ac:dyDescent="0.2">
      <c r="A10" s="236"/>
      <c r="B10" s="254" t="s">
        <v>212</v>
      </c>
      <c r="C10" s="255"/>
      <c r="D10" s="255"/>
      <c r="E10" s="255"/>
      <c r="F10" s="236"/>
      <c r="G10" s="242">
        <v>7</v>
      </c>
      <c r="H10" s="236"/>
      <c r="J10" s="289"/>
      <c r="K10" s="236"/>
      <c r="L10" s="236"/>
      <c r="M10" s="236"/>
      <c r="O10" s="236"/>
      <c r="U10" s="236"/>
      <c r="V10" s="236"/>
      <c r="W10" s="236"/>
      <c r="X10" s="236"/>
      <c r="Y10" s="236"/>
      <c r="Z10" s="241"/>
      <c r="AA10" s="236"/>
      <c r="AB10" s="236"/>
      <c r="AC10" s="236"/>
      <c r="AD10" s="236"/>
      <c r="AE10" s="236"/>
    </row>
    <row r="11" spans="1:31" outlineLevel="1" x14ac:dyDescent="0.2">
      <c r="A11" s="102"/>
      <c r="B11" s="120" t="s">
        <v>140</v>
      </c>
      <c r="C11" s="120"/>
      <c r="D11" s="120"/>
      <c r="E11" s="120"/>
      <c r="F11" s="122"/>
      <c r="G11" s="214">
        <f>(G6/2)^2*PI()*G7</f>
        <v>628.31853071795865</v>
      </c>
      <c r="H11" s="122" t="s">
        <v>102</v>
      </c>
      <c r="K11" s="122"/>
      <c r="L11" s="122"/>
      <c r="M11" s="102"/>
      <c r="N11" s="103"/>
      <c r="O11" s="104" t="s">
        <v>132</v>
      </c>
      <c r="P11" s="102"/>
      <c r="Q11" s="102"/>
      <c r="R11" s="102"/>
      <c r="S11" s="124"/>
      <c r="T11" s="125"/>
      <c r="U11" s="102"/>
      <c r="V11" s="50"/>
      <c r="W11" s="50"/>
      <c r="X11" s="50"/>
      <c r="Y11" s="50"/>
      <c r="Z11" s="59"/>
      <c r="AA11" s="50"/>
      <c r="AB11" s="50"/>
      <c r="AC11" s="50"/>
      <c r="AD11" s="50"/>
      <c r="AE11" s="50"/>
    </row>
    <row r="12" spans="1:31" outlineLevel="1" x14ac:dyDescent="0.2">
      <c r="A12" s="102"/>
      <c r="B12" s="122" t="s">
        <v>150</v>
      </c>
      <c r="C12" s="122"/>
      <c r="D12" s="122"/>
      <c r="E12" s="122"/>
      <c r="F12" s="122"/>
      <c r="G12" s="263">
        <v>1.115</v>
      </c>
      <c r="H12" s="122" t="s">
        <v>98</v>
      </c>
      <c r="K12" s="122"/>
      <c r="L12" s="122"/>
      <c r="M12" s="102"/>
      <c r="N12" s="103"/>
      <c r="O12" s="103"/>
      <c r="P12" s="126" t="s">
        <v>133</v>
      </c>
      <c r="Q12" s="121"/>
      <c r="R12" s="127"/>
      <c r="S12" s="128">
        <f>SUMPRODUCT(G23:G41,L23:L41)/1000</f>
        <v>0.38404764605054026</v>
      </c>
      <c r="T12" s="113" t="s">
        <v>98</v>
      </c>
      <c r="U12" s="102"/>
      <c r="V12" s="50"/>
      <c r="W12" s="50"/>
      <c r="X12" s="50"/>
      <c r="Y12" s="50"/>
      <c r="Z12" s="59"/>
      <c r="AA12" s="50"/>
      <c r="AB12" s="50"/>
      <c r="AC12" s="50"/>
      <c r="AD12" s="50"/>
      <c r="AE12" s="50"/>
    </row>
    <row r="13" spans="1:31" outlineLevel="1" x14ac:dyDescent="0.2">
      <c r="A13" s="102"/>
      <c r="B13" s="292"/>
      <c r="C13" s="292"/>
      <c r="D13" s="292"/>
      <c r="E13" s="292"/>
      <c r="F13" s="292"/>
      <c r="G13" s="293"/>
      <c r="H13" s="292"/>
      <c r="K13" s="122"/>
      <c r="L13" s="122"/>
      <c r="M13" s="102"/>
      <c r="N13" s="103"/>
      <c r="O13" s="102"/>
      <c r="P13" s="130" t="s">
        <v>134</v>
      </c>
      <c r="Q13" s="121"/>
      <c r="R13" s="127"/>
      <c r="S13" s="128">
        <f>SUMPRODUCT(G23:G41,M23:M41)/1000</f>
        <v>0.33439175358373147</v>
      </c>
      <c r="T13" s="113" t="s">
        <v>98</v>
      </c>
      <c r="U13" s="115"/>
      <c r="V13" s="50"/>
      <c r="W13" s="50"/>
      <c r="X13" s="50"/>
      <c r="Y13" s="50"/>
      <c r="Z13" s="59"/>
      <c r="AA13" s="50"/>
      <c r="AB13" s="50"/>
      <c r="AC13" s="50"/>
      <c r="AD13" s="50"/>
      <c r="AE13" s="50"/>
    </row>
    <row r="14" spans="1:31" outlineLevel="1" x14ac:dyDescent="0.2">
      <c r="A14" s="104" t="s">
        <v>137</v>
      </c>
      <c r="B14" s="107"/>
      <c r="C14" s="107"/>
      <c r="D14" s="107"/>
      <c r="E14" s="107"/>
      <c r="F14" s="106"/>
      <c r="G14" s="106">
        <v>0</v>
      </c>
      <c r="H14" s="292"/>
      <c r="K14" s="122"/>
      <c r="L14" s="122"/>
      <c r="M14" s="102"/>
      <c r="N14" s="103"/>
      <c r="O14" s="102"/>
      <c r="P14" s="130" t="s">
        <v>135</v>
      </c>
      <c r="Q14" s="121"/>
      <c r="R14" s="127"/>
      <c r="S14" s="128">
        <f>G12</f>
        <v>1.115</v>
      </c>
      <c r="T14" s="113" t="s">
        <v>98</v>
      </c>
      <c r="U14" s="129"/>
      <c r="V14" s="50"/>
      <c r="W14" s="50"/>
      <c r="X14" s="50"/>
      <c r="Y14" s="50"/>
      <c r="Z14" s="59"/>
      <c r="AA14" s="50"/>
      <c r="AB14" s="50"/>
      <c r="AC14" s="50"/>
      <c r="AD14" s="50"/>
      <c r="AE14" s="50"/>
    </row>
    <row r="15" spans="1:31" outlineLevel="1" x14ac:dyDescent="0.2">
      <c r="A15" s="102"/>
      <c r="B15" s="121" t="s">
        <v>139</v>
      </c>
      <c r="C15" s="121"/>
      <c r="D15" s="121"/>
      <c r="E15" s="121"/>
      <c r="F15" s="110"/>
      <c r="G15" s="65">
        <v>0.95</v>
      </c>
      <c r="H15" s="122"/>
      <c r="K15" s="122"/>
      <c r="L15" s="122"/>
      <c r="M15" s="102"/>
      <c r="N15" s="103"/>
      <c r="O15" s="102"/>
      <c r="P15" s="130" t="s">
        <v>136</v>
      </c>
      <c r="Q15" s="121"/>
      <c r="R15" s="127"/>
      <c r="S15" s="131">
        <f>S13/S14</f>
        <v>0.29990291801231522</v>
      </c>
      <c r="T15" s="113"/>
      <c r="U15" s="102"/>
      <c r="V15" s="50"/>
      <c r="W15" s="50"/>
      <c r="X15" s="50"/>
      <c r="Y15" s="50"/>
      <c r="Z15" s="59"/>
      <c r="AA15" s="50"/>
      <c r="AB15" s="50"/>
      <c r="AC15" s="50"/>
      <c r="AD15" s="50"/>
      <c r="AE15" s="50"/>
    </row>
    <row r="16" spans="1:31" outlineLevel="1" x14ac:dyDescent="0.2">
      <c r="A16" s="102"/>
      <c r="B16" s="132" t="s">
        <v>109</v>
      </c>
      <c r="C16" s="123"/>
      <c r="D16" s="123"/>
      <c r="E16" s="123"/>
      <c r="F16" s="110"/>
      <c r="G16" s="65">
        <v>0.98</v>
      </c>
      <c r="H16" s="102"/>
      <c r="K16" s="102"/>
      <c r="L16" s="102"/>
      <c r="M16" s="102"/>
      <c r="N16" s="103"/>
      <c r="O16" s="102"/>
      <c r="P16" s="130" t="s">
        <v>110</v>
      </c>
      <c r="Q16" s="121"/>
      <c r="R16" s="127"/>
      <c r="S16" s="133">
        <f>SUM(N23:N41)/1000</f>
        <v>2727.1520098573369</v>
      </c>
      <c r="T16" s="134" t="s">
        <v>147</v>
      </c>
      <c r="U16" s="102"/>
      <c r="W16" s="53"/>
      <c r="X16" s="50"/>
      <c r="Y16" s="50"/>
      <c r="Z16" s="59"/>
      <c r="AA16" s="50"/>
      <c r="AB16" s="50"/>
      <c r="AC16" s="50"/>
      <c r="AD16" s="50"/>
      <c r="AE16" s="50"/>
    </row>
    <row r="17" spans="1:30" outlineLevel="1" x14ac:dyDescent="0.2">
      <c r="H17" s="102"/>
      <c r="K17" s="102"/>
      <c r="L17" s="102"/>
      <c r="M17" s="122"/>
      <c r="N17" s="103"/>
      <c r="O17" s="102"/>
      <c r="P17" s="130" t="s">
        <v>138</v>
      </c>
      <c r="Q17" s="121"/>
      <c r="R17" s="127"/>
      <c r="S17" s="136">
        <f>S13/1.3*1000</f>
        <v>257.2244258336396</v>
      </c>
      <c r="T17" s="137"/>
      <c r="U17" s="102"/>
      <c r="W17" s="50"/>
      <c r="X17" s="50"/>
      <c r="Y17" s="62"/>
      <c r="Z17" s="55"/>
      <c r="AA17" s="50"/>
      <c r="AB17" s="50"/>
      <c r="AC17" s="50"/>
      <c r="AD17" s="50"/>
    </row>
    <row r="18" spans="1:30" outlineLevel="1" x14ac:dyDescent="0.2">
      <c r="H18" s="102"/>
      <c r="K18" s="102"/>
      <c r="L18" s="102"/>
      <c r="M18" s="102"/>
      <c r="N18" s="103"/>
      <c r="U18" s="102"/>
      <c r="W18" s="50"/>
      <c r="X18" s="50"/>
      <c r="Y18" s="62"/>
      <c r="Z18" s="55"/>
      <c r="AA18" s="50"/>
      <c r="AB18" s="50"/>
      <c r="AC18" s="50"/>
      <c r="AD18" s="50"/>
    </row>
    <row r="19" spans="1:30" outlineLevel="1" x14ac:dyDescent="0.2">
      <c r="A19" s="102"/>
      <c r="B19" s="122"/>
      <c r="C19" s="122"/>
      <c r="D19" s="122"/>
      <c r="E19" s="122"/>
      <c r="F19" s="135"/>
      <c r="G19" s="135"/>
      <c r="H19" s="257"/>
      <c r="I19" s="122"/>
      <c r="J19" s="290"/>
      <c r="K19" s="122"/>
      <c r="L19" s="122"/>
      <c r="M19" s="102"/>
      <c r="N19" s="103"/>
      <c r="U19" s="102"/>
      <c r="W19" s="50"/>
      <c r="X19" s="50"/>
      <c r="Y19" s="62"/>
      <c r="Z19" s="55"/>
      <c r="AA19" s="50"/>
      <c r="AB19" s="50"/>
      <c r="AC19" s="50"/>
      <c r="AD19" s="50"/>
    </row>
    <row r="20" spans="1:30" ht="14.25" x14ac:dyDescent="0.2">
      <c r="A20" s="104" t="s">
        <v>108</v>
      </c>
      <c r="B20" s="138"/>
      <c r="C20" s="122"/>
      <c r="D20" s="122"/>
      <c r="E20" s="122"/>
      <c r="F20" s="135"/>
      <c r="G20" s="135"/>
      <c r="H20" s="257"/>
      <c r="I20" s="122"/>
      <c r="J20" s="290"/>
      <c r="K20" s="122"/>
      <c r="L20" s="122"/>
      <c r="M20" s="102"/>
      <c r="N20" s="103"/>
      <c r="O20" s="102"/>
      <c r="P20" s="102"/>
      <c r="Q20" s="102"/>
      <c r="R20" s="102"/>
      <c r="S20" s="139"/>
      <c r="T20" s="139"/>
      <c r="U20" s="102"/>
      <c r="W20" s="50"/>
      <c r="X20" s="50"/>
      <c r="Y20" s="50"/>
      <c r="Z20" s="55"/>
      <c r="AA20" s="62"/>
      <c r="AB20" s="50"/>
      <c r="AC20" s="50"/>
      <c r="AD20" s="50"/>
    </row>
    <row r="21" spans="1:30" outlineLevel="1" x14ac:dyDescent="0.2">
      <c r="A21" s="102"/>
      <c r="F21" s="140" t="s">
        <v>214</v>
      </c>
      <c r="G21" s="141" t="s">
        <v>141</v>
      </c>
      <c r="H21" s="258" t="s">
        <v>213</v>
      </c>
      <c r="I21" s="142" t="s">
        <v>142</v>
      </c>
      <c r="J21" s="259" t="s">
        <v>216</v>
      </c>
      <c r="K21" s="142" t="s">
        <v>143</v>
      </c>
      <c r="L21" s="143" t="s">
        <v>144</v>
      </c>
      <c r="M21" s="142" t="s">
        <v>145</v>
      </c>
      <c r="N21" s="142" t="s">
        <v>146</v>
      </c>
      <c r="O21" s="102"/>
      <c r="P21" s="103"/>
      <c r="Q21" s="103"/>
      <c r="R21" s="103"/>
      <c r="S21" s="103"/>
      <c r="T21" s="103"/>
      <c r="U21" s="103"/>
      <c r="W21" s="50"/>
      <c r="X21" s="50"/>
      <c r="Y21" s="50"/>
      <c r="Z21" s="55"/>
      <c r="AA21" s="62"/>
      <c r="AB21" s="50"/>
      <c r="AC21" s="50"/>
      <c r="AD21" s="50"/>
    </row>
    <row r="22" spans="1:30" outlineLevel="1" x14ac:dyDescent="0.2">
      <c r="A22" s="103"/>
      <c r="F22" s="144" t="s">
        <v>125</v>
      </c>
      <c r="G22" s="145" t="s">
        <v>179</v>
      </c>
      <c r="H22" s="260" t="s">
        <v>215</v>
      </c>
      <c r="I22" s="146"/>
      <c r="J22" s="261" t="s">
        <v>217</v>
      </c>
      <c r="K22" s="146" t="s">
        <v>101</v>
      </c>
      <c r="L22" s="108" t="s">
        <v>101</v>
      </c>
      <c r="M22" s="146" t="s">
        <v>101</v>
      </c>
      <c r="N22" s="146" t="s">
        <v>180</v>
      </c>
      <c r="O22" s="102"/>
      <c r="P22" s="103"/>
      <c r="Q22" s="103"/>
      <c r="R22" s="103"/>
      <c r="S22" s="103"/>
      <c r="T22" s="103"/>
      <c r="U22" s="102"/>
      <c r="X22" s="50"/>
      <c r="Y22" s="50"/>
      <c r="Z22" s="55"/>
      <c r="AA22" s="50"/>
      <c r="AB22" s="50"/>
    </row>
    <row r="23" spans="1:30" outlineLevel="1" x14ac:dyDescent="0.2">
      <c r="A23" s="103"/>
      <c r="F23" s="284">
        <v>0.1</v>
      </c>
      <c r="G23" s="280">
        <v>4.970101733711204E-2</v>
      </c>
      <c r="H23" s="268">
        <f>F23*($G$9/$G$8)^(1/$G$10)</f>
        <v>9.0572366426390674E-2</v>
      </c>
      <c r="I23" s="262">
        <v>0</v>
      </c>
      <c r="J23" s="274">
        <v>9.3274404163863234E-2</v>
      </c>
      <c r="K23" s="134">
        <f>IF(G23&gt;0,0.5*H23^3*1025/1000*$G$11,0)</f>
        <v>0.23925492302898754</v>
      </c>
      <c r="L23" s="134">
        <f t="shared" ref="L23:L41" si="0">K23*I23</f>
        <v>0</v>
      </c>
      <c r="M23" s="134">
        <f>MIN(L23*J23,$G$12*1000)</f>
        <v>0</v>
      </c>
      <c r="N23" s="134">
        <f t="shared" ref="N23:N41" si="1">M23*G23*24*365*$G$16*$G$15</f>
        <v>0</v>
      </c>
      <c r="O23" s="102"/>
      <c r="P23" s="103"/>
      <c r="Q23" s="103"/>
      <c r="R23" s="103"/>
      <c r="S23" s="103"/>
      <c r="T23" s="103"/>
      <c r="U23" s="147"/>
      <c r="X23" s="50"/>
      <c r="Y23" s="50"/>
      <c r="Z23" s="55"/>
      <c r="AA23" s="50"/>
      <c r="AB23" s="50"/>
    </row>
    <row r="24" spans="1:30" ht="15" outlineLevel="1" x14ac:dyDescent="0.25">
      <c r="A24" s="103"/>
      <c r="F24" s="284">
        <v>0.3</v>
      </c>
      <c r="G24" s="280">
        <v>7.727054176859148E-2</v>
      </c>
      <c r="H24" s="268">
        <f>F24*($G$9/$G$8)^(1/$G$10)</f>
        <v>0.27171709927917198</v>
      </c>
      <c r="I24" s="262">
        <v>0</v>
      </c>
      <c r="J24" s="274">
        <v>0.14764859916439643</v>
      </c>
      <c r="K24" s="256">
        <f t="shared" ref="K24:K41" si="2">IF(G24&gt;0,0.5*H24^3*1025/1000*$G$11,0)</f>
        <v>6.4598829217826603</v>
      </c>
      <c r="L24" s="134">
        <f t="shared" si="0"/>
        <v>0</v>
      </c>
      <c r="M24" s="256">
        <f t="shared" ref="M24:M41" si="3">MIN(L24*J24,$G$12*1000)</f>
        <v>0</v>
      </c>
      <c r="N24" s="134">
        <f t="shared" si="1"/>
        <v>0</v>
      </c>
      <c r="O24" s="102"/>
      <c r="P24" s="103"/>
      <c r="Q24" s="103"/>
      <c r="R24" s="103"/>
      <c r="S24" s="103"/>
      <c r="T24" s="103"/>
      <c r="U24" s="148"/>
      <c r="X24" s="50"/>
      <c r="Y24" s="50"/>
      <c r="Z24" s="55"/>
      <c r="AA24" s="50"/>
      <c r="AB24" s="50"/>
    </row>
    <row r="25" spans="1:30" ht="15" outlineLevel="1" x14ac:dyDescent="0.25">
      <c r="A25" s="103"/>
      <c r="F25" s="284">
        <v>0.5</v>
      </c>
      <c r="G25" s="280">
        <v>8.9177078723854816E-2</v>
      </c>
      <c r="H25" s="268">
        <f t="shared" ref="H25:H41" si="4">F25*($G$9/$G$8)^(1/$G$10)</f>
        <v>0.45286183213195336</v>
      </c>
      <c r="I25" s="262">
        <v>0</v>
      </c>
      <c r="J25" s="274">
        <v>0.31938895513172771</v>
      </c>
      <c r="K25" s="256">
        <f t="shared" si="2"/>
        <v>29.90686537862344</v>
      </c>
      <c r="L25" s="134">
        <f t="shared" si="0"/>
        <v>0</v>
      </c>
      <c r="M25" s="256">
        <f t="shared" si="3"/>
        <v>0</v>
      </c>
      <c r="N25" s="134">
        <f t="shared" si="1"/>
        <v>0</v>
      </c>
      <c r="O25" s="102"/>
      <c r="P25" s="103"/>
      <c r="Q25" s="103"/>
      <c r="R25" s="103"/>
      <c r="S25" s="103"/>
      <c r="T25" s="103"/>
      <c r="U25" s="149"/>
      <c r="X25" s="50"/>
      <c r="Y25" s="50"/>
      <c r="Z25" s="55"/>
      <c r="AA25" s="50"/>
      <c r="AB25" s="50"/>
    </row>
    <row r="26" spans="1:30" outlineLevel="1" x14ac:dyDescent="0.2">
      <c r="A26" s="103"/>
      <c r="F26" s="284">
        <v>0.7</v>
      </c>
      <c r="G26" s="280">
        <v>9.3470629896126006E-2</v>
      </c>
      <c r="H26" s="268">
        <f t="shared" si="4"/>
        <v>0.63400656498473462</v>
      </c>
      <c r="I26" s="262">
        <v>0.45</v>
      </c>
      <c r="J26" s="274">
        <v>0.56438717754593026</v>
      </c>
      <c r="K26" s="256">
        <f t="shared" si="2"/>
        <v>82.064438598942687</v>
      </c>
      <c r="L26" s="134">
        <f t="shared" si="0"/>
        <v>36.928997369524211</v>
      </c>
      <c r="M26" s="256">
        <f t="shared" si="3"/>
        <v>20.842252594986853</v>
      </c>
      <c r="N26" s="134">
        <f t="shared" si="1"/>
        <v>15888.160249777346</v>
      </c>
      <c r="O26" s="102"/>
      <c r="P26" s="103"/>
      <c r="Q26" s="103"/>
      <c r="R26" s="103"/>
      <c r="S26" s="103"/>
      <c r="T26" s="103"/>
      <c r="U26" s="150"/>
      <c r="W26" s="63"/>
      <c r="X26" s="50"/>
      <c r="Y26" s="50"/>
      <c r="AA26" s="50"/>
      <c r="AB26" s="50"/>
    </row>
    <row r="27" spans="1:30" outlineLevel="1" x14ac:dyDescent="0.2">
      <c r="A27" s="103"/>
      <c r="F27" s="284">
        <v>0.9</v>
      </c>
      <c r="G27" s="280">
        <v>9.4364118038336997E-2</v>
      </c>
      <c r="H27" s="268">
        <f t="shared" si="4"/>
        <v>0.81515129783751605</v>
      </c>
      <c r="I27" s="262">
        <v>0.45</v>
      </c>
      <c r="J27" s="274">
        <v>0.75292949518184449</v>
      </c>
      <c r="K27" s="256">
        <f t="shared" si="2"/>
        <v>174.41683888813191</v>
      </c>
      <c r="L27" s="134">
        <f t="shared" si="0"/>
        <v>78.487577499659366</v>
      </c>
      <c r="M27" s="256">
        <f t="shared" si="3"/>
        <v>59.095612104864422</v>
      </c>
      <c r="N27" s="134">
        <f t="shared" si="1"/>
        <v>45479.523696679433</v>
      </c>
      <c r="O27" s="102"/>
      <c r="P27" s="103"/>
      <c r="Q27" s="103"/>
      <c r="R27" s="103"/>
      <c r="S27" s="103"/>
      <c r="T27" s="103"/>
      <c r="U27" s="151"/>
      <c r="W27" s="64"/>
      <c r="X27" s="50"/>
      <c r="Y27" s="50"/>
      <c r="Z27" s="55"/>
      <c r="AA27" s="50"/>
      <c r="AB27" s="50"/>
    </row>
    <row r="28" spans="1:30" outlineLevel="1" x14ac:dyDescent="0.2">
      <c r="A28" s="103"/>
      <c r="F28" s="284">
        <v>1.1000000000000001</v>
      </c>
      <c r="G28" s="280">
        <v>9.3506789187280642E-2</v>
      </c>
      <c r="H28" s="268">
        <f t="shared" si="4"/>
        <v>0.99629603069029748</v>
      </c>
      <c r="I28" s="262">
        <v>0.45</v>
      </c>
      <c r="J28" s="274">
        <v>0.83256271697897088</v>
      </c>
      <c r="K28" s="256">
        <f t="shared" si="2"/>
        <v>318.44830255158251</v>
      </c>
      <c r="L28" s="134">
        <f t="shared" si="0"/>
        <v>143.30173614821214</v>
      </c>
      <c r="M28" s="256">
        <f t="shared" si="3"/>
        <v>119.30768279535911</v>
      </c>
      <c r="N28" s="134">
        <f t="shared" si="1"/>
        <v>90984.066295674289</v>
      </c>
      <c r="O28" s="102"/>
      <c r="P28" s="103"/>
      <c r="Q28" s="103"/>
      <c r="R28" s="103"/>
      <c r="S28" s="103"/>
      <c r="T28" s="103"/>
      <c r="U28" s="103"/>
      <c r="W28" s="61"/>
      <c r="Z28" s="55"/>
    </row>
    <row r="29" spans="1:30" outlineLevel="1" x14ac:dyDescent="0.2">
      <c r="A29" s="103"/>
      <c r="F29" s="284">
        <v>1.3</v>
      </c>
      <c r="G29" s="280">
        <v>9.104585395568611E-2</v>
      </c>
      <c r="H29" s="268">
        <f t="shared" si="4"/>
        <v>1.1774407635430788</v>
      </c>
      <c r="I29" s="262">
        <v>0.45</v>
      </c>
      <c r="J29" s="274">
        <v>0.85594102226655122</v>
      </c>
      <c r="K29" s="256">
        <f t="shared" si="2"/>
        <v>525.64306589468572</v>
      </c>
      <c r="L29" s="134">
        <f t="shared" si="0"/>
        <v>236.53937965260857</v>
      </c>
      <c r="M29" s="256">
        <f t="shared" si="3"/>
        <v>202.46375842614964</v>
      </c>
      <c r="N29" s="134">
        <f t="shared" si="1"/>
        <v>150335.3992959825</v>
      </c>
      <c r="O29" s="102"/>
      <c r="P29" s="103"/>
      <c r="Q29" s="103"/>
      <c r="R29" s="103"/>
      <c r="S29" s="103"/>
      <c r="T29" s="103"/>
      <c r="U29" s="103"/>
      <c r="V29" s="50"/>
      <c r="W29" s="50"/>
      <c r="Z29" s="55"/>
    </row>
    <row r="30" spans="1:30" outlineLevel="1" x14ac:dyDescent="0.2">
      <c r="A30" s="103"/>
      <c r="F30" s="284">
        <v>1.5</v>
      </c>
      <c r="G30" s="280">
        <v>8.647636789221573E-2</v>
      </c>
      <c r="H30" s="268">
        <f t="shared" si="4"/>
        <v>1.3585854963958601</v>
      </c>
      <c r="I30" s="262">
        <v>0.45</v>
      </c>
      <c r="J30" s="274">
        <v>0.86997217562462337</v>
      </c>
      <c r="K30" s="256">
        <f t="shared" si="2"/>
        <v>807.48536522283302</v>
      </c>
      <c r="L30" s="134">
        <f t="shared" si="0"/>
        <v>363.36841435027486</v>
      </c>
      <c r="M30" s="256">
        <f t="shared" si="3"/>
        <v>316.12040998557825</v>
      </c>
      <c r="N30" s="134">
        <f t="shared" si="1"/>
        <v>222948.09412151924</v>
      </c>
      <c r="O30" s="102"/>
      <c r="P30" s="103"/>
      <c r="Q30" s="103"/>
      <c r="R30" s="103"/>
      <c r="S30" s="103"/>
      <c r="T30" s="103"/>
      <c r="U30" s="103"/>
      <c r="V30" s="50"/>
    </row>
    <row r="31" spans="1:30" outlineLevel="1" x14ac:dyDescent="0.2">
      <c r="A31" s="103"/>
      <c r="F31" s="284">
        <v>1.7</v>
      </c>
      <c r="G31" s="280">
        <v>7.9279350909385191E-2</v>
      </c>
      <c r="H31" s="268">
        <f t="shared" si="4"/>
        <v>1.5397302292486414</v>
      </c>
      <c r="I31" s="262">
        <v>0.45</v>
      </c>
      <c r="J31" s="274">
        <v>0.88707867768200943</v>
      </c>
      <c r="K31" s="256">
        <f t="shared" si="2"/>
        <v>1175.4594368414157</v>
      </c>
      <c r="L31" s="134">
        <f t="shared" si="0"/>
        <v>528.95674657863708</v>
      </c>
      <c r="M31" s="256">
        <f t="shared" si="3"/>
        <v>469.22625130595515</v>
      </c>
      <c r="N31" s="134">
        <f t="shared" si="1"/>
        <v>303386.44569705898</v>
      </c>
      <c r="O31" s="102"/>
      <c r="P31" s="103"/>
      <c r="Q31" s="103"/>
      <c r="R31" s="103"/>
      <c r="S31" s="103"/>
      <c r="T31" s="103"/>
      <c r="U31" s="103"/>
      <c r="V31" s="50"/>
    </row>
    <row r="32" spans="1:30" outlineLevel="1" x14ac:dyDescent="0.2">
      <c r="A32" s="103"/>
      <c r="F32" s="284">
        <v>1.9</v>
      </c>
      <c r="G32" s="280">
        <v>6.9348145779405485E-2</v>
      </c>
      <c r="H32" s="268">
        <f t="shared" si="4"/>
        <v>1.7208749621014228</v>
      </c>
      <c r="I32" s="262">
        <v>0.45</v>
      </c>
      <c r="J32" s="274">
        <v>0.90915524148927773</v>
      </c>
      <c r="K32" s="256">
        <f t="shared" si="2"/>
        <v>1641.0495170558254</v>
      </c>
      <c r="L32" s="134">
        <f t="shared" si="0"/>
        <v>738.47228267512139</v>
      </c>
      <c r="M32" s="256">
        <f t="shared" si="3"/>
        <v>671.38594648863818</v>
      </c>
      <c r="N32" s="134">
        <f t="shared" si="1"/>
        <v>379717.73960433825</v>
      </c>
      <c r="O32" s="102"/>
      <c r="P32" s="103"/>
      <c r="Q32" s="103"/>
      <c r="R32" s="103"/>
      <c r="S32" s="103"/>
      <c r="T32" s="103"/>
      <c r="U32" s="103"/>
      <c r="V32" s="50"/>
    </row>
    <row r="33" spans="1:22" outlineLevel="1" x14ac:dyDescent="0.2">
      <c r="A33" s="103"/>
      <c r="F33" s="284">
        <v>2.1</v>
      </c>
      <c r="G33" s="280">
        <v>5.7203015697946807E-2</v>
      </c>
      <c r="H33" s="268">
        <f t="shared" si="4"/>
        <v>1.9020196949542041</v>
      </c>
      <c r="I33" s="262">
        <v>0.45</v>
      </c>
      <c r="J33" s="274">
        <v>0.93716344419620112</v>
      </c>
      <c r="K33" s="256">
        <f t="shared" si="2"/>
        <v>2215.7398421714533</v>
      </c>
      <c r="L33" s="134">
        <f t="shared" si="0"/>
        <v>997.08292897715398</v>
      </c>
      <c r="M33" s="256">
        <f t="shared" si="3"/>
        <v>934.42967186946578</v>
      </c>
      <c r="N33" s="134">
        <f t="shared" si="1"/>
        <v>435932.58499214565</v>
      </c>
      <c r="O33" s="102"/>
      <c r="P33" s="103"/>
      <c r="Q33" s="103"/>
      <c r="R33" s="103"/>
      <c r="S33" s="103"/>
      <c r="T33" s="103"/>
      <c r="U33" s="103"/>
      <c r="V33" s="50"/>
    </row>
    <row r="34" spans="1:22" outlineLevel="1" x14ac:dyDescent="0.2">
      <c r="A34" s="103"/>
      <c r="F34" s="284">
        <v>2.2999999999999998</v>
      </c>
      <c r="G34" s="280">
        <v>4.3993980915827013E-2</v>
      </c>
      <c r="H34" s="268">
        <f t="shared" si="4"/>
        <v>2.0831644278069854</v>
      </c>
      <c r="I34" s="262">
        <v>0.4168568311691061</v>
      </c>
      <c r="J34" s="274">
        <v>0.94079999999999997</v>
      </c>
      <c r="K34" s="256">
        <f t="shared" si="2"/>
        <v>2911.0146484936913</v>
      </c>
      <c r="L34" s="134">
        <f t="shared" si="0"/>
        <v>1213.4763418579294</v>
      </c>
      <c r="M34" s="256">
        <f t="shared" si="3"/>
        <v>1115</v>
      </c>
      <c r="N34" s="134">
        <f t="shared" si="1"/>
        <v>400057.03936263855</v>
      </c>
      <c r="O34" s="102"/>
      <c r="P34" s="103"/>
      <c r="Q34" s="103"/>
      <c r="R34" s="103"/>
      <c r="S34" s="103"/>
      <c r="T34" s="103"/>
      <c r="U34" s="103"/>
    </row>
    <row r="35" spans="1:22" outlineLevel="1" x14ac:dyDescent="0.2">
      <c r="A35" s="103"/>
      <c r="F35" s="284">
        <v>2.5</v>
      </c>
      <c r="G35" s="280">
        <v>3.1291894438614652E-2</v>
      </c>
      <c r="H35" s="268">
        <f t="shared" si="4"/>
        <v>2.2643091606597667</v>
      </c>
      <c r="I35" s="262">
        <v>0.35958806909207386</v>
      </c>
      <c r="J35" s="274">
        <v>0.94079999999999997</v>
      </c>
      <c r="K35" s="256">
        <f>IF(G35&gt;0,0.5*H35^3*1025/1000*$G$11,0)</f>
        <v>3738.3581723279299</v>
      </c>
      <c r="L35" s="134">
        <f t="shared" si="0"/>
        <v>1344.2689967619747</v>
      </c>
      <c r="M35" s="256">
        <f t="shared" si="3"/>
        <v>1115</v>
      </c>
      <c r="N35" s="134">
        <f t="shared" si="1"/>
        <v>284551.25870768371</v>
      </c>
      <c r="O35" s="102"/>
      <c r="P35" s="103"/>
      <c r="Q35" s="103"/>
      <c r="R35" s="103"/>
      <c r="S35" s="103"/>
      <c r="T35" s="103"/>
      <c r="U35" s="103"/>
    </row>
    <row r="36" spans="1:22" outlineLevel="1" x14ac:dyDescent="0.2">
      <c r="A36" s="103"/>
      <c r="F36" s="284">
        <v>2.7</v>
      </c>
      <c r="G36" s="280">
        <v>2.0667756794169125E-2</v>
      </c>
      <c r="H36" s="268">
        <f t="shared" si="4"/>
        <v>2.4454538935125485</v>
      </c>
      <c r="I36" s="262">
        <v>0.30231930701504145</v>
      </c>
      <c r="J36" s="274">
        <v>0.94079999999999997</v>
      </c>
      <c r="K36" s="256">
        <f t="shared" si="2"/>
        <v>4709.2546499795635</v>
      </c>
      <c r="L36" s="134">
        <f t="shared" si="0"/>
        <v>1423.6986023391833</v>
      </c>
      <c r="M36" s="256">
        <f t="shared" si="3"/>
        <v>1115</v>
      </c>
      <c r="N36" s="134">
        <f t="shared" si="1"/>
        <v>187941.20061928316</v>
      </c>
      <c r="O36" s="102"/>
      <c r="P36" s="103"/>
      <c r="Q36" s="103"/>
      <c r="R36" s="103"/>
      <c r="S36" s="103"/>
      <c r="T36" s="103"/>
      <c r="U36" s="103"/>
    </row>
    <row r="37" spans="1:22" outlineLevel="1" x14ac:dyDescent="0.2">
      <c r="A37" s="103"/>
      <c r="F37" s="284">
        <v>2.9</v>
      </c>
      <c r="G37" s="280">
        <v>1.306026986808843E-2</v>
      </c>
      <c r="H37" s="268">
        <f t="shared" si="4"/>
        <v>2.6265986263653294</v>
      </c>
      <c r="I37" s="262">
        <v>0.24505054493800937</v>
      </c>
      <c r="J37" s="274">
        <v>0.94079999999999997</v>
      </c>
      <c r="K37" s="256">
        <f t="shared" si="2"/>
        <v>5835.1883177539767</v>
      </c>
      <c r="L37" s="134">
        <f t="shared" si="0"/>
        <v>1429.9160770815181</v>
      </c>
      <c r="M37" s="256">
        <f t="shared" si="3"/>
        <v>1115</v>
      </c>
      <c r="N37" s="134">
        <f t="shared" si="1"/>
        <v>118762.90319580681</v>
      </c>
      <c r="O37" s="102"/>
      <c r="P37" s="103"/>
      <c r="Q37" s="103"/>
      <c r="R37" s="103"/>
      <c r="S37" s="103"/>
      <c r="T37" s="103"/>
      <c r="U37" s="103"/>
    </row>
    <row r="38" spans="1:22" outlineLevel="1" x14ac:dyDescent="0.2">
      <c r="A38" s="103"/>
      <c r="F38" s="284">
        <v>3.1</v>
      </c>
      <c r="G38" s="280">
        <v>7.9316298070830678E-3</v>
      </c>
      <c r="H38" s="268">
        <f t="shared" si="4"/>
        <v>2.8077433592181107</v>
      </c>
      <c r="I38" s="262">
        <v>0.18778178286097713</v>
      </c>
      <c r="J38" s="274">
        <v>0.94079999999999997</v>
      </c>
      <c r="K38" s="256">
        <f t="shared" si="2"/>
        <v>7127.6434119565665</v>
      </c>
      <c r="L38" s="134">
        <f t="shared" si="0"/>
        <v>1338.4415874945021</v>
      </c>
      <c r="M38" s="256">
        <f t="shared" si="3"/>
        <v>1115</v>
      </c>
      <c r="N38" s="134">
        <f t="shared" si="1"/>
        <v>72125.874310241634</v>
      </c>
      <c r="O38" s="102"/>
      <c r="P38" s="103"/>
      <c r="Q38" s="103"/>
      <c r="R38" s="103"/>
      <c r="S38" s="103"/>
      <c r="T38" s="103"/>
      <c r="U38" s="103"/>
    </row>
    <row r="39" spans="1:22" outlineLevel="1" x14ac:dyDescent="0.2">
      <c r="A39" s="103"/>
      <c r="F39" s="284">
        <v>3.3</v>
      </c>
      <c r="G39" s="280">
        <v>2.2115589902761664E-3</v>
      </c>
      <c r="H39" s="268">
        <f t="shared" si="4"/>
        <v>2.988888092070892</v>
      </c>
      <c r="I39" s="262">
        <v>0.13051302078394489</v>
      </c>
      <c r="J39" s="274">
        <v>0.94079999999999997</v>
      </c>
      <c r="K39" s="256">
        <f t="shared" si="2"/>
        <v>8598.1041688927235</v>
      </c>
      <c r="L39" s="134">
        <f t="shared" si="0"/>
        <v>1122.1645480972193</v>
      </c>
      <c r="M39" s="256">
        <f t="shared" si="3"/>
        <v>1055.7324068498638</v>
      </c>
      <c r="N39" s="134">
        <f t="shared" si="1"/>
        <v>19041.719708507961</v>
      </c>
      <c r="O39" s="102"/>
      <c r="P39" s="103"/>
      <c r="Q39" s="103"/>
      <c r="R39" s="103"/>
      <c r="S39" s="103"/>
      <c r="T39" s="103"/>
      <c r="U39" s="103"/>
    </row>
    <row r="40" spans="1:22" outlineLevel="1" x14ac:dyDescent="0.2">
      <c r="A40" s="103"/>
      <c r="F40" s="284">
        <v>3.5</v>
      </c>
      <c r="G40" s="280">
        <v>0</v>
      </c>
      <c r="H40" s="268">
        <f t="shared" si="4"/>
        <v>3.1700328249236733</v>
      </c>
      <c r="I40" s="262">
        <v>0</v>
      </c>
      <c r="J40" s="274">
        <v>0.94079999999999997</v>
      </c>
      <c r="K40" s="256">
        <f t="shared" si="2"/>
        <v>0</v>
      </c>
      <c r="L40" s="134">
        <f t="shared" si="0"/>
        <v>0</v>
      </c>
      <c r="M40" s="256">
        <f t="shared" si="3"/>
        <v>0</v>
      </c>
      <c r="N40" s="134">
        <f t="shared" si="1"/>
        <v>0</v>
      </c>
      <c r="O40" s="102"/>
      <c r="P40" s="103"/>
      <c r="Q40" s="103"/>
      <c r="R40" s="103"/>
      <c r="S40" s="103"/>
      <c r="T40" s="103"/>
      <c r="U40" s="103"/>
    </row>
    <row r="41" spans="1:22" outlineLevel="1" x14ac:dyDescent="0.2">
      <c r="A41" s="103"/>
      <c r="F41" s="284">
        <v>3.7</v>
      </c>
      <c r="G41" s="280">
        <v>0</v>
      </c>
      <c r="H41" s="268">
        <f t="shared" si="4"/>
        <v>3.3511775577764551</v>
      </c>
      <c r="I41" s="262">
        <v>0</v>
      </c>
      <c r="J41" s="274">
        <v>0.94079999999999997</v>
      </c>
      <c r="K41" s="256">
        <f t="shared" si="2"/>
        <v>0</v>
      </c>
      <c r="L41" s="134">
        <f t="shared" si="0"/>
        <v>0</v>
      </c>
      <c r="M41" s="256">
        <f t="shared" si="3"/>
        <v>0</v>
      </c>
      <c r="N41" s="134">
        <f t="shared" si="1"/>
        <v>0</v>
      </c>
      <c r="O41" s="102"/>
      <c r="P41" s="103"/>
      <c r="Q41" s="103"/>
      <c r="R41" s="103"/>
      <c r="S41" s="103"/>
      <c r="T41" s="103"/>
      <c r="U41" s="103"/>
    </row>
    <row r="42" spans="1:22" s="282" customFormat="1" outlineLevel="1" x14ac:dyDescent="0.2">
      <c r="F42" s="283"/>
      <c r="G42" s="283"/>
      <c r="H42" s="283"/>
      <c r="I42" s="285"/>
      <c r="J42" s="291"/>
      <c r="K42" s="246"/>
      <c r="L42" s="246"/>
      <c r="M42" s="246"/>
      <c r="N42" s="246"/>
      <c r="O42" s="281"/>
    </row>
    <row r="43" spans="1:22" outlineLevel="1" x14ac:dyDescent="0.2">
      <c r="B43" s="69"/>
      <c r="C43" s="79"/>
      <c r="D43" s="80"/>
      <c r="E43" s="78"/>
      <c r="F43" s="78"/>
      <c r="G43" s="78"/>
      <c r="H43" s="246"/>
      <c r="I43" s="78"/>
      <c r="J43" s="246"/>
      <c r="K43" s="152"/>
      <c r="L43" s="152"/>
    </row>
    <row r="44" spans="1:22" x14ac:dyDescent="0.2">
      <c r="A44" s="54" t="s">
        <v>151</v>
      </c>
      <c r="I44" s="72"/>
      <c r="J44" s="245"/>
      <c r="K44" s="72"/>
      <c r="L44" s="72"/>
      <c r="N44" s="72"/>
    </row>
    <row r="45" spans="1:22" outlineLevel="1" x14ac:dyDescent="0.2">
      <c r="B45" s="68" t="s">
        <v>158</v>
      </c>
      <c r="G45" s="60">
        <v>20</v>
      </c>
      <c r="H45" s="243"/>
    </row>
    <row r="46" spans="1:22" outlineLevel="1" x14ac:dyDescent="0.2">
      <c r="B46" s="73" t="s">
        <v>157</v>
      </c>
      <c r="G46" s="65">
        <v>0.4</v>
      </c>
      <c r="H46" s="271"/>
    </row>
    <row r="47" spans="1:22" outlineLevel="1" x14ac:dyDescent="0.2">
      <c r="B47" s="73" t="s">
        <v>152</v>
      </c>
      <c r="G47" s="65">
        <v>0</v>
      </c>
      <c r="H47" s="271"/>
    </row>
    <row r="48" spans="1:22" outlineLevel="1" x14ac:dyDescent="0.2">
      <c r="B48" s="73" t="s">
        <v>122</v>
      </c>
      <c r="G48" s="71">
        <f>G46+G47*(1-G46)</f>
        <v>0.4</v>
      </c>
      <c r="H48" s="227"/>
    </row>
    <row r="49" spans="2:12" outlineLevel="1" x14ac:dyDescent="0.2">
      <c r="B49" s="73" t="s">
        <v>121</v>
      </c>
      <c r="G49" s="65">
        <v>0.08</v>
      </c>
      <c r="H49" s="271"/>
    </row>
    <row r="50" spans="2:12" outlineLevel="1" x14ac:dyDescent="0.2">
      <c r="B50" s="73" t="s">
        <v>168</v>
      </c>
      <c r="G50" s="65">
        <v>0.5</v>
      </c>
      <c r="H50" s="271"/>
    </row>
    <row r="51" spans="2:12" outlineLevel="1" x14ac:dyDescent="0.2">
      <c r="B51" s="73" t="s">
        <v>169</v>
      </c>
      <c r="G51" s="65">
        <v>0.5</v>
      </c>
      <c r="H51" s="271"/>
    </row>
    <row r="52" spans="2:12" outlineLevel="1" x14ac:dyDescent="0.2">
      <c r="B52" s="73" t="s">
        <v>154</v>
      </c>
      <c r="G52" s="65">
        <v>0.5</v>
      </c>
      <c r="H52" s="271"/>
    </row>
    <row r="53" spans="2:12" outlineLevel="1" x14ac:dyDescent="0.2">
      <c r="B53" s="73" t="s">
        <v>153</v>
      </c>
      <c r="G53" s="65">
        <v>9.7000000000000003E-2</v>
      </c>
      <c r="H53" s="271"/>
    </row>
    <row r="54" spans="2:12" outlineLevel="1" x14ac:dyDescent="0.2">
      <c r="B54" s="73" t="s">
        <v>155</v>
      </c>
      <c r="G54" s="65">
        <v>0.5</v>
      </c>
      <c r="H54" s="271"/>
    </row>
    <row r="55" spans="2:12" outlineLevel="1" x14ac:dyDescent="0.2">
      <c r="B55" s="73" t="s">
        <v>156</v>
      </c>
      <c r="G55" s="65">
        <v>0.08</v>
      </c>
      <c r="H55" s="271"/>
    </row>
    <row r="56" spans="2:12" outlineLevel="1" x14ac:dyDescent="0.2">
      <c r="B56" s="73" t="s">
        <v>167</v>
      </c>
      <c r="G56" s="74">
        <f>IF(G48&gt;0,G54*G55*(1-G48)+(1-G54)*G53,G54*G55+(1-G54)*G53)</f>
        <v>7.2500000000000009E-2</v>
      </c>
      <c r="H56" s="273"/>
    </row>
    <row r="57" spans="2:12" outlineLevel="1" x14ac:dyDescent="0.2">
      <c r="B57" s="73" t="s">
        <v>120</v>
      </c>
      <c r="F57" s="51" t="s">
        <v>159</v>
      </c>
      <c r="G57" s="75">
        <v>0.2</v>
      </c>
      <c r="H57" s="270"/>
    </row>
    <row r="58" spans="2:12" outlineLevel="1" x14ac:dyDescent="0.2">
      <c r="B58" s="54"/>
      <c r="F58" s="51" t="s">
        <v>160</v>
      </c>
      <c r="G58" s="76">
        <v>0.32</v>
      </c>
      <c r="H58" s="229"/>
    </row>
    <row r="59" spans="2:12" outlineLevel="1" x14ac:dyDescent="0.2">
      <c r="F59" s="51" t="s">
        <v>161</v>
      </c>
      <c r="G59" s="76">
        <v>0.192</v>
      </c>
      <c r="H59" s="229"/>
    </row>
    <row r="60" spans="2:12" outlineLevel="1" x14ac:dyDescent="0.2">
      <c r="F60" s="51" t="s">
        <v>162</v>
      </c>
      <c r="G60" s="76">
        <v>0.1152</v>
      </c>
      <c r="H60" s="229"/>
    </row>
    <row r="61" spans="2:12" outlineLevel="1" x14ac:dyDescent="0.2">
      <c r="F61" s="51" t="s">
        <v>163</v>
      </c>
      <c r="G61" s="76">
        <v>0.1152</v>
      </c>
      <c r="H61" s="229"/>
    </row>
    <row r="62" spans="2:12" outlineLevel="1" x14ac:dyDescent="0.2">
      <c r="F62" s="51" t="s">
        <v>164</v>
      </c>
      <c r="G62" s="76">
        <v>5.7599999999999998E-2</v>
      </c>
      <c r="H62" s="229"/>
      <c r="I62" s="70"/>
      <c r="J62" s="244"/>
      <c r="K62" s="70"/>
      <c r="L62" s="70"/>
    </row>
    <row r="63" spans="2:12" outlineLevel="1" x14ac:dyDescent="0.2">
      <c r="B63" s="51" t="s">
        <v>170</v>
      </c>
      <c r="G63" s="66">
        <f>1+(1-G48)*((1+G49)^(0.5)-1)</f>
        <v>1.0235382907247959</v>
      </c>
      <c r="H63" s="51" t="s">
        <v>173</v>
      </c>
    </row>
    <row r="64" spans="2:12" outlineLevel="1" x14ac:dyDescent="0.2">
      <c r="B64" s="51" t="s">
        <v>171</v>
      </c>
      <c r="G64" s="66">
        <f>1+(1-G48)*((1+G49)^(1+0.5)-1)</f>
        <v>1.0734213539827795</v>
      </c>
      <c r="H64" s="51" t="s">
        <v>173</v>
      </c>
    </row>
    <row r="65" spans="2:12" outlineLevel="1" x14ac:dyDescent="0.2">
      <c r="B65" s="51" t="s">
        <v>166</v>
      </c>
      <c r="G65" s="82">
        <f>SUMPRODUCT(G50:G51,G63:G64)</f>
        <v>1.0484798223537877</v>
      </c>
      <c r="H65" s="51"/>
    </row>
    <row r="66" spans="2:12" outlineLevel="1" x14ac:dyDescent="0.2">
      <c r="B66" s="51" t="s">
        <v>174</v>
      </c>
      <c r="G66" s="67">
        <f>-PMT(G56,G45,1)</f>
        <v>9.6234840220136078E-2</v>
      </c>
      <c r="H66" s="51"/>
    </row>
    <row r="67" spans="2:12" outlineLevel="1" x14ac:dyDescent="0.2">
      <c r="B67" s="51" t="s">
        <v>165</v>
      </c>
      <c r="G67" s="77">
        <f>NPV(G56,G57:G62)</f>
        <v>0.82641453990921676</v>
      </c>
      <c r="H67" s="51"/>
    </row>
    <row r="68" spans="2:12" outlineLevel="1" x14ac:dyDescent="0.2">
      <c r="B68" s="51" t="s">
        <v>175</v>
      </c>
      <c r="G68" s="70">
        <f>G65*G66*(1-G48*G67)/(1-G48)</f>
        <v>0.11257683680939656</v>
      </c>
      <c r="H68" s="81" t="s">
        <v>172</v>
      </c>
      <c r="K68" s="81"/>
      <c r="L68" s="81"/>
    </row>
  </sheetData>
  <dataConsolidate/>
  <pageMargins left="0.75" right="0.75" top="1" bottom="1" header="0.5" footer="0.5"/>
  <pageSetup scale="92" orientation="portrait" horizontalDpi="300" verticalDpi="300" r:id="rId1"/>
  <headerFooter alignWithMargins="0"/>
  <colBreaks count="2" manualBreakCount="2">
    <brk id="13" max="1048575" man="1"/>
    <brk id="21" max="1048575" man="1"/>
  </colBreaks>
  <drawing r:id="rId2"/>
  <legacyDrawing r:id="rId3"/>
  <controls>
    <mc:AlternateContent xmlns:mc="http://schemas.openxmlformats.org/markup-compatibility/2006">
      <mc:Choice Requires="x14">
        <control shapeId="29697" r:id="rId4" name="CommandButton1">
          <controlPr locked="0" defaultSize="0" autoLine="0" autoPict="0" r:id="rId5">
            <anchor moveWithCells="1" sizeWithCells="1">
              <from>
                <xdr:col>1</xdr:col>
                <xdr:colOff>38100</xdr:colOff>
                <xdr:row>19</xdr:row>
                <xdr:rowOff>0</xdr:rowOff>
              </from>
              <to>
                <xdr:col>8</xdr:col>
                <xdr:colOff>495300</xdr:colOff>
                <xdr:row>19</xdr:row>
                <xdr:rowOff>0</xdr:rowOff>
              </to>
            </anchor>
          </controlPr>
        </control>
      </mc:Choice>
      <mc:Fallback>
        <control shapeId="29697" r:id="rId4" name="CommandButto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A69"/>
  <sheetViews>
    <sheetView zoomScale="70" zoomScaleNormal="70" workbookViewId="0">
      <pane xSplit="8" ySplit="4" topLeftCell="I10" activePane="bottomRight" state="frozen"/>
      <selection activeCell="A3" sqref="A3"/>
      <selection pane="topRight" activeCell="I3" sqref="I3"/>
      <selection pane="bottomLeft" activeCell="A5" sqref="A5"/>
      <selection pane="bottomRight" activeCell="I47" sqref="I47"/>
    </sheetView>
  </sheetViews>
  <sheetFormatPr defaultRowHeight="15" outlineLevelRow="2" x14ac:dyDescent="0.25"/>
  <cols>
    <col min="1" max="1" width="8.42578125" style="12" customWidth="1"/>
    <col min="2" max="2" width="3.85546875" style="22" customWidth="1"/>
    <col min="3" max="4" width="4.140625" style="22" customWidth="1"/>
    <col min="5" max="7" width="9.140625" style="22"/>
    <col min="8" max="9" width="20.28515625" style="22" customWidth="1"/>
    <col min="10" max="10" width="19.5703125" style="22" bestFit="1" customWidth="1"/>
    <col min="11" max="11" width="10.140625" style="16" customWidth="1"/>
    <col min="12" max="12" width="20.42578125" style="22" bestFit="1" customWidth="1"/>
    <col min="13" max="13" width="10.140625" style="16" customWidth="1"/>
    <col min="14" max="14" width="22.7109375" style="22" bestFit="1" customWidth="1"/>
    <col min="15" max="15" width="11.5703125" style="16" customWidth="1"/>
    <col min="16" max="16" width="20.85546875" style="22" customWidth="1"/>
    <col min="17" max="17" width="11" style="22" customWidth="1"/>
    <col min="18" max="18" width="17.140625" style="22" bestFit="1" customWidth="1"/>
    <col min="19" max="19" width="16.85546875" style="22" bestFit="1" customWidth="1"/>
    <col min="20" max="22" width="13.28515625" style="22" bestFit="1" customWidth="1"/>
    <col min="23" max="16384" width="9.140625" style="22"/>
  </cols>
  <sheetData>
    <row r="1" spans="1:19" ht="21.75" customHeight="1" x14ac:dyDescent="0.25">
      <c r="A1" s="12" t="s">
        <v>177</v>
      </c>
      <c r="J1" s="22">
        <f>J4*'Performance &amp; Economics'!$S$14*1000</f>
        <v>1115</v>
      </c>
      <c r="K1" s="22"/>
      <c r="L1" s="22">
        <f>L4*'Performance &amp; Economics'!$S$14*1000</f>
        <v>11150</v>
      </c>
      <c r="M1" s="22"/>
      <c r="N1" s="22">
        <f>N4*'Performance &amp; Economics'!$S$14*1000</f>
        <v>55750</v>
      </c>
      <c r="O1" s="22"/>
      <c r="P1" s="22">
        <f>P4*'Performance &amp; Economics'!$S$14*1000</f>
        <v>111500</v>
      </c>
    </row>
    <row r="2" spans="1:19" ht="27" customHeight="1" x14ac:dyDescent="0.25">
      <c r="A2" s="12" t="s">
        <v>178</v>
      </c>
      <c r="J2" s="14">
        <f>'Performance &amp; Economics'!$S$16</f>
        <v>2727.1520098573369</v>
      </c>
      <c r="K2" s="94"/>
      <c r="L2" s="14">
        <f>J2*L4</f>
        <v>27271.520098573368</v>
      </c>
      <c r="M2" s="94"/>
      <c r="N2" s="14">
        <f>J2*N4</f>
        <v>136357.60049286686</v>
      </c>
      <c r="O2" s="94"/>
      <c r="P2" s="14">
        <f>J2*P4</f>
        <v>272715.20098573371</v>
      </c>
    </row>
    <row r="3" spans="1:19" ht="22.5" customHeight="1" x14ac:dyDescent="0.25">
      <c r="A3" s="3" t="s">
        <v>220</v>
      </c>
      <c r="I3" s="15"/>
      <c r="J3" s="326" t="s">
        <v>68</v>
      </c>
      <c r="K3" s="326"/>
      <c r="L3" s="326"/>
      <c r="M3" s="326"/>
      <c r="N3" s="326"/>
      <c r="O3" s="326"/>
      <c r="P3" s="326"/>
      <c r="Q3" s="15"/>
    </row>
    <row r="4" spans="1:19" ht="24.75" customHeight="1" x14ac:dyDescent="0.25">
      <c r="I4" s="15" t="s">
        <v>96</v>
      </c>
      <c r="J4" s="15">
        <v>1</v>
      </c>
      <c r="K4" s="41" t="s">
        <v>106</v>
      </c>
      <c r="L4" s="15">
        <v>10</v>
      </c>
      <c r="M4" s="41" t="s">
        <v>106</v>
      </c>
      <c r="N4" s="15">
        <v>50</v>
      </c>
      <c r="O4" s="41" t="s">
        <v>107</v>
      </c>
      <c r="P4" s="15">
        <v>100</v>
      </c>
      <c r="Q4" s="41" t="s">
        <v>107</v>
      </c>
      <c r="R4" s="15"/>
      <c r="S4" s="23"/>
    </row>
    <row r="5" spans="1:19" s="15" customFormat="1" x14ac:dyDescent="0.25">
      <c r="A5" s="23">
        <v>1</v>
      </c>
      <c r="B5" s="15" t="s">
        <v>0</v>
      </c>
      <c r="J5" s="33"/>
      <c r="K5" s="33"/>
      <c r="L5" s="33"/>
      <c r="M5" s="33"/>
      <c r="N5" s="33"/>
      <c r="O5" s="33"/>
      <c r="P5" s="33"/>
    </row>
    <row r="6" spans="1:19" s="15" customFormat="1" x14ac:dyDescent="0.25">
      <c r="A6" s="23">
        <v>1.1000000000000001</v>
      </c>
      <c r="C6" s="15" t="s">
        <v>90</v>
      </c>
      <c r="J6" s="95">
        <f>('CBS (Total)'!J4*'Performance &amp; Economics'!$G$68)/'CBS (CoE)'!J$2/10</f>
        <v>20.7879588537064</v>
      </c>
      <c r="K6" s="31">
        <f t="shared" ref="K6:K37" si="0">J6/$J$57</f>
        <v>0.14161668632387542</v>
      </c>
      <c r="L6" s="95">
        <f>('CBS (Total)'!L4*'Performance &amp; Economics'!$G$68)/'CBS (CoE)'!L$2/10</f>
        <v>3.1492809259130765</v>
      </c>
      <c r="M6" s="31">
        <f t="shared" ref="M6:M37" si="1">L6/$L$57</f>
        <v>0.11053583070659501</v>
      </c>
      <c r="N6" s="95">
        <f>('CBS (Total)'!N4*'Performance &amp; Economics'!$G$68)/'CBS (CoE)'!N$2/10</f>
        <v>0.81799784382687191</v>
      </c>
      <c r="O6" s="31">
        <f t="shared" ref="O6:O37" si="2">N6/$N$57</f>
        <v>5.0440923763834772E-2</v>
      </c>
      <c r="P6" s="95">
        <f>('CBS (Total)'!P4*'Performance &amp; Economics'!$G$68)/'CBS (CoE)'!P$2/10</f>
        <v>0.46049668307939251</v>
      </c>
      <c r="Q6" s="37">
        <f t="shared" ref="Q6:Q37" si="3">P6/$P$57</f>
        <v>3.1559345604376447E-2</v>
      </c>
      <c r="R6" s="48"/>
      <c r="S6" s="48"/>
    </row>
    <row r="7" spans="1:19" s="16" customFormat="1" outlineLevel="1" x14ac:dyDescent="0.25">
      <c r="A7" s="27" t="s">
        <v>2</v>
      </c>
      <c r="D7" s="16" t="s">
        <v>1</v>
      </c>
      <c r="I7" s="24"/>
      <c r="J7" s="96">
        <f>('CBS (Total)'!J5*'Performance &amp; Economics'!$G$68)/'CBS (CoE)'!J$2/10</f>
        <v>13.63272022311954</v>
      </c>
      <c r="K7" s="35">
        <f t="shared" si="0"/>
        <v>9.2872064889355482E-2</v>
      </c>
      <c r="L7" s="96">
        <f>('CBS (Total)'!L5*'Performance &amp; Economics'!$G$68)/'CBS (CoE)'!L$2/10</f>
        <v>2.2734960372091106</v>
      </c>
      <c r="M7" s="35">
        <f t="shared" si="1"/>
        <v>7.979687395090046E-2</v>
      </c>
      <c r="N7" s="96">
        <f>('CBS (Total)'!N5*'Performance &amp; Economics'!$G$68)/'CBS (CoE)'!N$2/10</f>
        <v>0.50464800825930767</v>
      </c>
      <c r="O7" s="35">
        <f t="shared" si="2"/>
        <v>3.1118556001434029E-2</v>
      </c>
      <c r="P7" s="96">
        <f>('CBS (Total)'!P5*'Performance &amp; Economics'!$G$68)/'CBS (CoE)'!P$2/10</f>
        <v>0.25232400412965383</v>
      </c>
      <c r="Q7" s="36">
        <f t="shared" si="3"/>
        <v>1.7292590247028887E-2</v>
      </c>
      <c r="R7" s="34"/>
      <c r="S7" s="34"/>
    </row>
    <row r="8" spans="1:19" s="16" customFormat="1" outlineLevel="2" x14ac:dyDescent="0.25">
      <c r="A8" s="27" t="s">
        <v>91</v>
      </c>
      <c r="E8" s="16" t="s">
        <v>3</v>
      </c>
      <c r="I8" s="24"/>
      <c r="J8" s="96">
        <f>('CBS (Total)'!J6*'Performance &amp; Economics'!$G$68)/'CBS (CoE)'!J$2/10</f>
        <v>0.83592001368106172</v>
      </c>
      <c r="K8" s="35">
        <f t="shared" si="0"/>
        <v>5.6946534867810695E-3</v>
      </c>
      <c r="L8" s="96">
        <f>('CBS (Total)'!L6*'Performance &amp; Economics'!$G$68)/'CBS (CoE)'!L$2/10</f>
        <v>0.12074400197615338</v>
      </c>
      <c r="M8" s="35">
        <f t="shared" si="1"/>
        <v>4.2379638003882678E-3</v>
      </c>
      <c r="N8" s="96">
        <f>('CBS (Total)'!N6*'Performance &amp; Economics'!$G$68)/'CBS (CoE)'!N$2/10</f>
        <v>2.5387200415498912E-2</v>
      </c>
      <c r="O8" s="35">
        <f t="shared" si="2"/>
        <v>1.5654733693972946E-3</v>
      </c>
      <c r="P8" s="96">
        <f>('CBS (Total)'!P6*'Performance &amp; Economics'!$G$68)/'CBS (CoE)'!P$2/10</f>
        <v>1.2693600207749456E-2</v>
      </c>
      <c r="Q8" s="36">
        <f t="shared" si="3"/>
        <v>8.6993398788734271E-4</v>
      </c>
    </row>
    <row r="9" spans="1:19" s="16" customFormat="1" outlineLevel="2" x14ac:dyDescent="0.25">
      <c r="A9" s="27" t="s">
        <v>92</v>
      </c>
      <c r="E9" s="16" t="s">
        <v>5</v>
      </c>
      <c r="I9" s="24"/>
      <c r="J9" s="96">
        <f>('CBS (Total)'!J7*'Performance &amp; Economics'!$G$68)/'CBS (CoE)'!J$2/10</f>
        <v>6.8112001114753182</v>
      </c>
      <c r="K9" s="35">
        <f t="shared" si="0"/>
        <v>4.6400880262660572E-2</v>
      </c>
      <c r="L9" s="96">
        <f>('CBS (Total)'!L7*'Performance &amp; Economics'!$G$68)/'CBS (CoE)'!L$2/10</f>
        <v>0.97008001587678783</v>
      </c>
      <c r="M9" s="35">
        <f t="shared" si="1"/>
        <v>3.4048598054401462E-2</v>
      </c>
      <c r="N9" s="96">
        <f>('CBS (Total)'!N7*'Performance &amp; Economics'!$G$68)/'CBS (CoE)'!N$2/10</f>
        <v>0.22415040366855138</v>
      </c>
      <c r="O9" s="35">
        <f t="shared" si="2"/>
        <v>1.382198438345904E-2</v>
      </c>
      <c r="P9" s="96">
        <f>('CBS (Total)'!P7*'Performance &amp; Economics'!$G$68)/'CBS (CoE)'!P$2/10</f>
        <v>0.11207520183427569</v>
      </c>
      <c r="Q9" s="36">
        <f t="shared" si="3"/>
        <v>7.6808805759809281E-3</v>
      </c>
      <c r="R9" s="34"/>
    </row>
    <row r="10" spans="1:19" s="16" customFormat="1" outlineLevel="2" x14ac:dyDescent="0.25">
      <c r="A10" s="27" t="s">
        <v>93</v>
      </c>
      <c r="E10" s="16" t="s">
        <v>7</v>
      </c>
      <c r="I10" s="24"/>
      <c r="J10" s="96">
        <f>('CBS (Total)'!J8*'Performance &amp; Economics'!$G$68)/'CBS (CoE)'!J$2/10</f>
        <v>2.7657600452657354</v>
      </c>
      <c r="K10" s="35">
        <f t="shared" si="0"/>
        <v>1.8841569561201567E-2</v>
      </c>
      <c r="L10" s="96">
        <f>('CBS (Total)'!L8*'Performance &amp; Economics'!$G$68)/'CBS (CoE)'!L$2/10</f>
        <v>0.69969601145155547</v>
      </c>
      <c r="M10" s="35">
        <f t="shared" si="1"/>
        <v>2.455845689455765E-2</v>
      </c>
      <c r="N10" s="96">
        <f>('CBS (Total)'!N8*'Performance &amp; Economics'!$G$68)/'CBS (CoE)'!N$2/10</f>
        <v>0.13993920229031109</v>
      </c>
      <c r="O10" s="35">
        <f t="shared" si="2"/>
        <v>8.629194670336307E-3</v>
      </c>
      <c r="P10" s="96">
        <f>('CBS (Total)'!P8*'Performance &amp; Economics'!$G$68)/'CBS (CoE)'!P$2/10</f>
        <v>6.9969601145155547E-2</v>
      </c>
      <c r="Q10" s="36">
        <f t="shared" si="3"/>
        <v>4.7952458844521826E-3</v>
      </c>
    </row>
    <row r="11" spans="1:19" s="16" customFormat="1" outlineLevel="2" x14ac:dyDescent="0.25">
      <c r="A11" s="27" t="s">
        <v>94</v>
      </c>
      <c r="E11" s="16" t="s">
        <v>8</v>
      </c>
      <c r="I11" s="24"/>
      <c r="J11" s="96">
        <f>('CBS (Total)'!J9*'Performance &amp; Economics'!$G$68)/'CBS (CoE)'!J$2/10</f>
        <v>3.2198400526974238</v>
      </c>
      <c r="K11" s="35">
        <f t="shared" si="0"/>
        <v>2.1934961578712275E-2</v>
      </c>
      <c r="L11" s="96">
        <f>('CBS (Total)'!L9*'Performance &amp; Economics'!$G$68)/'CBS (CoE)'!L$2/10</f>
        <v>0.48297600790461354</v>
      </c>
      <c r="M11" s="35">
        <f t="shared" si="1"/>
        <v>1.6951855201553071E-2</v>
      </c>
      <c r="N11" s="96">
        <f>('CBS (Total)'!N9*'Performance &amp; Economics'!$G$68)/'CBS (CoE)'!N$2/10</f>
        <v>0.11517120188494627</v>
      </c>
      <c r="O11" s="35">
        <f t="shared" si="2"/>
        <v>7.1019035782413842E-3</v>
      </c>
      <c r="P11" s="96">
        <f>('CBS (Total)'!P9*'Performance &amp; Economics'!$G$68)/'CBS (CoE)'!P$2/10</f>
        <v>5.7585600942473135E-2</v>
      </c>
      <c r="Q11" s="36">
        <f t="shared" si="3"/>
        <v>3.9465297987084326E-3</v>
      </c>
    </row>
    <row r="12" spans="1:19" s="16" customFormat="1" outlineLevel="1" x14ac:dyDescent="0.25">
      <c r="A12" s="27" t="s">
        <v>4</v>
      </c>
      <c r="D12" s="16" t="s">
        <v>95</v>
      </c>
      <c r="I12" s="24"/>
      <c r="J12" s="96">
        <f>('CBS (Total)'!J10*'Performance &amp; Economics'!$G$68)/'CBS (CoE)'!J$2/10</f>
        <v>0.80067927710429532</v>
      </c>
      <c r="K12" s="35">
        <f t="shared" si="0"/>
        <v>5.4545781444766267E-3</v>
      </c>
      <c r="L12" s="96">
        <f>('CBS (Total)'!L10*'Performance &amp; Economics'!$G$68)/'CBS (CoE)'!L$2/10</f>
        <v>0.12138838278669961</v>
      </c>
      <c r="M12" s="35">
        <f t="shared" si="1"/>
        <v>4.2605807627554672E-3</v>
      </c>
      <c r="N12" s="96">
        <f>('CBS (Total)'!N10*'Performance &amp; Economics'!$G$68)/'CBS (CoE)'!N$2/10</f>
        <v>2.4277676557339919E-2</v>
      </c>
      <c r="O12" s="35">
        <f t="shared" si="2"/>
        <v>1.497055819441749E-3</v>
      </c>
      <c r="P12" s="96">
        <f>('CBS (Total)'!P10*'Performance &amp; Economics'!$G$68)/'CBS (CoE)'!P$2/10</f>
        <v>1.2138838278669959E-2</v>
      </c>
      <c r="Q12" s="36">
        <f t="shared" si="3"/>
        <v>8.3191433629964178E-4</v>
      </c>
    </row>
    <row r="13" spans="1:19" s="16" customFormat="1" outlineLevel="1" x14ac:dyDescent="0.25">
      <c r="A13" s="27" t="s">
        <v>6</v>
      </c>
      <c r="D13" s="16" t="s">
        <v>119</v>
      </c>
      <c r="I13" s="24"/>
      <c r="J13" s="96">
        <f>('CBS (Total)'!J11*'Performance &amp; Economics'!$G$68)/'CBS (CoE)'!J$2/10</f>
        <v>6.3545593534825642</v>
      </c>
      <c r="K13" s="35">
        <f t="shared" si="0"/>
        <v>4.3290043290043295E-2</v>
      </c>
      <c r="L13" s="96">
        <f>('CBS (Total)'!L11*'Performance &amp; Economics'!$G$68)/'CBS (CoE)'!L$2/10</f>
        <v>0.75439650591726692</v>
      </c>
      <c r="M13" s="35">
        <f t="shared" si="1"/>
        <v>2.6478375992939097E-2</v>
      </c>
      <c r="N13" s="96">
        <f>('CBS (Total)'!N11*'Performance &amp; Economics'!$G$68)/'CBS (CoE)'!N$2/10</f>
        <v>0.28907215901022443</v>
      </c>
      <c r="O13" s="35">
        <f t="shared" si="2"/>
        <v>1.7825311942959002E-2</v>
      </c>
      <c r="P13" s="96">
        <f>('CBS (Total)'!P11*'Performance &amp; Economics'!$G$68)/'CBS (CoE)'!P$2/10</f>
        <v>0.19603384067106869</v>
      </c>
      <c r="Q13" s="36">
        <f t="shared" si="3"/>
        <v>1.3434841021047916E-2</v>
      </c>
    </row>
    <row r="14" spans="1:19" s="15" customFormat="1" x14ac:dyDescent="0.25">
      <c r="A14" s="23">
        <v>1.2</v>
      </c>
      <c r="C14" s="15" t="s">
        <v>10</v>
      </c>
      <c r="I14" s="26"/>
      <c r="J14" s="95">
        <f>('CBS (Total)'!J12*'Performance &amp; Economics'!$G$68)/'CBS (CoE)'!J$2/10</f>
        <v>59.829713875201364</v>
      </c>
      <c r="K14" s="31">
        <f t="shared" si="0"/>
        <v>0.40758623212307016</v>
      </c>
      <c r="L14" s="95">
        <f>('CBS (Total)'!L12*'Performance &amp; Economics'!$G$68)/'CBS (CoE)'!L$2/10</f>
        <v>6.0380058844208566</v>
      </c>
      <c r="M14" s="31">
        <f t="shared" si="1"/>
        <v>0.21192647208894622</v>
      </c>
      <c r="N14" s="95">
        <f>('CBS (Total)'!N12*'Performance &amp; Economics'!$G$68)/'CBS (CoE)'!N$2/10</f>
        <v>1.2606344193521384</v>
      </c>
      <c r="O14" s="31">
        <f t="shared" si="2"/>
        <v>7.7735614000060307E-2</v>
      </c>
      <c r="P14" s="95">
        <f>('CBS (Total)'!P12*'Performance &amp; Economics'!$G$68)/'CBS (CoE)'!P$2/10</f>
        <v>0.66233728060012476</v>
      </c>
      <c r="Q14" s="37">
        <f t="shared" si="3"/>
        <v>4.5392142686765891E-2</v>
      </c>
    </row>
    <row r="15" spans="1:19" s="16" customFormat="1" outlineLevel="1" x14ac:dyDescent="0.25">
      <c r="A15" s="27" t="s">
        <v>9</v>
      </c>
      <c r="D15" s="16" t="s">
        <v>12</v>
      </c>
      <c r="I15" s="24"/>
      <c r="J15" s="96">
        <f>('CBS (Total)'!J13*'Performance &amp; Economics'!$G$68)/'CBS (CoE)'!J$2/10</f>
        <v>0.17832960291862654</v>
      </c>
      <c r="K15" s="35">
        <f t="shared" si="0"/>
        <v>1.2148594105132952E-3</v>
      </c>
      <c r="L15" s="96">
        <f>('CBS (Total)'!L13*'Performance &amp; Economics'!$G$68)/'CBS (CoE)'!L$2/10</f>
        <v>7.2322561183665215E-2</v>
      </c>
      <c r="M15" s="35">
        <f t="shared" si="1"/>
        <v>2.5384316506941009E-3</v>
      </c>
      <c r="N15" s="96">
        <f>('CBS (Total)'!N13*'Performance &amp; Economics'!$G$68)/'CBS (CoE)'!N$2/10</f>
        <v>6.6972673096106397E-2</v>
      </c>
      <c r="O15" s="35">
        <f t="shared" si="2"/>
        <v>4.1297951130246681E-3</v>
      </c>
      <c r="P15" s="96">
        <f>('CBS (Total)'!P13*'Performance &amp; Economics'!$G$68)/'CBS (CoE)'!P$2/10</f>
        <v>6.5189377066920143E-2</v>
      </c>
      <c r="Q15" s="36">
        <f t="shared" si="3"/>
        <v>4.4676414753550952E-3</v>
      </c>
    </row>
    <row r="16" spans="1:19" s="16" customFormat="1" outlineLevel="1" x14ac:dyDescent="0.25">
      <c r="A16" s="27" t="s">
        <v>11</v>
      </c>
      <c r="D16" s="16" t="s">
        <v>13</v>
      </c>
      <c r="I16" s="24"/>
      <c r="J16" s="96">
        <f>('CBS (Total)'!J14*'Performance &amp; Economics'!$G$68)/'CBS (CoE)'!J$2/10</f>
        <v>1.7832960291862654E-3</v>
      </c>
      <c r="K16" s="35">
        <f t="shared" si="0"/>
        <v>1.2148594105132951E-5</v>
      </c>
      <c r="L16" s="96">
        <f>('CBS (Total)'!L14*'Performance &amp; Economics'!$G$68)/'CBS (CoE)'!L$2/10</f>
        <v>7.2322561183665206E-4</v>
      </c>
      <c r="M16" s="35">
        <f t="shared" si="1"/>
        <v>2.5384316506941007E-5</v>
      </c>
      <c r="N16" s="96">
        <f>('CBS (Total)'!N14*'Performance &amp; Economics'!$G$68)/'CBS (CoE)'!N$2/10</f>
        <v>6.6972673096106397E-4</v>
      </c>
      <c r="O16" s="35">
        <f t="shared" si="2"/>
        <v>4.129795113024668E-5</v>
      </c>
      <c r="P16" s="96">
        <f>('CBS (Total)'!P14*'Performance &amp; Economics'!$G$68)/'CBS (CoE)'!P$2/10</f>
        <v>6.5189377066920138E-4</v>
      </c>
      <c r="Q16" s="36">
        <f t="shared" si="3"/>
        <v>4.4676414753550952E-5</v>
      </c>
    </row>
    <row r="17" spans="1:27" s="16" customFormat="1" outlineLevel="1" x14ac:dyDescent="0.25">
      <c r="A17" s="27" t="s">
        <v>14</v>
      </c>
      <c r="D17" s="16" t="s">
        <v>15</v>
      </c>
      <c r="I17" s="24"/>
      <c r="J17" s="96">
        <f>('CBS (Total)'!J15*'Performance &amp; Economics'!$G$68)/'CBS (CoE)'!J$2/10</f>
        <v>0</v>
      </c>
      <c r="K17" s="35">
        <f t="shared" si="0"/>
        <v>0</v>
      </c>
      <c r="L17" s="96">
        <f>('CBS (Total)'!L15*'Performance &amp; Economics'!$G$68)/'CBS (CoE)'!L$2/10</f>
        <v>0</v>
      </c>
      <c r="M17" s="35">
        <f t="shared" si="1"/>
        <v>0</v>
      </c>
      <c r="N17" s="96">
        <f>('CBS (Total)'!N15*'Performance &amp; Economics'!$G$68)/'CBS (CoE)'!N$2/10</f>
        <v>0</v>
      </c>
      <c r="O17" s="35">
        <f t="shared" si="2"/>
        <v>0</v>
      </c>
      <c r="P17" s="96">
        <f>('CBS (Total)'!P15*'Performance &amp; Economics'!$G$68)/'CBS (CoE)'!P$2/10</f>
        <v>0</v>
      </c>
      <c r="Q17" s="36">
        <f t="shared" si="3"/>
        <v>0</v>
      </c>
    </row>
    <row r="18" spans="1:27" s="16" customFormat="1" outlineLevel="1" x14ac:dyDescent="0.25">
      <c r="A18" s="27" t="s">
        <v>16</v>
      </c>
      <c r="D18" s="16" t="s">
        <v>61</v>
      </c>
      <c r="I18" s="24"/>
      <c r="J18" s="96">
        <f>('CBS (Total)'!J16*'Performance &amp; Economics'!$G$68)/'CBS (CoE)'!J$2/10</f>
        <v>59.649600976253545</v>
      </c>
      <c r="K18" s="35">
        <f t="shared" si="0"/>
        <v>0.40635922411845171</v>
      </c>
      <c r="L18" s="96">
        <f>('CBS (Total)'!L16*'Performance &amp; Economics'!$G$68)/'CBS (CoE)'!L$2/10</f>
        <v>5.9649600976253545</v>
      </c>
      <c r="M18" s="35">
        <f t="shared" si="1"/>
        <v>0.20936265612174515</v>
      </c>
      <c r="N18" s="96">
        <f>('CBS (Total)'!N16*'Performance &amp; Economics'!$G$68)/'CBS (CoE)'!N$2/10</f>
        <v>1.1929920195250709</v>
      </c>
      <c r="O18" s="35">
        <f t="shared" si="2"/>
        <v>7.3564520935905389E-2</v>
      </c>
      <c r="P18" s="96">
        <f>('CBS (Total)'!P16*'Performance &amp; Economics'!$G$68)/'CBS (CoE)'!P$2/10</f>
        <v>0.59649600976253547</v>
      </c>
      <c r="Q18" s="36">
        <f t="shared" si="3"/>
        <v>4.0879824796657249E-2</v>
      </c>
    </row>
    <row r="19" spans="1:27" s="16" customFormat="1" outlineLevel="1" x14ac:dyDescent="0.25">
      <c r="A19" s="27" t="s">
        <v>17</v>
      </c>
      <c r="D19" s="16" t="s">
        <v>18</v>
      </c>
      <c r="I19" s="24"/>
      <c r="J19" s="96">
        <f>('CBS (Total)'!J17*'Performance &amp; Economics'!$G$68)/'CBS (CoE)'!J$2/10</f>
        <v>0</v>
      </c>
      <c r="K19" s="35">
        <f t="shared" si="0"/>
        <v>0</v>
      </c>
      <c r="L19" s="96">
        <f>('CBS (Total)'!L17*'Performance &amp; Economics'!$G$68)/'CBS (CoE)'!L$2/10</f>
        <v>0</v>
      </c>
      <c r="M19" s="35">
        <f t="shared" si="1"/>
        <v>0</v>
      </c>
      <c r="N19" s="96">
        <f>('CBS (Total)'!N17*'Performance &amp; Economics'!$G$68)/'CBS (CoE)'!N$2/10</f>
        <v>0</v>
      </c>
      <c r="O19" s="35">
        <f t="shared" si="2"/>
        <v>0</v>
      </c>
      <c r="P19" s="96">
        <f>('CBS (Total)'!P17*'Performance &amp; Economics'!$G$68)/'CBS (CoE)'!P$2/10</f>
        <v>0</v>
      </c>
      <c r="Q19" s="36">
        <f t="shared" si="3"/>
        <v>0</v>
      </c>
    </row>
    <row r="20" spans="1:27" s="15" customFormat="1" x14ac:dyDescent="0.25">
      <c r="A20" s="23">
        <v>1.3</v>
      </c>
      <c r="C20" s="15" t="s">
        <v>19</v>
      </c>
      <c r="I20" s="26"/>
      <c r="J20" s="95">
        <f>('CBS (Total)'!J18*'Performance &amp; Economics'!$G$68)/'CBS (CoE)'!J$2/10</f>
        <v>0</v>
      </c>
      <c r="K20" s="31">
        <f t="shared" si="0"/>
        <v>0</v>
      </c>
      <c r="L20" s="95">
        <f>('CBS (Total)'!L18*'Performance &amp; Economics'!$G$68)/'CBS (CoE)'!L$2/10</f>
        <v>0</v>
      </c>
      <c r="M20" s="31">
        <f t="shared" si="1"/>
        <v>0</v>
      </c>
      <c r="N20" s="95">
        <f>('CBS (Total)'!N18*'Performance &amp; Economics'!$G$68)/'CBS (CoE)'!N$2/10</f>
        <v>0</v>
      </c>
      <c r="O20" s="31">
        <f t="shared" si="2"/>
        <v>0</v>
      </c>
      <c r="P20" s="95">
        <f>('CBS (Total)'!P18*'Performance &amp; Economics'!$G$68)/'CBS (CoE)'!P$2/10</f>
        <v>0</v>
      </c>
      <c r="Q20" s="37">
        <f t="shared" si="3"/>
        <v>0</v>
      </c>
    </row>
    <row r="21" spans="1:27" s="16" customFormat="1" outlineLevel="1" x14ac:dyDescent="0.25">
      <c r="A21" s="27" t="s">
        <v>20</v>
      </c>
      <c r="D21" s="16" t="s">
        <v>21</v>
      </c>
      <c r="I21" s="24"/>
      <c r="J21" s="96">
        <f>('CBS (Total)'!J19*'Performance &amp; Economics'!$G$68)/'CBS (CoE)'!J$2/10</f>
        <v>0</v>
      </c>
      <c r="K21" s="35">
        <f t="shared" si="0"/>
        <v>0</v>
      </c>
      <c r="L21" s="96">
        <f>('CBS (Total)'!L19*'Performance &amp; Economics'!$G$68)/'CBS (CoE)'!L$2/10</f>
        <v>0</v>
      </c>
      <c r="M21" s="35">
        <f t="shared" si="1"/>
        <v>0</v>
      </c>
      <c r="N21" s="96">
        <f>('CBS (Total)'!N19*'Performance &amp; Economics'!$G$68)/'CBS (CoE)'!N$2/10</f>
        <v>0</v>
      </c>
      <c r="O21" s="35">
        <f t="shared" si="2"/>
        <v>0</v>
      </c>
      <c r="P21" s="96">
        <f>('CBS (Total)'!P19*'Performance &amp; Economics'!$G$68)/'CBS (CoE)'!P$2/10</f>
        <v>0</v>
      </c>
      <c r="Q21" s="36">
        <f t="shared" si="3"/>
        <v>0</v>
      </c>
    </row>
    <row r="22" spans="1:27" s="16" customFormat="1" outlineLevel="1" x14ac:dyDescent="0.25">
      <c r="A22" s="27" t="s">
        <v>22</v>
      </c>
      <c r="D22" s="16" t="s">
        <v>23</v>
      </c>
      <c r="I22" s="24"/>
      <c r="J22" s="96">
        <f>('CBS (Total)'!J20*'Performance &amp; Economics'!$G$68)/'CBS (CoE)'!J$2/10</f>
        <v>0</v>
      </c>
      <c r="K22" s="35">
        <f t="shared" si="0"/>
        <v>0</v>
      </c>
      <c r="L22" s="96">
        <f>('CBS (Total)'!L20*'Performance &amp; Economics'!$G$68)/'CBS (CoE)'!L$2/10</f>
        <v>0</v>
      </c>
      <c r="M22" s="35">
        <f t="shared" si="1"/>
        <v>0</v>
      </c>
      <c r="N22" s="96">
        <f>('CBS (Total)'!N20*'Performance &amp; Economics'!$G$68)/'CBS (CoE)'!N$2/10</f>
        <v>0</v>
      </c>
      <c r="O22" s="35">
        <f t="shared" si="2"/>
        <v>0</v>
      </c>
      <c r="P22" s="96">
        <f>('CBS (Total)'!P20*'Performance &amp; Economics'!$G$68)/'CBS (CoE)'!P$2/10</f>
        <v>0</v>
      </c>
      <c r="Q22" s="36">
        <f t="shared" si="3"/>
        <v>0</v>
      </c>
    </row>
    <row r="23" spans="1:27" s="16" customFormat="1" outlineLevel="1" x14ac:dyDescent="0.25">
      <c r="A23" s="27" t="s">
        <v>24</v>
      </c>
      <c r="D23" s="16" t="s">
        <v>25</v>
      </c>
      <c r="I23" s="24"/>
      <c r="J23" s="96">
        <f>('CBS (Total)'!J21*'Performance &amp; Economics'!$G$68)/'CBS (CoE)'!J$2/10</f>
        <v>0</v>
      </c>
      <c r="K23" s="35">
        <f t="shared" si="0"/>
        <v>0</v>
      </c>
      <c r="L23" s="96">
        <f>('CBS (Total)'!L21*'Performance &amp; Economics'!$G$68)/'CBS (CoE)'!L$2/10</f>
        <v>0</v>
      </c>
      <c r="M23" s="35">
        <f t="shared" si="1"/>
        <v>0</v>
      </c>
      <c r="N23" s="96">
        <f>('CBS (Total)'!N21*'Performance &amp; Economics'!$G$68)/'CBS (CoE)'!N$2/10</f>
        <v>0</v>
      </c>
      <c r="O23" s="35">
        <f t="shared" si="2"/>
        <v>0</v>
      </c>
      <c r="P23" s="96">
        <f>('CBS (Total)'!P21*'Performance &amp; Economics'!$G$68)/'CBS (CoE)'!P$2/10</f>
        <v>0</v>
      </c>
      <c r="Q23" s="36">
        <f t="shared" si="3"/>
        <v>0</v>
      </c>
    </row>
    <row r="24" spans="1:27" s="16" customFormat="1" outlineLevel="1" x14ac:dyDescent="0.25">
      <c r="A24" s="27" t="s">
        <v>26</v>
      </c>
      <c r="D24" s="16" t="s">
        <v>27</v>
      </c>
      <c r="I24" s="24"/>
      <c r="J24" s="96">
        <f>('CBS (Total)'!J22*'Performance &amp; Economics'!$G$68)/'CBS (CoE)'!J$2/10</f>
        <v>0</v>
      </c>
      <c r="K24" s="35">
        <f t="shared" si="0"/>
        <v>0</v>
      </c>
      <c r="L24" s="96">
        <f>('CBS (Total)'!L22*'Performance &amp; Economics'!$G$68)/'CBS (CoE)'!L$2/10</f>
        <v>0</v>
      </c>
      <c r="M24" s="35">
        <f t="shared" si="1"/>
        <v>0</v>
      </c>
      <c r="N24" s="96">
        <f>('CBS (Total)'!N22*'Performance &amp; Economics'!$G$68)/'CBS (CoE)'!N$2/10</f>
        <v>0</v>
      </c>
      <c r="O24" s="35">
        <f t="shared" si="2"/>
        <v>0</v>
      </c>
      <c r="P24" s="96">
        <f>('CBS (Total)'!P22*'Performance &amp; Economics'!$G$68)/'CBS (CoE)'!P$2/10</f>
        <v>0</v>
      </c>
      <c r="Q24" s="36">
        <f t="shared" si="3"/>
        <v>0</v>
      </c>
      <c r="R24" s="42"/>
    </row>
    <row r="25" spans="1:27" s="16" customFormat="1" outlineLevel="1" x14ac:dyDescent="0.25">
      <c r="A25" s="27" t="s">
        <v>28</v>
      </c>
      <c r="D25" s="16" t="s">
        <v>18</v>
      </c>
      <c r="I25" s="24"/>
      <c r="J25" s="96">
        <f>('CBS (Total)'!J23*'Performance &amp; Economics'!$G$68)/'CBS (CoE)'!J$2/10</f>
        <v>0</v>
      </c>
      <c r="K25" s="35">
        <f t="shared" si="0"/>
        <v>0</v>
      </c>
      <c r="L25" s="96">
        <f>('CBS (Total)'!L23*'Performance &amp; Economics'!$G$68)/'CBS (CoE)'!L$2/10</f>
        <v>0</v>
      </c>
      <c r="M25" s="35">
        <f t="shared" si="1"/>
        <v>0</v>
      </c>
      <c r="N25" s="96">
        <f>('CBS (Total)'!N23*'Performance &amp; Economics'!$G$68)/'CBS (CoE)'!N$2/10</f>
        <v>0</v>
      </c>
      <c r="O25" s="35">
        <f t="shared" si="2"/>
        <v>0</v>
      </c>
      <c r="P25" s="96">
        <f>('CBS (Total)'!P23*'Performance &amp; Economics'!$G$68)/'CBS (CoE)'!P$2/10</f>
        <v>0</v>
      </c>
      <c r="Q25" s="36">
        <f t="shared" si="3"/>
        <v>0</v>
      </c>
      <c r="R25" s="34"/>
      <c r="S25" s="34"/>
      <c r="T25" s="34"/>
      <c r="U25" s="34"/>
    </row>
    <row r="26" spans="1:27" s="15" customFormat="1" x14ac:dyDescent="0.25">
      <c r="A26" s="23">
        <v>1.4</v>
      </c>
      <c r="C26" s="15" t="s">
        <v>29</v>
      </c>
      <c r="I26" s="46">
        <f>'CBS (Total)'!I24</f>
        <v>267.73999999999995</v>
      </c>
      <c r="J26" s="95">
        <f>('CBS (Total)'!J24*'Performance &amp; Economics'!$G$68)/'CBS (CoE)'!J$2/10</f>
        <v>5.2613437570118275</v>
      </c>
      <c r="K26" s="31">
        <f t="shared" si="0"/>
        <v>3.5842579529927115E-2</v>
      </c>
      <c r="L26" s="95">
        <f>('CBS (Total)'!L24*'Performance &amp; Economics'!$G$68)/'CBS (CoE)'!L$2/10</f>
        <v>3.6326679568666096</v>
      </c>
      <c r="M26" s="31">
        <f t="shared" si="1"/>
        <v>0.12750211230427491</v>
      </c>
      <c r="N26" s="95">
        <f>('CBS (Total)'!N24*'Performance &amp; Economics'!$G$68)/'CBS (CoE)'!N$2/10</f>
        <v>3.1764219916291525</v>
      </c>
      <c r="O26" s="31">
        <f t="shared" si="2"/>
        <v>0.1958705157118299</v>
      </c>
      <c r="P26" s="95">
        <f>('CBS (Total)'!P24*'Performance &amp; Economics'!$G$68)/'CBS (CoE)'!P$2/10</f>
        <v>3.0677642218309975</v>
      </c>
      <c r="Q26" s="37">
        <f t="shared" si="3"/>
        <v>0.2102439276263226</v>
      </c>
      <c r="R26" s="39"/>
      <c r="S26" s="39"/>
      <c r="T26" s="39"/>
      <c r="U26" s="39"/>
      <c r="V26" s="40"/>
      <c r="W26" s="39"/>
      <c r="X26" s="39"/>
      <c r="Y26" s="39"/>
    </row>
    <row r="27" spans="1:27" s="16" customFormat="1" outlineLevel="1" x14ac:dyDescent="0.25">
      <c r="A27" s="27" t="s">
        <v>30</v>
      </c>
      <c r="D27" s="311" t="s">
        <v>205</v>
      </c>
      <c r="I27" s="46">
        <f>'CBS (Total)'!I25</f>
        <v>161.19999999999999</v>
      </c>
      <c r="J27" s="96">
        <f>('CBS (Total)'!J25*'Performance &amp; Economics'!$G$68)/'CBS (CoE)'!J$2/10</f>
        <v>2.305451807679447</v>
      </c>
      <c r="K27" s="35">
        <f t="shared" si="0"/>
        <v>1.5705748110269133E-2</v>
      </c>
      <c r="L27" s="96">
        <f>('CBS (Total)'!L25*'Performance &amp; Economics'!$G$68)/'CBS (CoE)'!L$2/10</f>
        <v>1.7298534052112065</v>
      </c>
      <c r="M27" s="35">
        <f t="shared" si="1"/>
        <v>6.0715695945802207E-2</v>
      </c>
      <c r="N27" s="96">
        <f>('CBS (Total)'!N25*'Performance &amp; Economics'!$G$68)/'CBS (CoE)'!N$2/10</f>
        <v>1.5913032217999015</v>
      </c>
      <c r="O27" s="35">
        <f t="shared" si="2"/>
        <v>9.8125936518900947E-2</v>
      </c>
      <c r="P27" s="96">
        <f>('CBS (Total)'!P25*'Performance &amp; Economics'!$G$68)/'CBS (CoE)'!P$2/10</f>
        <v>1.5738552943528965</v>
      </c>
      <c r="Q27" s="36">
        <f t="shared" si="3"/>
        <v>0.10786145696775255</v>
      </c>
      <c r="R27" s="85"/>
      <c r="S27" s="85"/>
      <c r="T27" s="85"/>
      <c r="U27" s="85"/>
      <c r="V27" s="34"/>
      <c r="W27" s="34"/>
      <c r="X27" s="34"/>
      <c r="Y27" s="34"/>
      <c r="AA27" s="42"/>
    </row>
    <row r="28" spans="1:27" s="16" customFormat="1" outlineLevel="1" x14ac:dyDescent="0.25">
      <c r="A28" s="27" t="s">
        <v>31</v>
      </c>
      <c r="D28" s="311" t="s">
        <v>206</v>
      </c>
      <c r="I28" s="46">
        <f>'CBS (Total)'!I26</f>
        <v>40.9</v>
      </c>
      <c r="J28" s="96">
        <f>('CBS (Total)'!J26*'Performance &amp; Economics'!$G$68)/'CBS (CoE)'!J$2/10</f>
        <v>0.83496269719287286</v>
      </c>
      <c r="K28" s="35">
        <f t="shared" si="0"/>
        <v>5.688131827306246E-3</v>
      </c>
      <c r="L28" s="96">
        <f>('CBS (Total)'!L26*'Performance &amp; Economics'!$G$68)/'CBS (CoE)'!L$2/10</f>
        <v>0.56087701849998317</v>
      </c>
      <c r="M28" s="35">
        <f t="shared" si="1"/>
        <v>1.9686083465595878E-2</v>
      </c>
      <c r="N28" s="96">
        <f>('CBS (Total)'!N26*'Performance &amp; Economics'!$G$68)/'CBS (CoE)'!N$2/10</f>
        <v>0.48237486090079928</v>
      </c>
      <c r="O28" s="35">
        <f t="shared" si="2"/>
        <v>2.974510723702755E-2</v>
      </c>
      <c r="P28" s="96">
        <f>('CBS (Total)'!P26*'Performance &amp; Economics'!$G$68)/'CBS (CoE)'!P$2/10</f>
        <v>0.46215747005841024</v>
      </c>
      <c r="Q28" s="36">
        <f t="shared" si="3"/>
        <v>3.1673164774355209E-2</v>
      </c>
      <c r="R28" s="85"/>
      <c r="S28" s="85"/>
      <c r="T28" s="85"/>
      <c r="U28" s="85"/>
      <c r="V28" s="34"/>
      <c r="W28" s="34"/>
      <c r="X28" s="34"/>
      <c r="Y28" s="34"/>
    </row>
    <row r="29" spans="1:27" s="16" customFormat="1" outlineLevel="1" x14ac:dyDescent="0.25">
      <c r="A29" s="27" t="s">
        <v>32</v>
      </c>
      <c r="D29" s="311" t="s">
        <v>207</v>
      </c>
      <c r="I29" s="46">
        <f>'CBS (Total)'!I27</f>
        <v>41.3</v>
      </c>
      <c r="J29" s="96">
        <f>('CBS (Total)'!J27*'Performance &amp; Economics'!$G$68)/'CBS (CoE)'!J$2/10</f>
        <v>1.6426252742293415</v>
      </c>
      <c r="K29" s="35">
        <f t="shared" si="0"/>
        <v>1.119028327144927E-2</v>
      </c>
      <c r="L29" s="96">
        <f>('CBS (Total)'!L27*'Performance &amp; Economics'!$G$68)/'CBS (CoE)'!L$2/10</f>
        <v>1.0116949916220921</v>
      </c>
      <c r="M29" s="35">
        <f t="shared" si="1"/>
        <v>3.5509231774306378E-2</v>
      </c>
      <c r="N29" s="96">
        <f>('CBS (Total)'!N27*'Performance &amp; Economics'!$G$68)/'CBS (CoE)'!N$2/10</f>
        <v>0.8139782733258013</v>
      </c>
      <c r="O29" s="35">
        <f t="shared" si="2"/>
        <v>5.0193061436644128E-2</v>
      </c>
      <c r="P29" s="96">
        <f>('CBS (Total)'!P27*'Performance &amp; Economics'!$G$68)/'CBS (CoE)'!P$2/10</f>
        <v>0.75286380088960014</v>
      </c>
      <c r="Q29" s="36">
        <f t="shared" si="3"/>
        <v>5.1596221554549161E-2</v>
      </c>
      <c r="R29" s="85"/>
      <c r="S29" s="85"/>
      <c r="T29" s="85"/>
      <c r="U29" s="85"/>
      <c r="V29" s="34"/>
      <c r="W29" s="34"/>
      <c r="X29" s="34"/>
      <c r="Y29" s="34"/>
    </row>
    <row r="30" spans="1:27" s="16" customFormat="1" outlineLevel="1" x14ac:dyDescent="0.25">
      <c r="A30" s="27" t="s">
        <v>33</v>
      </c>
      <c r="D30" s="311" t="s">
        <v>65</v>
      </c>
      <c r="I30" s="46">
        <f>'CBS (Total)'!I28</f>
        <v>24.34</v>
      </c>
      <c r="J30" s="96">
        <f>('CBS (Total)'!J28*'Performance &amp; Economics'!$G$68)/'CBS (CoE)'!J$2/10</f>
        <v>0.4783039779101661</v>
      </c>
      <c r="K30" s="35">
        <f t="shared" si="0"/>
        <v>3.2584163209024648E-3</v>
      </c>
      <c r="L30" s="96">
        <f>('CBS (Total)'!L28*'Performance &amp; Economics'!$G$68)/'CBS (CoE)'!L$2/10</f>
        <v>0.33024254153332822</v>
      </c>
      <c r="M30" s="35">
        <f t="shared" si="1"/>
        <v>1.1591101118570448E-2</v>
      </c>
      <c r="N30" s="96">
        <f>('CBS (Total)'!N28*'Performance &amp; Economics'!$G$68)/'CBS (CoE)'!N$2/10</f>
        <v>0.28876563560265023</v>
      </c>
      <c r="O30" s="35">
        <f t="shared" si="2"/>
        <v>1.7806410519257264E-2</v>
      </c>
      <c r="P30" s="96">
        <f>('CBS (Total)'!P28*'Performance &amp; Economics'!$G$68)/'CBS (CoE)'!P$2/10</f>
        <v>0.27888765653009068</v>
      </c>
      <c r="Q30" s="36">
        <f t="shared" si="3"/>
        <v>1.9113084329665693E-2</v>
      </c>
    </row>
    <row r="31" spans="1:27" s="15" customFormat="1" x14ac:dyDescent="0.25">
      <c r="A31" s="23">
        <v>1.5</v>
      </c>
      <c r="C31" s="15" t="s">
        <v>34</v>
      </c>
      <c r="I31" s="46">
        <f>'CBS (Total)'!I29</f>
        <v>39.215419501133788</v>
      </c>
      <c r="J31" s="95">
        <f>('CBS (Total)'!J29*'Performance &amp; Economics'!$G$68)/'CBS (CoE)'!J$2/10</f>
        <v>7.8766335176621949</v>
      </c>
      <c r="K31" s="31">
        <f t="shared" si="0"/>
        <v>5.3659079566631358E-2</v>
      </c>
      <c r="L31" s="95">
        <f>('CBS (Total)'!L29*'Performance &amp; Economics'!$G$68)/'CBS (CoE)'!L$2/10</f>
        <v>6.9290484517022577</v>
      </c>
      <c r="M31" s="31">
        <f t="shared" si="1"/>
        <v>0.24320095432359498</v>
      </c>
      <c r="N31" s="95">
        <f>('CBS (Total)'!N29*'Performance &amp; Economics'!$G$68)/'CBS (CoE)'!N$2/10</f>
        <v>6.3690368376682702</v>
      </c>
      <c r="O31" s="31">
        <f t="shared" si="2"/>
        <v>0.39273954571190139</v>
      </c>
      <c r="P31" s="95">
        <f>('CBS (Total)'!P29*'Performance &amp; Economics'!$G$68)/'CBS (CoE)'!P$2/10</f>
        <v>6.4632673363895972</v>
      </c>
      <c r="Q31" s="37">
        <f t="shared" si="3"/>
        <v>0.4429488747640557</v>
      </c>
    </row>
    <row r="32" spans="1:27" s="16" customFormat="1" outlineLevel="1" x14ac:dyDescent="0.25">
      <c r="A32" s="27" t="s">
        <v>35</v>
      </c>
      <c r="D32" s="16" t="s">
        <v>36</v>
      </c>
      <c r="I32" s="46">
        <f>'CBS (Total)'!I30</f>
        <v>6.8480725623582765</v>
      </c>
      <c r="J32" s="96">
        <f>('CBS (Total)'!J30*'Performance &amp; Economics'!$G$68)/'CBS (CoE)'!J$2/10</f>
        <v>0.98958481619601257</v>
      </c>
      <c r="K32" s="35">
        <f t="shared" si="0"/>
        <v>6.7414854672523065E-3</v>
      </c>
      <c r="L32" s="96">
        <f>('CBS (Total)'!L30*'Performance &amp; Economics'!$G$68)/'CBS (CoE)'!L$2/10</f>
        <v>0.88519880270590612</v>
      </c>
      <c r="M32" s="35">
        <f t="shared" si="1"/>
        <v>3.1069373390121405E-2</v>
      </c>
      <c r="N32" s="96">
        <f>('CBS (Total)'!N30*'Performance &amp; Economics'!$G$68)/'CBS (CoE)'!N$2/10</f>
        <v>0.81884582408970596</v>
      </c>
      <c r="O32" s="35">
        <f t="shared" si="2"/>
        <v>5.0493213519992003E-2</v>
      </c>
      <c r="P32" s="96">
        <f>('CBS (Total)'!P30*'Performance &amp; Economics'!$G$68)/'CBS (CoE)'!P$2/10</f>
        <v>0.79182391189474566</v>
      </c>
      <c r="Q32" s="36">
        <f t="shared" si="3"/>
        <v>5.426628553801606E-2</v>
      </c>
    </row>
    <row r="33" spans="1:18" s="16" customFormat="1" outlineLevel="1" x14ac:dyDescent="0.25">
      <c r="A33" s="27" t="s">
        <v>37</v>
      </c>
      <c r="D33" s="16" t="s">
        <v>74</v>
      </c>
      <c r="I33" s="46">
        <f>'CBS (Total)'!I31</f>
        <v>15.033106575963716</v>
      </c>
      <c r="J33" s="96">
        <f>('CBS (Total)'!J31*'Performance &amp; Economics'!$G$68)/'CBS (CoE)'!J$2/10</f>
        <v>1.4456407321400391</v>
      </c>
      <c r="K33" s="35">
        <f t="shared" si="0"/>
        <v>9.8483382395184813E-3</v>
      </c>
      <c r="L33" s="96">
        <f>('CBS (Total)'!L31*'Performance &amp; Economics'!$G$68)/'CBS (CoE)'!L$2/10</f>
        <v>1.2931478174375901</v>
      </c>
      <c r="M33" s="35">
        <f t="shared" si="1"/>
        <v>4.5387874752850665E-2</v>
      </c>
      <c r="N33" s="96">
        <f>('CBS (Total)'!N31*'Performance &amp; Economics'!$G$68)/'CBS (CoE)'!N$2/10</f>
        <v>1.1962156828529826</v>
      </c>
      <c r="O33" s="35">
        <f t="shared" si="2"/>
        <v>7.3763304535875221E-2</v>
      </c>
      <c r="P33" s="96">
        <f>('CBS (Total)'!P31*'Performance &amp; Economics'!$G$68)/'CBS (CoE)'!P$2/10</f>
        <v>1.1567405653188341</v>
      </c>
      <c r="Q33" s="36">
        <f t="shared" si="3"/>
        <v>7.927521872987088E-2</v>
      </c>
    </row>
    <row r="34" spans="1:18" s="16" customFormat="1" outlineLevel="1" x14ac:dyDescent="0.25">
      <c r="A34" s="27" t="s">
        <v>38</v>
      </c>
      <c r="D34" s="16" t="s">
        <v>40</v>
      </c>
      <c r="I34" s="46">
        <f>'CBS (Total)'!I32</f>
        <v>0</v>
      </c>
      <c r="J34" s="96">
        <f>('CBS (Total)'!J32*'Performance &amp; Economics'!$G$68)/'CBS (CoE)'!J$2/10</f>
        <v>0.16680540091829915</v>
      </c>
      <c r="K34" s="35">
        <f t="shared" si="0"/>
        <v>1.1363514958450708E-3</v>
      </c>
      <c r="L34" s="96">
        <f>('CBS (Total)'!L32*'Performance &amp; Economics'!$G$68)/'CBS (CoE)'!L$2/10</f>
        <v>0.14920999065582877</v>
      </c>
      <c r="M34" s="35">
        <f t="shared" si="1"/>
        <v>5.2370844820975931E-3</v>
      </c>
      <c r="N34" s="96">
        <f>('CBS (Total)'!N32*'Performance &amp; Economics'!$G$68)/'CBS (CoE)'!N$2/10</f>
        <v>0.13802546658163739</v>
      </c>
      <c r="O34" s="35">
        <f t="shared" si="2"/>
        <v>8.5111862945027785E-3</v>
      </c>
      <c r="P34" s="96">
        <f>('CBS (Total)'!P32*'Performance &amp; Economics'!$G$68)/'CBS (CoE)'!P$2/10</f>
        <v>0.13347062618444333</v>
      </c>
      <c r="Q34" s="36">
        <f t="shared" si="3"/>
        <v>9.1471790667842136E-3</v>
      </c>
    </row>
    <row r="35" spans="1:18" s="16" customFormat="1" outlineLevel="1" x14ac:dyDescent="0.25">
      <c r="A35" s="27" t="s">
        <v>39</v>
      </c>
      <c r="D35" s="16" t="s">
        <v>41</v>
      </c>
      <c r="I35" s="46">
        <f>'CBS (Total)'!I33</f>
        <v>0</v>
      </c>
      <c r="J35" s="96">
        <f>('CBS (Total)'!J33*'Performance &amp; Economics'!$G$68)/'CBS (CoE)'!J$2/10</f>
        <v>1.0525873240763488</v>
      </c>
      <c r="K35" s="35">
        <f t="shared" si="0"/>
        <v>7.1706861626595082E-3</v>
      </c>
      <c r="L35" s="96">
        <f>('CBS (Total)'!L33*'Performance &amp; Economics'!$G$68)/'CBS (CoE)'!L$2/10</f>
        <v>0.94155551274267013</v>
      </c>
      <c r="M35" s="35">
        <f t="shared" si="1"/>
        <v>3.3047423588357785E-2</v>
      </c>
      <c r="N35" s="96">
        <f>('CBS (Total)'!N33*'Performance &amp; Economics'!$G$68)/'CBS (CoE)'!N$2/10</f>
        <v>0.87097813214522257</v>
      </c>
      <c r="O35" s="35">
        <f t="shared" si="2"/>
        <v>5.3707894091714413E-2</v>
      </c>
      <c r="P35" s="96">
        <f>('CBS (Total)'!P33*'Performance &amp; Economics'!$G$68)/'CBS (CoE)'!P$2/10</f>
        <v>0.84223585378443011</v>
      </c>
      <c r="Q35" s="36">
        <f t="shared" si="3"/>
        <v>5.7721180991432391E-2</v>
      </c>
    </row>
    <row r="36" spans="1:18" s="16" customFormat="1" outlineLevel="1" x14ac:dyDescent="0.25">
      <c r="A36" s="27" t="s">
        <v>42</v>
      </c>
      <c r="D36" s="16" t="s">
        <v>43</v>
      </c>
      <c r="I36" s="46">
        <f>'CBS (Total)'!I34</f>
        <v>3.6281179138321997</v>
      </c>
      <c r="J36" s="96">
        <f>('CBS (Total)'!J34*'Performance &amp; Economics'!$G$68)/'CBS (CoE)'!J$2/10</f>
        <v>0.12887616210924815</v>
      </c>
      <c r="K36" s="35">
        <f t="shared" si="0"/>
        <v>8.7796089806076562E-4</v>
      </c>
      <c r="L36" s="96">
        <f>('CBS (Total)'!L34*'Performance &amp; Economics'!$G$68)/'CBS (CoE)'!L$2/10</f>
        <v>0.12051087750433567</v>
      </c>
      <c r="M36" s="35">
        <f t="shared" si="1"/>
        <v>4.2297814223290807E-3</v>
      </c>
      <c r="N36" s="96">
        <f>('CBS (Total)'!N34*'Performance &amp; Economics'!$G$68)/'CBS (CoE)'!N$2/10</f>
        <v>0.11498834609097557</v>
      </c>
      <c r="O36" s="35">
        <f t="shared" si="2"/>
        <v>7.0906279798604623E-3</v>
      </c>
      <c r="P36" s="96">
        <f>('CBS (Total)'!P34*'Performance &amp; Economics'!$G$68)/'CBS (CoE)'!P$2/10</f>
        <v>0.11268857916915605</v>
      </c>
      <c r="Q36" s="36">
        <f t="shared" si="3"/>
        <v>7.7229173332664163E-3</v>
      </c>
    </row>
    <row r="37" spans="1:18" s="16" customFormat="1" outlineLevel="1" x14ac:dyDescent="0.25">
      <c r="A37" s="27" t="s">
        <v>44</v>
      </c>
      <c r="D37" s="16" t="s">
        <v>45</v>
      </c>
      <c r="I37" s="46">
        <f>'CBS (Total)'!I35</f>
        <v>0</v>
      </c>
      <c r="J37" s="96">
        <f>('CBS (Total)'!J35*'Performance &amp; Economics'!$G$68)/'CBS (CoE)'!J$2/10</f>
        <v>6.1920001013411996E-2</v>
      </c>
      <c r="K37" s="35">
        <f t="shared" si="0"/>
        <v>4.218261842060053E-4</v>
      </c>
      <c r="L37" s="96">
        <f>('CBS (Total)'!L35*'Performance &amp; Economics'!$G$68)/'CBS (CoE)'!L$2/10</f>
        <v>6.1920001013411982E-2</v>
      </c>
      <c r="M37" s="35">
        <f t="shared" si="1"/>
        <v>2.1733147694298805E-3</v>
      </c>
      <c r="N37" s="96">
        <f>('CBS (Total)'!N35*'Performance &amp; Economics'!$G$68)/'CBS (CoE)'!N$2/10</f>
        <v>6.1920001013411982E-2</v>
      </c>
      <c r="O37" s="35">
        <f t="shared" si="2"/>
        <v>3.8182277302373038E-3</v>
      </c>
      <c r="P37" s="96">
        <f>('CBS (Total)'!P35*'Performance &amp; Economics'!$G$68)/'CBS (CoE)'!P$2/10</f>
        <v>6.1920001013411982E-2</v>
      </c>
      <c r="Q37" s="36">
        <f t="shared" si="3"/>
        <v>4.2435804287187448E-3</v>
      </c>
    </row>
    <row r="38" spans="1:18" s="16" customFormat="1" outlineLevel="1" x14ac:dyDescent="0.25">
      <c r="A38" s="27" t="s">
        <v>46</v>
      </c>
      <c r="D38" s="16" t="s">
        <v>47</v>
      </c>
      <c r="I38" s="46">
        <f>'CBS (Total)'!I36</f>
        <v>0</v>
      </c>
      <c r="J38" s="96">
        <f>('CBS (Total)'!J36*'Performance &amp; Economics'!$G$68)/'CBS (CoE)'!J$2/10</f>
        <v>0</v>
      </c>
      <c r="K38" s="35">
        <f t="shared" ref="K38:K55" si="4">J38/$J$57</f>
        <v>0</v>
      </c>
      <c r="L38" s="96">
        <f>('CBS (Total)'!L36*'Performance &amp; Economics'!$G$68)/'CBS (CoE)'!L$2/10</f>
        <v>0</v>
      </c>
      <c r="M38" s="35">
        <f t="shared" ref="M38:M55" si="5">L38/$L$57</f>
        <v>0</v>
      </c>
      <c r="N38" s="96">
        <f>('CBS (Total)'!N36*'Performance &amp; Economics'!$G$68)/'CBS (CoE)'!N$2/10</f>
        <v>0</v>
      </c>
      <c r="O38" s="35">
        <f t="shared" ref="O38:O55" si="6">N38/$N$57</f>
        <v>0</v>
      </c>
      <c r="P38" s="96">
        <f>('CBS (Total)'!P36*'Performance &amp; Economics'!$G$68)/'CBS (CoE)'!P$2/10</f>
        <v>0</v>
      </c>
      <c r="Q38" s="36">
        <f t="shared" ref="Q38:Q55" si="7">P38/$P$57</f>
        <v>0</v>
      </c>
    </row>
    <row r="39" spans="1:18" s="16" customFormat="1" outlineLevel="1" x14ac:dyDescent="0.25">
      <c r="A39" s="27" t="s">
        <v>48</v>
      </c>
      <c r="D39" s="16" t="s">
        <v>62</v>
      </c>
      <c r="I39" s="46">
        <f>'CBS (Total)'!I37</f>
        <v>2.0018140589569158</v>
      </c>
      <c r="J39" s="96">
        <f>('CBS (Total)'!J37*'Performance &amp; Economics'!$G$68)/'CBS (CoE)'!J$2/10</f>
        <v>0.66272725276650724</v>
      </c>
      <c r="K39" s="35">
        <f t="shared" si="4"/>
        <v>4.5147884952920492E-3</v>
      </c>
      <c r="L39" s="96">
        <f>('CBS (Total)'!L37*'Performance &amp; Economics'!$G$68)/'CBS (CoE)'!L$2/10</f>
        <v>0.59281969677401203</v>
      </c>
      <c r="M39" s="35">
        <f t="shared" si="5"/>
        <v>2.0807231613721024E-2</v>
      </c>
      <c r="N39" s="96">
        <f>('CBS (Total)'!N37*'Performance &amp; Economics'!$G$68)/'CBS (CoE)'!N$2/10</f>
        <v>0.54838295268549031</v>
      </c>
      <c r="O39" s="35">
        <f t="shared" si="6"/>
        <v>3.3815422520416603E-2</v>
      </c>
      <c r="P39" s="96">
        <f>('CBS (Total)'!P37*'Performance &amp; Economics'!$G$68)/'CBS (CoE)'!P$2/10</f>
        <v>0.53028631524686909</v>
      </c>
      <c r="Q39" s="36">
        <f t="shared" si="7"/>
        <v>3.6342257625473398E-2</v>
      </c>
    </row>
    <row r="40" spans="1:18" s="16" customFormat="1" outlineLevel="1" x14ac:dyDescent="0.25">
      <c r="A40" s="27" t="s">
        <v>63</v>
      </c>
      <c r="D40" s="16" t="s">
        <v>64</v>
      </c>
      <c r="I40" s="46">
        <f>'CBS (Total)'!I38</f>
        <v>3.9909297052154193</v>
      </c>
      <c r="J40" s="96">
        <f>('CBS (Total)'!J38*'Performance &amp; Economics'!$G$68)/'CBS (CoE)'!J$2/10</f>
        <v>0.97577665597002172</v>
      </c>
      <c r="K40" s="35">
        <f t="shared" si="4"/>
        <v>6.6474182281743678E-3</v>
      </c>
      <c r="L40" s="96">
        <f>('CBS (Total)'!L38*'Performance &amp; Economics'!$G$68)/'CBS (CoE)'!L$2/10</f>
        <v>0.87284719150535861</v>
      </c>
      <c r="M40" s="35">
        <f t="shared" si="5"/>
        <v>3.0635847249794127E-2</v>
      </c>
      <c r="N40" s="96">
        <f>('CBS (Total)'!N38*'Performance &amp; Economics'!$G$68)/'CBS (CoE)'!N$2/10</f>
        <v>0.80742006840473357</v>
      </c>
      <c r="O40" s="35">
        <f t="shared" si="6"/>
        <v>4.9788657052271201E-2</v>
      </c>
      <c r="P40" s="96">
        <f>('CBS (Total)'!P38*'Performance &amp; Economics'!$G$68)/'CBS (CoE)'!P$2/10</f>
        <v>0.78077520614737705</v>
      </c>
      <c r="Q40" s="36">
        <f t="shared" si="7"/>
        <v>5.3509081553764673E-2</v>
      </c>
      <c r="R40" s="85"/>
    </row>
    <row r="41" spans="1:18" s="16" customFormat="1" outlineLevel="1" x14ac:dyDescent="0.25">
      <c r="A41" s="27" t="s">
        <v>69</v>
      </c>
      <c r="D41" s="16" t="s">
        <v>66</v>
      </c>
      <c r="I41" s="46">
        <f>'CBS (Total)'!I39</f>
        <v>5.1533786848072562</v>
      </c>
      <c r="J41" s="96">
        <f>('CBS (Total)'!J39*'Performance &amp; Economics'!$G$68)/'CBS (CoE)'!J$2/10</f>
        <v>1.3723654285407809</v>
      </c>
      <c r="K41" s="35">
        <f t="shared" si="4"/>
        <v>9.3491547574782174E-3</v>
      </c>
      <c r="L41" s="96">
        <f>('CBS (Total)'!L39*'Performance &amp; Economics'!$G$68)/'CBS (CoE)'!L$2/10</f>
        <v>1.2276019340000177</v>
      </c>
      <c r="M41" s="35">
        <f t="shared" si="5"/>
        <v>4.3087296034847247E-2</v>
      </c>
      <c r="N41" s="96">
        <f>('CBS (Total)'!N39*'Performance &amp; Economics'!$G$68)/'CBS (CoE)'!N$2/10</f>
        <v>1.1355830060180614</v>
      </c>
      <c r="O41" s="35">
        <f t="shared" si="6"/>
        <v>7.0024458213836765E-2</v>
      </c>
      <c r="P41" s="96">
        <f>('CBS (Total)'!P39*'Performance &amp; Economics'!$G$68)/'CBS (CoE)'!P$2/10</f>
        <v>1.0981087668194651</v>
      </c>
      <c r="Q41" s="36">
        <f t="shared" si="7"/>
        <v>7.525698958677686E-2</v>
      </c>
    </row>
    <row r="42" spans="1:18" s="16" customFormat="1" outlineLevel="1" x14ac:dyDescent="0.25">
      <c r="A42" s="27" t="s">
        <v>70</v>
      </c>
      <c r="D42" s="16" t="s">
        <v>67</v>
      </c>
      <c r="I42" s="46">
        <f>'CBS (Total)'!I40</f>
        <v>0</v>
      </c>
      <c r="J42" s="96">
        <f>('CBS (Total)'!J40*'Performance &amp; Economics'!$G$68)/'CBS (CoE)'!J$2/10</f>
        <v>0</v>
      </c>
      <c r="K42" s="35">
        <f t="shared" si="4"/>
        <v>0</v>
      </c>
      <c r="L42" s="96">
        <f>('CBS (Total)'!L40*'Performance &amp; Economics'!$G$68)/'CBS (CoE)'!L$2/10</f>
        <v>0</v>
      </c>
      <c r="M42" s="35">
        <f t="shared" si="5"/>
        <v>0</v>
      </c>
      <c r="N42" s="96">
        <f>('CBS (Total)'!N40*'Performance &amp; Economics'!$G$68)/'CBS (CoE)'!N$2/10</f>
        <v>0</v>
      </c>
      <c r="O42" s="35">
        <f t="shared" si="6"/>
        <v>0</v>
      </c>
      <c r="P42" s="96">
        <f>('CBS (Total)'!P40*'Performance &amp; Economics'!$G$68)/'CBS (CoE)'!P$2/10</f>
        <v>0</v>
      </c>
      <c r="Q42" s="36">
        <f t="shared" si="7"/>
        <v>0</v>
      </c>
    </row>
    <row r="43" spans="1:18" s="16" customFormat="1" outlineLevel="1" x14ac:dyDescent="0.25">
      <c r="A43" s="27" t="s">
        <v>71</v>
      </c>
      <c r="D43" s="16" t="s">
        <v>72</v>
      </c>
      <c r="I43" s="46">
        <f>'CBS (Total)'!I41</f>
        <v>2.56</v>
      </c>
      <c r="J43" s="96">
        <f>('CBS (Total)'!J41*'Performance &amp; Economics'!$G$68)/'CBS (CoE)'!J$2/10</f>
        <v>0.31181622097533157</v>
      </c>
      <c r="K43" s="35">
        <f t="shared" si="4"/>
        <v>2.1242287550846538E-3</v>
      </c>
      <c r="L43" s="96">
        <f>('CBS (Total)'!L41*'Performance &amp; Economics'!$G$68)/'CBS (CoE)'!L$2/10</f>
        <v>0.15044251903316461</v>
      </c>
      <c r="M43" s="35">
        <f t="shared" si="5"/>
        <v>5.2803446901461236E-3</v>
      </c>
      <c r="N43" s="96">
        <f>('CBS (Total)'!N41*'Performance &amp; Economics'!$G$68)/'CBS (CoE)'!N$2/10</f>
        <v>9.0391364908275804E-2</v>
      </c>
      <c r="O43" s="35">
        <f t="shared" si="6"/>
        <v>5.5738825971921573E-3</v>
      </c>
      <c r="P43" s="96">
        <f>('CBS (Total)'!P41*'Performance &amp; Economics'!$G$68)/'CBS (CoE)'!P$2/10</f>
        <v>7.258426602134542E-2</v>
      </c>
      <c r="Q43" s="36">
        <f t="shared" si="7"/>
        <v>4.9744374302316203E-3</v>
      </c>
    </row>
    <row r="44" spans="1:18" s="16" customFormat="1" outlineLevel="1" x14ac:dyDescent="0.25">
      <c r="A44" s="27" t="s">
        <v>73</v>
      </c>
      <c r="D44" s="16" t="s">
        <v>99</v>
      </c>
      <c r="I44" s="46">
        <f>'CBS (Total)'!I42</f>
        <v>0</v>
      </c>
      <c r="J44" s="96">
        <f>('CBS (Total)'!J42*'Performance &amp; Economics'!$G$68)/'CBS (CoE)'!J$2/10</f>
        <v>0</v>
      </c>
      <c r="K44" s="35">
        <f t="shared" si="4"/>
        <v>0</v>
      </c>
      <c r="L44" s="96">
        <f>('CBS (Total)'!L42*'Performance &amp; Economics'!$G$68)/'CBS (CoE)'!L$2/10</f>
        <v>0</v>
      </c>
      <c r="M44" s="35">
        <f t="shared" si="5"/>
        <v>0</v>
      </c>
      <c r="N44" s="96">
        <f>('CBS (Total)'!N42*'Performance &amp; Economics'!$G$68)/'CBS (CoE)'!N$2/10</f>
        <v>0</v>
      </c>
      <c r="O44" s="35">
        <f t="shared" si="6"/>
        <v>0</v>
      </c>
      <c r="P44" s="96">
        <f>('CBS (Total)'!P42*'Performance &amp; Economics'!$G$68)/'CBS (CoE)'!P$2/10</f>
        <v>0.31569468967671255</v>
      </c>
      <c r="Q44" s="36">
        <f t="shared" si="7"/>
        <v>2.1635590837157107E-2</v>
      </c>
    </row>
    <row r="45" spans="1:18" s="16" customFormat="1" outlineLevel="1" x14ac:dyDescent="0.25">
      <c r="A45" s="27" t="s">
        <v>100</v>
      </c>
      <c r="D45" s="16" t="s">
        <v>18</v>
      </c>
      <c r="I45" s="86"/>
      <c r="J45" s="96">
        <f>('CBS (Total)'!J43*'Performance &amp; Economics'!$G$68)/'CBS (CoE)'!J$2/10</f>
        <v>0.70853352295619432</v>
      </c>
      <c r="K45" s="35">
        <f t="shared" si="4"/>
        <v>4.8268408830599331E-3</v>
      </c>
      <c r="L45" s="96">
        <f>('CBS (Total)'!L43*'Performance &amp; Economics'!$G$68)/'CBS (CoE)'!L$2/10</f>
        <v>0.63379410832996175</v>
      </c>
      <c r="M45" s="35">
        <f t="shared" si="5"/>
        <v>2.2245382329900039E-2</v>
      </c>
      <c r="N45" s="96">
        <f>('CBS (Total)'!N43*'Performance &amp; Economics'!$G$68)/'CBS (CoE)'!N$2/10</f>
        <v>0.58628599287777294</v>
      </c>
      <c r="O45" s="35">
        <f t="shared" si="6"/>
        <v>3.6152671176002467E-2</v>
      </c>
      <c r="P45" s="96">
        <f>('CBS (Total)'!P43*'Performance &amp; Economics'!$G$68)/'CBS (CoE)'!P$2/10</f>
        <v>0.56693855511280633</v>
      </c>
      <c r="Q45" s="36">
        <f t="shared" si="7"/>
        <v>3.885415564256333E-2</v>
      </c>
      <c r="R45" s="96"/>
    </row>
    <row r="46" spans="1:18" s="15" customFormat="1" x14ac:dyDescent="0.25">
      <c r="A46" s="23">
        <v>1.6</v>
      </c>
      <c r="C46" s="15" t="s">
        <v>76</v>
      </c>
      <c r="I46" s="26"/>
      <c r="J46" s="95">
        <f>('CBS (Total)'!J44*'Performance &amp; Economics'!$G$68)/'CBS (CoE)'!J$2/10</f>
        <v>1.3137977274674022</v>
      </c>
      <c r="K46" s="31">
        <f t="shared" si="4"/>
        <v>8.9501659096558467E-3</v>
      </c>
      <c r="L46" s="95">
        <f>('CBS (Total)'!L44*'Performance &amp; Economics'!$G$68)/'CBS (CoE)'!L$2/10</f>
        <v>1.0561716408568869</v>
      </c>
      <c r="M46" s="31">
        <f t="shared" si="5"/>
        <v>3.7070306662786989E-2</v>
      </c>
      <c r="N46" s="95">
        <f>('CBS (Total)'!N44*'Performance &amp; Economics'!$G$68)/'CBS (CoE)'!N$2/10</f>
        <v>0.95454588292974218</v>
      </c>
      <c r="O46" s="31">
        <f t="shared" si="6"/>
        <v>5.8861006142373121E-2</v>
      </c>
      <c r="P46" s="95">
        <f>('CBS (Total)'!P44*'Performance &amp; Economics'!$G$68)/'CBS (CoE)'!P$2/10</f>
        <v>0.95310315582205973</v>
      </c>
      <c r="Q46" s="37">
        <f t="shared" si="7"/>
        <v>6.5319280239037852E-2</v>
      </c>
    </row>
    <row r="47" spans="1:18" s="15" customFormat="1" x14ac:dyDescent="0.25">
      <c r="A47" s="23">
        <v>1.7</v>
      </c>
      <c r="C47" s="15" t="s">
        <v>49</v>
      </c>
      <c r="I47" s="26"/>
      <c r="J47" s="95">
        <f>('CBS (Total)'!J45*'Performance &amp; Economics'!$G$68)/'CBS (CoE)'!J$2/10</f>
        <v>38.376298692084639</v>
      </c>
      <c r="K47" s="31">
        <f t="shared" si="4"/>
        <v>0.26143616563774918</v>
      </c>
      <c r="L47" s="95">
        <f>('CBS (Total)'!L45*'Performance &amp; Economics'!$G$68)/'CBS (CoE)'!L$2/10</f>
        <v>5.0957718433998105</v>
      </c>
      <c r="M47" s="31">
        <f t="shared" si="5"/>
        <v>0.1788552330047109</v>
      </c>
      <c r="N47" s="95">
        <f>('CBS (Total)'!N45*'Performance &amp; Economics'!$G$68)/'CBS (CoE)'!N$2/10</f>
        <v>2.1640431341152722</v>
      </c>
      <c r="O47" s="31">
        <f t="shared" si="6"/>
        <v>0.13344330376090979</v>
      </c>
      <c r="P47" s="95">
        <f>('CBS (Total)'!P45*'Performance &amp; Economics'!$G$68)/'CBS (CoE)'!P$2/10</f>
        <v>1.6579878743534766</v>
      </c>
      <c r="Q47" s="37">
        <f t="shared" si="7"/>
        <v>0.11362733817035046</v>
      </c>
    </row>
    <row r="48" spans="1:18" s="16" customFormat="1" outlineLevel="1" x14ac:dyDescent="0.25">
      <c r="A48" s="27" t="s">
        <v>77</v>
      </c>
      <c r="D48" s="16" t="s">
        <v>50</v>
      </c>
      <c r="I48" s="24"/>
      <c r="J48" s="96">
        <f>('CBS (Total)'!J46*'Performance &amp; Economics'!$G$68)/'CBS (CoE)'!J$2/10</f>
        <v>0</v>
      </c>
      <c r="K48" s="35">
        <f t="shared" si="4"/>
        <v>0</v>
      </c>
      <c r="L48" s="96">
        <f>('CBS (Total)'!L46*'Performance &amp; Economics'!$G$68)/'CBS (CoE)'!L$2/10</f>
        <v>0</v>
      </c>
      <c r="M48" s="35">
        <f t="shared" si="5"/>
        <v>0</v>
      </c>
      <c r="N48" s="96">
        <f>('CBS (Total)'!N46*'Performance &amp; Economics'!$G$68)/'CBS (CoE)'!N$2/10</f>
        <v>0</v>
      </c>
      <c r="O48" s="35">
        <f t="shared" si="6"/>
        <v>0</v>
      </c>
      <c r="P48" s="96">
        <f>('CBS (Total)'!P46*'Performance &amp; Economics'!$G$68)/'CBS (CoE)'!P$2/10</f>
        <v>0</v>
      </c>
      <c r="Q48" s="36">
        <f t="shared" si="7"/>
        <v>0</v>
      </c>
    </row>
    <row r="49" spans="1:18" s="16" customFormat="1" outlineLevel="1" x14ac:dyDescent="0.25">
      <c r="A49" s="27" t="s">
        <v>78</v>
      </c>
      <c r="D49" s="16" t="s">
        <v>51</v>
      </c>
      <c r="I49" s="24"/>
      <c r="J49" s="96">
        <f>('CBS (Total)'!J47*'Performance &amp; Economics'!$G$68)/'CBS (CoE)'!J$2/10</f>
        <v>2.7533760450630536</v>
      </c>
      <c r="K49" s="35">
        <f t="shared" si="4"/>
        <v>1.8757204324360368E-2</v>
      </c>
      <c r="L49" s="96">
        <f>('CBS (Total)'!L47*'Performance &amp; Economics'!$G$68)/'CBS (CoE)'!L$2/10</f>
        <v>0.31670016518326449</v>
      </c>
      <c r="M49" s="35">
        <f t="shared" si="5"/>
        <v>1.1115780607377362E-2</v>
      </c>
      <c r="N49" s="96">
        <f>('CBS (Total)'!N47*'Performance &amp; Economics'!$G$68)/'CBS (CoE)'!N$2/10</f>
        <v>0.12664704207276531</v>
      </c>
      <c r="O49" s="35">
        <f t="shared" si="6"/>
        <v>7.809548450912032E-3</v>
      </c>
      <c r="P49" s="96">
        <f>('CBS (Total)'!P47*'Performance &amp; Economics'!$G$68)/'CBS (CoE)'!P$2/10</f>
        <v>9.5010049554979353E-2</v>
      </c>
      <c r="Q49" s="36">
        <f t="shared" si="7"/>
        <v>6.5113498098260426E-3</v>
      </c>
    </row>
    <row r="50" spans="1:18" s="16" customFormat="1" outlineLevel="1" x14ac:dyDescent="0.25">
      <c r="A50" s="27" t="s">
        <v>79</v>
      </c>
      <c r="D50" s="16" t="s">
        <v>75</v>
      </c>
      <c r="I50" s="24"/>
      <c r="J50" s="96">
        <f>('CBS (Total)'!J48*'Performance &amp; Economics'!$G$68)/'CBS (CoE)'!J$2/10</f>
        <v>25.299256814059589</v>
      </c>
      <c r="K50" s="35">
        <f t="shared" si="4"/>
        <v>0.17234962516894956</v>
      </c>
      <c r="L50" s="96">
        <f>('CBS (Total)'!L48*'Performance &amp; Economics'!$G$68)/'CBS (CoE)'!L$2/10</f>
        <v>2.779664525493303</v>
      </c>
      <c r="M50" s="35">
        <f t="shared" si="5"/>
        <v>9.7562756273314427E-2</v>
      </c>
      <c r="N50" s="96">
        <f>('CBS (Total)'!N48*'Performance &amp; Economics'!$G$68)/'CBS (CoE)'!N$2/10</f>
        <v>0.77792304422937597</v>
      </c>
      <c r="O50" s="35">
        <f t="shared" si="6"/>
        <v>4.7969755989245778E-2</v>
      </c>
      <c r="P50" s="96">
        <f>('CBS (Total)'!P48*'Performance &amp; Economics'!$G$68)/'CBS (CoE)'!P$2/10</f>
        <v>0.52770529457473814</v>
      </c>
      <c r="Q50" s="36">
        <f t="shared" si="7"/>
        <v>3.6165371827167274E-2</v>
      </c>
    </row>
    <row r="51" spans="1:18" s="16" customFormat="1" outlineLevel="1" x14ac:dyDescent="0.25">
      <c r="A51" s="27" t="s">
        <v>80</v>
      </c>
      <c r="D51" s="16" t="s">
        <v>12</v>
      </c>
      <c r="I51" s="24"/>
      <c r="J51" s="96">
        <f>('CBS (Total)'!J49*'Performance &amp; Economics'!$G$68)/'CBS (CoE)'!J$2/10</f>
        <v>6.7231643180344829</v>
      </c>
      <c r="K51" s="35">
        <f t="shared" si="4"/>
        <v>4.580114185482928E-2</v>
      </c>
      <c r="L51" s="96">
        <f>('CBS (Total)'!L49*'Performance &amp; Economics'!$G$68)/'CBS (CoE)'!L$2/10</f>
        <v>1.1767384320590573</v>
      </c>
      <c r="M51" s="35">
        <f t="shared" si="5"/>
        <v>4.1302050586138825E-2</v>
      </c>
      <c r="N51" s="96">
        <f>('CBS (Total)'!N49*'Performance &amp; Economics'!$G$68)/'CBS (CoE)'!N$2/10</f>
        <v>0.68372279775013023</v>
      </c>
      <c r="O51" s="35">
        <f t="shared" si="6"/>
        <v>4.2161002962508291E-2</v>
      </c>
      <c r="P51" s="96">
        <f>('CBS (Total)'!P49*'Performance &amp; Economics'!$G$68)/'CBS (CoE)'!P$2/10</f>
        <v>0.4726374730154082</v>
      </c>
      <c r="Q51" s="36">
        <f t="shared" si="7"/>
        <v>3.239139369414476E-2</v>
      </c>
    </row>
    <row r="52" spans="1:18" s="16" customFormat="1" outlineLevel="1" x14ac:dyDescent="0.25">
      <c r="A52" s="27" t="s">
        <v>81</v>
      </c>
      <c r="D52" s="16" t="s">
        <v>52</v>
      </c>
      <c r="I52" s="24"/>
      <c r="J52" s="96">
        <f>('CBS (Total)'!J50*'Performance &amp; Economics'!$G$68)/'CBS (CoE)'!J$2/10</f>
        <v>3.600501514927509</v>
      </c>
      <c r="K52" s="35">
        <f t="shared" si="4"/>
        <v>2.4528194289609919E-2</v>
      </c>
      <c r="L52" s="96">
        <f>('CBS (Total)'!L50*'Performance &amp; Economics'!$G$68)/'CBS (CoE)'!L$2/10</f>
        <v>0.82266872066418484</v>
      </c>
      <c r="M52" s="35">
        <f t="shared" si="5"/>
        <v>2.8874645537880262E-2</v>
      </c>
      <c r="N52" s="96">
        <f>('CBS (Total)'!N50*'Performance &amp; Economics'!$G$68)/'CBS (CoE)'!N$2/10</f>
        <v>0.57575025006300051</v>
      </c>
      <c r="O52" s="35">
        <f t="shared" si="6"/>
        <v>3.550299635824368E-2</v>
      </c>
      <c r="P52" s="96">
        <f>('CBS (Total)'!P50*'Performance &amp; Economics'!$G$68)/'CBS (CoE)'!P$2/10</f>
        <v>0.56263505720835105</v>
      </c>
      <c r="Q52" s="36">
        <f t="shared" si="7"/>
        <v>3.8559222839212398E-2</v>
      </c>
    </row>
    <row r="53" spans="1:18" s="16" customFormat="1" outlineLevel="1" x14ac:dyDescent="0.25">
      <c r="A53" s="27" t="s">
        <v>82</v>
      </c>
      <c r="D53" s="16" t="s">
        <v>53</v>
      </c>
      <c r="I53" s="24"/>
      <c r="J53" s="96">
        <f>('CBS (Total)'!J51*'Performance &amp; Economics'!$G$68)/'CBS (CoE)'!J$2/10</f>
        <v>0</v>
      </c>
      <c r="K53" s="35">
        <f t="shared" si="4"/>
        <v>0</v>
      </c>
      <c r="L53" s="96">
        <f>('CBS (Total)'!L51*'Performance &amp; Economics'!$G$68)/'CBS (CoE)'!L$2/10</f>
        <v>0</v>
      </c>
      <c r="M53" s="35">
        <f t="shared" si="5"/>
        <v>0</v>
      </c>
      <c r="N53" s="96">
        <f>('CBS (Total)'!N51*'Performance &amp; Economics'!$G$68)/'CBS (CoE)'!N$2/10</f>
        <v>0</v>
      </c>
      <c r="O53" s="35">
        <f t="shared" si="6"/>
        <v>0</v>
      </c>
      <c r="P53" s="96">
        <f>('CBS (Total)'!P51*'Performance &amp; Economics'!$G$68)/'CBS (CoE)'!P$2/10</f>
        <v>0</v>
      </c>
      <c r="Q53" s="36">
        <f t="shared" si="7"/>
        <v>0</v>
      </c>
    </row>
    <row r="54" spans="1:18" s="26" customFormat="1" x14ac:dyDescent="0.25">
      <c r="A54" s="38">
        <v>1.8</v>
      </c>
      <c r="C54" s="26" t="s">
        <v>105</v>
      </c>
      <c r="J54" s="95">
        <v>0</v>
      </c>
      <c r="K54" s="31">
        <f t="shared" si="4"/>
        <v>0</v>
      </c>
      <c r="L54" s="95">
        <v>0</v>
      </c>
      <c r="M54" s="31">
        <f t="shared" si="5"/>
        <v>0</v>
      </c>
      <c r="N54" s="95">
        <v>0</v>
      </c>
      <c r="O54" s="31">
        <f t="shared" si="6"/>
        <v>0</v>
      </c>
      <c r="P54" s="95">
        <v>0</v>
      </c>
      <c r="Q54" s="37">
        <f t="shared" si="7"/>
        <v>0</v>
      </c>
    </row>
    <row r="55" spans="1:18" s="26" customFormat="1" x14ac:dyDescent="0.25">
      <c r="A55" s="299">
        <v>1.9</v>
      </c>
      <c r="C55" s="26" t="s">
        <v>104</v>
      </c>
      <c r="J55" s="95">
        <f>('CBS (Total)'!J53*'Performance &amp; Economics'!$G$68)/'CBS (CoE)'!J$2/10</f>
        <v>13.344574642313384</v>
      </c>
      <c r="K55" s="31">
        <f t="shared" si="4"/>
        <v>9.0909090909090912E-2</v>
      </c>
      <c r="L55" s="95">
        <f>('CBS (Total)'!L53*'Performance &amp; Economics'!$G$68)/'CBS (CoE)'!L$2/10</f>
        <v>2.59009467031595</v>
      </c>
      <c r="M55" s="31">
        <f t="shared" si="5"/>
        <v>9.0909090909090912E-2</v>
      </c>
      <c r="N55" s="95">
        <f>('CBS (Total)'!N53*'Performance &amp; Economics'!$G$68)/'CBS (CoE)'!N$2/10</f>
        <v>1.4742680109521447</v>
      </c>
      <c r="O55" s="31">
        <f t="shared" si="6"/>
        <v>9.0909090909090925E-2</v>
      </c>
      <c r="P55" s="95">
        <f>('CBS (Total)'!P53*'Performance &amp; Economics'!$G$68)/'CBS (CoE)'!P$2/10</f>
        <v>1.3264956552075646</v>
      </c>
      <c r="Q55" s="37">
        <f t="shared" si="7"/>
        <v>9.0909090909090884E-2</v>
      </c>
    </row>
    <row r="56" spans="1:18" outlineLevel="1" x14ac:dyDescent="0.25">
      <c r="I56" s="17"/>
      <c r="J56" s="95"/>
      <c r="K56" s="31"/>
      <c r="L56" s="95"/>
      <c r="M56" s="31"/>
      <c r="N56" s="95"/>
      <c r="O56" s="31"/>
      <c r="P56" s="95"/>
      <c r="Q56" s="37"/>
    </row>
    <row r="57" spans="1:18" outlineLevel="1" x14ac:dyDescent="0.25">
      <c r="A57" s="87" t="s">
        <v>221</v>
      </c>
      <c r="B57" s="88"/>
      <c r="C57" s="88"/>
      <c r="D57" s="88"/>
      <c r="E57" s="88"/>
      <c r="F57" s="88"/>
      <c r="G57" s="88"/>
      <c r="H57" s="88"/>
      <c r="I57" s="301">
        <f>I31+I26</f>
        <v>306.95541950113375</v>
      </c>
      <c r="J57" s="98">
        <f>('CBS (Total)'!J55*'Performance &amp; Economics'!$G$68)/'CBS (CoE)'!J$2/10</f>
        <v>146.79032106544722</v>
      </c>
      <c r="K57" s="92">
        <f t="shared" ref="K57" si="8">J57/$J$57</f>
        <v>1</v>
      </c>
      <c r="L57" s="98">
        <f>('CBS (Total)'!L55*'Performance &amp; Economics'!$G$68)/'CBS (CoE)'!L$2/10</f>
        <v>28.491041373475451</v>
      </c>
      <c r="M57" s="92">
        <f t="shared" ref="M57" si="9">L57/$L$57</f>
        <v>1</v>
      </c>
      <c r="N57" s="98">
        <f>('CBS (Total)'!N55*'Performance &amp; Economics'!$G$68)/'CBS (CoE)'!N$2/10</f>
        <v>16.216948120473589</v>
      </c>
      <c r="O57" s="92">
        <f t="shared" ref="O57" si="10">N57/$N$57</f>
        <v>1</v>
      </c>
      <c r="P57" s="98">
        <f>('CBS (Total)'!P55*'Performance &amp; Economics'!$G$68)/'CBS (CoE)'!P$2/10</f>
        <v>14.591452207283215</v>
      </c>
      <c r="Q57" s="93">
        <f t="shared" ref="Q57" si="11">P57/$P$57</f>
        <v>1</v>
      </c>
    </row>
    <row r="58" spans="1:18" outlineLevel="1" x14ac:dyDescent="0.25">
      <c r="I58" s="17"/>
      <c r="J58" s="95"/>
      <c r="K58" s="28"/>
      <c r="L58" s="95"/>
      <c r="M58" s="28"/>
      <c r="N58" s="95"/>
      <c r="O58" s="28"/>
      <c r="P58" s="95"/>
      <c r="Q58" s="17"/>
    </row>
    <row r="59" spans="1:18" s="15" customFormat="1" x14ac:dyDescent="0.25">
      <c r="A59" s="23">
        <v>2</v>
      </c>
      <c r="B59" s="15" t="s">
        <v>60</v>
      </c>
      <c r="I59" s="26"/>
      <c r="J59" s="95">
        <f>('CBS (Total)'!J57)/'CBS (CoE)'!J$2/10</f>
        <v>58.651913195755</v>
      </c>
      <c r="K59" s="37">
        <f>J59/$J$57</f>
        <v>0.39956253770713357</v>
      </c>
      <c r="L59" s="95">
        <f>('CBS (Total)'!L57)/'CBS (CoE)'!L$2/10</f>
        <v>12.222382594305987</v>
      </c>
      <c r="M59" s="37">
        <f>L59/$L$57</f>
        <v>0.42899037750458513</v>
      </c>
      <c r="N59" s="95">
        <f>('CBS (Total)'!N57)/'CBS (CoE)'!N$2/10</f>
        <v>4.52929670302162</v>
      </c>
      <c r="O59" s="37">
        <f>N59/$N$57</f>
        <v>0.27929402433639589</v>
      </c>
      <c r="P59" s="95">
        <f>('CBS (Total)'!P57)/'CBS (CoE)'!P$2/10</f>
        <v>3.4729222060229548</v>
      </c>
      <c r="Q59" s="37">
        <f>P59/$P$57</f>
        <v>0.23801073098738393</v>
      </c>
    </row>
    <row r="60" spans="1:18" s="16" customFormat="1" outlineLevel="1" x14ac:dyDescent="0.25">
      <c r="A60" s="27">
        <v>2.1</v>
      </c>
      <c r="C60" s="16" t="s">
        <v>54</v>
      </c>
      <c r="I60" s="24"/>
      <c r="J60" s="96">
        <f>('CBS (Total)'!J58)/'CBS (CoE)'!J$2/10</f>
        <v>20.014381423803538</v>
      </c>
      <c r="K60" s="36">
        <f t="shared" ref="K60:K65" si="12">J60/$J$57</f>
        <v>0.13634673784029686</v>
      </c>
      <c r="L60" s="96">
        <f>('CBS (Total)'!L58)/'CBS (CoE)'!L$2/10</f>
        <v>4.0419799351383769</v>
      </c>
      <c r="M60" s="36">
        <f t="shared" ref="M60:M65" si="13">L60/$L$57</f>
        <v>0.14186845198650316</v>
      </c>
      <c r="N60" s="96">
        <f>('CBS (Total)'!N58)/'CBS (CoE)'!N$2/10</f>
        <v>1.2369047363864385</v>
      </c>
      <c r="O60" s="36">
        <f t="shared" ref="O60:O65" si="14">N60/$N$57</f>
        <v>7.6272349593624819E-2</v>
      </c>
      <c r="P60" s="96">
        <f>('CBS (Total)'!P58)/'CBS (CoE)'!P$2/10</f>
        <v>0.56869868757617703</v>
      </c>
      <c r="Q60" s="36">
        <f t="shared" ref="Q60:Q65" si="15">P60/$P$57</f>
        <v>3.8974783283895163E-2</v>
      </c>
    </row>
    <row r="61" spans="1:18" s="16" customFormat="1" outlineLevel="1" x14ac:dyDescent="0.25">
      <c r="A61" s="27">
        <v>2.2000000000000002</v>
      </c>
      <c r="C61" s="16" t="s">
        <v>55</v>
      </c>
      <c r="I61" s="24"/>
      <c r="J61" s="96">
        <f>('CBS (Total)'!J59)/'CBS (CoE)'!J$2/10</f>
        <v>24.567754110451993</v>
      </c>
      <c r="K61" s="36">
        <f t="shared" si="12"/>
        <v>0.16736630816072903</v>
      </c>
      <c r="L61" s="96">
        <f>('CBS (Total)'!L59)/'CBS (CoE)'!L$2/10</f>
        <v>3.6035761719472683</v>
      </c>
      <c r="M61" s="36">
        <f t="shared" si="13"/>
        <v>0.12648102695544575</v>
      </c>
      <c r="N61" s="96">
        <f>('CBS (Total)'!N59)/'CBS (CoE)'!N$2/10</f>
        <v>0.72071523438945362</v>
      </c>
      <c r="O61" s="36">
        <f t="shared" si="14"/>
        <v>4.4442100266668817E-2</v>
      </c>
      <c r="P61" s="96">
        <f>('CBS (Total)'!P59)/'CBS (CoE)'!P$2/10</f>
        <v>0.36035761719472681</v>
      </c>
      <c r="Q61" s="36">
        <f t="shared" si="15"/>
        <v>2.4696487510328616E-2</v>
      </c>
      <c r="R61" s="28"/>
    </row>
    <row r="62" spans="1:18" s="16" customFormat="1" outlineLevel="1" x14ac:dyDescent="0.25">
      <c r="A62" s="27">
        <v>2.2999999999999998</v>
      </c>
      <c r="C62" s="16" t="s">
        <v>56</v>
      </c>
      <c r="I62" s="24"/>
      <c r="J62" s="96">
        <f>('CBS (Total)'!J60)/'CBS (CoE)'!J$2/10</f>
        <v>2.2500659947888284</v>
      </c>
      <c r="K62" s="36">
        <f t="shared" si="12"/>
        <v>1.5328435679254526E-2</v>
      </c>
      <c r="L62" s="96">
        <f>('CBS (Total)'!L60)/'CBS (CoE)'!L$2/10</f>
        <v>2.2500659947888288</v>
      </c>
      <c r="M62" s="36">
        <f t="shared" si="13"/>
        <v>7.897450869884988E-2</v>
      </c>
      <c r="N62" s="96">
        <f>('CBS (Total)'!N60)/'CBS (CoE)'!N$2/10</f>
        <v>1.1250329973944142</v>
      </c>
      <c r="O62" s="36">
        <f t="shared" si="14"/>
        <v>6.9373903710901158E-2</v>
      </c>
      <c r="P62" s="96">
        <f>('CBS (Total)'!P60)/'CBS (CoE)'!P$2/10</f>
        <v>1.1250329973944142</v>
      </c>
      <c r="Q62" s="36">
        <f t="shared" si="15"/>
        <v>7.7102195272439181E-2</v>
      </c>
      <c r="R62" s="85"/>
    </row>
    <row r="63" spans="1:18" s="16" customFormat="1" outlineLevel="1" x14ac:dyDescent="0.25">
      <c r="A63" s="27">
        <v>2.4</v>
      </c>
      <c r="C63" s="16" t="s">
        <v>57</v>
      </c>
      <c r="I63" s="24"/>
      <c r="J63" s="96">
        <f>('CBS (Total)'!J61)/'CBS (CoE)'!J$2/10</f>
        <v>10.264774350244014</v>
      </c>
      <c r="K63" s="36">
        <f t="shared" si="12"/>
        <v>6.9928141554152001E-2</v>
      </c>
      <c r="L63" s="96">
        <f>('CBS (Total)'!L61)/'CBS (CoE)'!L$2/10</f>
        <v>1.0264774350244015</v>
      </c>
      <c r="M63" s="36">
        <f t="shared" si="13"/>
        <v>3.6028077091630285E-2</v>
      </c>
      <c r="N63" s="96">
        <f>('CBS (Total)'!N61)/'CBS (CoE)'!N$2/10</f>
        <v>0.2454516644398626</v>
      </c>
      <c r="O63" s="36">
        <f t="shared" si="14"/>
        <v>1.513550284655499E-2</v>
      </c>
      <c r="P63" s="96">
        <f>('CBS (Total)'!P61)/'CBS (CoE)'!P$2/10</f>
        <v>0.20337480198949892</v>
      </c>
      <c r="Q63" s="36">
        <f t="shared" si="15"/>
        <v>1.3937941138441717E-2</v>
      </c>
    </row>
    <row r="64" spans="1:18" s="16" customFormat="1" outlineLevel="1" x14ac:dyDescent="0.25">
      <c r="A64" s="97">
        <v>2.5</v>
      </c>
      <c r="C64" s="16" t="s">
        <v>58</v>
      </c>
      <c r="I64" s="24"/>
      <c r="J64" s="96">
        <f>('CBS (Total)'!J62)/'CBS (CoE)'!J$2/10</f>
        <v>1.4862093910255472</v>
      </c>
      <c r="K64" s="36">
        <f t="shared" si="12"/>
        <v>1.0124709723626214E-2</v>
      </c>
      <c r="L64" s="96">
        <f>('CBS (Total)'!L62)/'CBS (CoE)'!L$2/10</f>
        <v>1.2315551319660205</v>
      </c>
      <c r="M64" s="36">
        <f>L64/$L$57</f>
        <v>4.3226048350502623E-2</v>
      </c>
      <c r="N64" s="96">
        <f>('CBS (Total)'!N62)/'CBS (CoE)'!N$2/10</f>
        <v>1.1324641449703594</v>
      </c>
      <c r="O64" s="36">
        <f t="shared" si="14"/>
        <v>6.9832137129466731E-2</v>
      </c>
      <c r="P64" s="96">
        <f>('CBS (Total)'!P62)/'CBS (CoE)'!P$2/10</f>
        <v>1.1467301764270454</v>
      </c>
      <c r="Q64" s="36">
        <f t="shared" si="15"/>
        <v>7.8589173999738263E-2</v>
      </c>
    </row>
    <row r="65" spans="1:17" s="16" customFormat="1" outlineLevel="1" x14ac:dyDescent="0.25">
      <c r="A65" s="27">
        <v>2.6</v>
      </c>
      <c r="C65" s="16" t="s">
        <v>59</v>
      </c>
      <c r="I65" s="24"/>
      <c r="J65" s="96">
        <f>('CBS (Total)'!J63)/'CBS (CoE)'!J$2/10</f>
        <v>6.8727925441092269E-2</v>
      </c>
      <c r="K65" s="36">
        <f t="shared" si="12"/>
        <v>4.6820474907503996E-4</v>
      </c>
      <c r="L65" s="96">
        <f>('CBS (Total)'!L63)/'CBS (CoE)'!L$2/10</f>
        <v>6.8727925441092283E-2</v>
      </c>
      <c r="M65" s="36">
        <f t="shared" si="13"/>
        <v>2.4122644216534855E-3</v>
      </c>
      <c r="N65" s="96">
        <f>('CBS (Total)'!N63)/'CBS (CoE)'!N$2/10</f>
        <v>6.8727925441092269E-2</v>
      </c>
      <c r="O65" s="36">
        <f t="shared" si="14"/>
        <v>4.2380307891794122E-3</v>
      </c>
      <c r="P65" s="96">
        <f>('CBS (Total)'!P63)/'CBS (CoE)'!P$2/10</f>
        <v>6.8727925441092269E-2</v>
      </c>
      <c r="Q65" s="36">
        <f t="shared" si="15"/>
        <v>4.7101497825409889E-3</v>
      </c>
    </row>
    <row r="66" spans="1:17" x14ac:dyDescent="0.25">
      <c r="I66" s="17"/>
      <c r="J66" s="95"/>
      <c r="K66" s="24"/>
      <c r="L66" s="95"/>
      <c r="M66" s="24"/>
      <c r="N66" s="95"/>
      <c r="O66" s="24"/>
      <c r="P66" s="95"/>
      <c r="Q66" s="17"/>
    </row>
    <row r="67" spans="1:17" s="15" customFormat="1" x14ac:dyDescent="0.25">
      <c r="A67" s="87" t="s">
        <v>176</v>
      </c>
      <c r="B67" s="88"/>
      <c r="C67" s="88"/>
      <c r="D67" s="88"/>
      <c r="E67" s="88"/>
      <c r="F67" s="88"/>
      <c r="G67" s="88"/>
      <c r="H67" s="88"/>
      <c r="I67" s="88"/>
      <c r="J67" s="98">
        <f>('CBS (Total)'!J65)/'CBS (CoE)'!J$2/10</f>
        <v>58.651913195755</v>
      </c>
      <c r="K67" s="90">
        <f t="shared" ref="K67:Q67" si="16">SUM(K60:K65)</f>
        <v>0.39956253770713368</v>
      </c>
      <c r="L67" s="98">
        <f>('CBS (Total)'!L65)/'CBS (CoE)'!L$2/10</f>
        <v>12.222382594305987</v>
      </c>
      <c r="M67" s="90">
        <f t="shared" si="16"/>
        <v>0.42899037750458524</v>
      </c>
      <c r="N67" s="98">
        <f>('CBS (Total)'!N65)/'CBS (CoE)'!N$2/10</f>
        <v>4.52929670302162</v>
      </c>
      <c r="O67" s="90">
        <f t="shared" si="16"/>
        <v>0.27929402433639594</v>
      </c>
      <c r="P67" s="98">
        <f>('CBS (Total)'!P65)/'CBS (CoE)'!P$2/10</f>
        <v>3.4729222060229548</v>
      </c>
      <c r="Q67" s="90">
        <f t="shared" si="16"/>
        <v>0.23801073098738393</v>
      </c>
    </row>
    <row r="68" spans="1:17" x14ac:dyDescent="0.25">
      <c r="J68" s="4"/>
      <c r="K68" s="28"/>
      <c r="L68" s="4"/>
      <c r="M68" s="28"/>
      <c r="N68" s="4"/>
      <c r="O68" s="28"/>
      <c r="P68" s="4"/>
    </row>
    <row r="69" spans="1:17" x14ac:dyDescent="0.25">
      <c r="J69" s="17"/>
      <c r="K69" s="24"/>
      <c r="L69" s="17"/>
      <c r="M69" s="24"/>
      <c r="N69" s="17"/>
      <c r="O69" s="24"/>
      <c r="P69" s="17"/>
    </row>
  </sheetData>
  <mergeCells count="1">
    <mergeCell ref="J3:P3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A69"/>
  <sheetViews>
    <sheetView zoomScale="70" zoomScaleNormal="70" workbookViewId="0">
      <pane xSplit="8" ySplit="4" topLeftCell="I12" activePane="bottomRight" state="frozen"/>
      <selection activeCell="A3" sqref="A3"/>
      <selection pane="topRight" activeCell="I3" sqref="I3"/>
      <selection pane="bottomLeft" activeCell="A5" sqref="A5"/>
      <selection pane="bottomRight" activeCell="D27" sqref="D27:D30"/>
    </sheetView>
  </sheetViews>
  <sheetFormatPr defaultRowHeight="15" outlineLevelRow="2" x14ac:dyDescent="0.25"/>
  <cols>
    <col min="1" max="1" width="8.42578125" style="12" customWidth="1"/>
    <col min="2" max="2" width="3.85546875" style="22" customWidth="1"/>
    <col min="3" max="4" width="4.140625" style="22" customWidth="1"/>
    <col min="5" max="7" width="9.140625" style="22"/>
    <col min="8" max="9" width="20.28515625" style="22" customWidth="1"/>
    <col min="10" max="10" width="19.5703125" style="22" bestFit="1" customWidth="1"/>
    <col min="11" max="11" width="10.140625" style="16" customWidth="1"/>
    <col min="12" max="12" width="20.42578125" style="22" bestFit="1" customWidth="1"/>
    <col min="13" max="13" width="10.140625" style="16" customWidth="1"/>
    <col min="14" max="14" width="22.7109375" style="22" bestFit="1" customWidth="1"/>
    <col min="15" max="15" width="11.5703125" style="16" customWidth="1"/>
    <col min="16" max="16" width="20.85546875" style="22" customWidth="1"/>
    <col min="17" max="17" width="11" style="22" customWidth="1"/>
    <col min="18" max="18" width="17.140625" style="22" bestFit="1" customWidth="1"/>
    <col min="19" max="19" width="16.85546875" style="22" bestFit="1" customWidth="1"/>
    <col min="20" max="22" width="13.28515625" style="22" bestFit="1" customWidth="1"/>
    <col min="23" max="16384" width="9.140625" style="22"/>
  </cols>
  <sheetData>
    <row r="1" spans="1:19" ht="23.25" customHeight="1" x14ac:dyDescent="0.25">
      <c r="A1" s="12" t="s">
        <v>177</v>
      </c>
      <c r="J1" s="22">
        <f>'CBS (Total)'!J2*'Performance &amp; Economics'!$S$14*1000</f>
        <v>1115</v>
      </c>
      <c r="K1" s="22"/>
      <c r="L1" s="22">
        <f>'CBS (Total)'!L2*'Performance &amp; Economics'!$S$14*1000</f>
        <v>11150</v>
      </c>
      <c r="M1" s="22"/>
      <c r="N1" s="22">
        <f>'CBS (Total)'!N2*'Performance &amp; Economics'!$S$14*1000</f>
        <v>55750</v>
      </c>
      <c r="O1" s="22"/>
      <c r="P1" s="22">
        <f>'CBS (Total)'!P2*'Performance &amp; Economics'!$S$14*1000</f>
        <v>111500</v>
      </c>
    </row>
    <row r="2" spans="1:19" ht="29.25" customHeight="1" x14ac:dyDescent="0.25"/>
    <row r="3" spans="1:19" ht="20.25" customHeight="1" x14ac:dyDescent="0.25">
      <c r="A3" s="3" t="s">
        <v>220</v>
      </c>
      <c r="I3" s="15"/>
      <c r="J3" s="326" t="s">
        <v>68</v>
      </c>
      <c r="K3" s="326"/>
      <c r="L3" s="326"/>
      <c r="M3" s="326"/>
      <c r="N3" s="326"/>
      <c r="O3" s="326"/>
      <c r="P3" s="326"/>
      <c r="Q3" s="15"/>
    </row>
    <row r="4" spans="1:19" ht="22.5" customHeight="1" x14ac:dyDescent="0.25">
      <c r="I4" s="15" t="s">
        <v>96</v>
      </c>
      <c r="J4" s="15">
        <v>1</v>
      </c>
      <c r="K4" s="41" t="s">
        <v>106</v>
      </c>
      <c r="L4" s="15">
        <v>10</v>
      </c>
      <c r="M4" s="41" t="s">
        <v>106</v>
      </c>
      <c r="N4" s="15">
        <v>50</v>
      </c>
      <c r="O4" s="41" t="s">
        <v>107</v>
      </c>
      <c r="P4" s="15">
        <v>100</v>
      </c>
      <c r="Q4" s="41" t="s">
        <v>107</v>
      </c>
      <c r="R4" s="15"/>
      <c r="S4" s="23"/>
    </row>
    <row r="5" spans="1:19" x14ac:dyDescent="0.25">
      <c r="A5" s="23">
        <v>1</v>
      </c>
      <c r="B5" s="15" t="s">
        <v>0</v>
      </c>
      <c r="J5" s="18"/>
      <c r="K5" s="34"/>
      <c r="L5" s="18"/>
      <c r="M5" s="34"/>
      <c r="N5" s="18"/>
      <c r="O5" s="34"/>
      <c r="P5" s="18"/>
    </row>
    <row r="6" spans="1:19" s="15" customFormat="1" x14ac:dyDescent="0.25">
      <c r="A6" s="23">
        <v>1.1000000000000001</v>
      </c>
      <c r="C6" s="15" t="s">
        <v>90</v>
      </c>
      <c r="J6" s="83">
        <f>'CBS (Total)'!J4/'CBS ($ per kW)'!J$1</f>
        <v>4516.4508189680982</v>
      </c>
      <c r="K6" s="31">
        <f t="shared" ref="K6:K37" si="0">J6/$J$57</f>
        <v>0.14161668632387542</v>
      </c>
      <c r="L6" s="83">
        <f>'CBS (Total)'!L4/'CBS ($ per kW)'!L$1</f>
        <v>684.22169377465002</v>
      </c>
      <c r="M6" s="31">
        <f t="shared" ref="M6:M37" si="1">L6/$L$57</f>
        <v>0.11053583070659502</v>
      </c>
      <c r="N6" s="83">
        <f>'CBS (Total)'!N4/'CBS ($ per kW)'!N$1</f>
        <v>177.720528391719</v>
      </c>
      <c r="O6" s="31">
        <f t="shared" ref="O6:O37" si="2">N6/$N$57</f>
        <v>5.0440923763834772E-2</v>
      </c>
      <c r="P6" s="233">
        <f>'CBS (Total)'!P4/'CBS ($ per kW)'!P$1</f>
        <v>100.04881364555878</v>
      </c>
      <c r="Q6" s="37">
        <f t="shared" ref="Q6:Q37" si="3">P6/$P$57</f>
        <v>3.1559345604376447E-2</v>
      </c>
      <c r="R6" s="48"/>
      <c r="S6" s="48"/>
    </row>
    <row r="7" spans="1:19" s="16" customFormat="1" outlineLevel="1" x14ac:dyDescent="0.25">
      <c r="A7" s="27" t="s">
        <v>2</v>
      </c>
      <c r="D7" s="16" t="s">
        <v>1</v>
      </c>
      <c r="I7" s="24"/>
      <c r="J7" s="84">
        <f>'CBS (Total)'!J5/'CBS ($ per kW)'!J$1</f>
        <v>2961.8834080717488</v>
      </c>
      <c r="K7" s="35">
        <f t="shared" si="0"/>
        <v>9.2872064889355482E-2</v>
      </c>
      <c r="L7" s="84">
        <f>'CBS (Total)'!L5/'CBS ($ per kW)'!L$1</f>
        <v>493.94618834080717</v>
      </c>
      <c r="M7" s="35">
        <f t="shared" si="1"/>
        <v>7.979687395090046E-2</v>
      </c>
      <c r="N7" s="84">
        <f>'CBS (Total)'!N5/'CBS ($ per kW)'!N$1</f>
        <v>109.64125560538116</v>
      </c>
      <c r="O7" s="35">
        <f t="shared" si="2"/>
        <v>3.1118556001434025E-2</v>
      </c>
      <c r="P7" s="34">
        <f>'CBS (Total)'!P5/'CBS ($ per kW)'!P$1</f>
        <v>54.820627802690581</v>
      </c>
      <c r="Q7" s="36">
        <f t="shared" si="3"/>
        <v>1.7292590247028884E-2</v>
      </c>
      <c r="R7" s="34"/>
      <c r="S7" s="34"/>
    </row>
    <row r="8" spans="1:19" s="16" customFormat="1" outlineLevel="2" x14ac:dyDescent="0.25">
      <c r="A8" s="27" t="s">
        <v>91</v>
      </c>
      <c r="E8" s="16" t="s">
        <v>3</v>
      </c>
      <c r="I8" s="24"/>
      <c r="J8" s="84">
        <f>'CBS (Total)'!J6/'CBS ($ per kW)'!J$1</f>
        <v>181.61434977578475</v>
      </c>
      <c r="K8" s="35">
        <f t="shared" si="0"/>
        <v>5.6946534867810704E-3</v>
      </c>
      <c r="L8" s="84">
        <f>'CBS (Total)'!L6/'CBS ($ per kW)'!L$1</f>
        <v>26.233183856502244</v>
      </c>
      <c r="M8" s="35">
        <f t="shared" si="1"/>
        <v>4.2379638003882678E-3</v>
      </c>
      <c r="N8" s="84">
        <f>'CBS (Total)'!N6/'CBS ($ per kW)'!N$1</f>
        <v>5.5156950672645744</v>
      </c>
      <c r="O8" s="35">
        <f t="shared" si="2"/>
        <v>1.5654733693972946E-3</v>
      </c>
      <c r="P8" s="34">
        <f>'CBS (Total)'!P6/'CBS ($ per kW)'!P$1</f>
        <v>2.7578475336322872</v>
      </c>
      <c r="Q8" s="36">
        <f t="shared" si="3"/>
        <v>8.6993398788734271E-4</v>
      </c>
    </row>
    <row r="9" spans="1:19" s="16" customFormat="1" outlineLevel="2" x14ac:dyDescent="0.25">
      <c r="A9" s="27" t="s">
        <v>92</v>
      </c>
      <c r="E9" s="16" t="s">
        <v>5</v>
      </c>
      <c r="I9" s="24"/>
      <c r="J9" s="84">
        <f>'CBS (Total)'!J7/'CBS ($ per kW)'!J$1</f>
        <v>1479.8206278026905</v>
      </c>
      <c r="K9" s="35">
        <f t="shared" si="0"/>
        <v>4.6400880262660572E-2</v>
      </c>
      <c r="L9" s="84">
        <f>'CBS (Total)'!L7/'CBS ($ per kW)'!L$1</f>
        <v>210.76233183856502</v>
      </c>
      <c r="M9" s="35">
        <f t="shared" si="1"/>
        <v>3.4048598054401469E-2</v>
      </c>
      <c r="N9" s="84">
        <f>'CBS (Total)'!N7/'CBS ($ per kW)'!N$1</f>
        <v>48.699551569506724</v>
      </c>
      <c r="O9" s="35">
        <f t="shared" si="2"/>
        <v>1.382198438345904E-2</v>
      </c>
      <c r="P9" s="34">
        <f>'CBS (Total)'!P7/'CBS ($ per kW)'!P$1</f>
        <v>24.349775784753362</v>
      </c>
      <c r="Q9" s="36">
        <f t="shared" si="3"/>
        <v>7.6808805759809281E-3</v>
      </c>
      <c r="R9" s="34"/>
    </row>
    <row r="10" spans="1:19" s="16" customFormat="1" outlineLevel="2" x14ac:dyDescent="0.25">
      <c r="A10" s="27" t="s">
        <v>93</v>
      </c>
      <c r="E10" s="16" t="s">
        <v>7</v>
      </c>
      <c r="I10" s="24"/>
      <c r="J10" s="84">
        <f>'CBS (Total)'!J8/'CBS ($ per kW)'!J$1</f>
        <v>600.89686098654704</v>
      </c>
      <c r="K10" s="35">
        <f t="shared" si="0"/>
        <v>1.8841569561201567E-2</v>
      </c>
      <c r="L10" s="84">
        <f>'CBS (Total)'!L8/'CBS ($ per kW)'!L$1</f>
        <v>152.01793721973095</v>
      </c>
      <c r="M10" s="35">
        <f t="shared" si="1"/>
        <v>2.4558456894557656E-2</v>
      </c>
      <c r="N10" s="84">
        <f>'CBS (Total)'!N8/'CBS ($ per kW)'!N$1</f>
        <v>30.40358744394619</v>
      </c>
      <c r="O10" s="35">
        <f t="shared" si="2"/>
        <v>8.629194670336307E-3</v>
      </c>
      <c r="P10" s="34">
        <f>'CBS (Total)'!P8/'CBS ($ per kW)'!P$1</f>
        <v>15.201793721973095</v>
      </c>
      <c r="Q10" s="36">
        <f t="shared" si="3"/>
        <v>4.7952458844521817E-3</v>
      </c>
    </row>
    <row r="11" spans="1:19" s="16" customFormat="1" outlineLevel="2" x14ac:dyDescent="0.25">
      <c r="A11" s="27" t="s">
        <v>94</v>
      </c>
      <c r="E11" s="16" t="s">
        <v>8</v>
      </c>
      <c r="I11" s="24"/>
      <c r="J11" s="84">
        <f>'CBS (Total)'!J9/'CBS ($ per kW)'!J$1</f>
        <v>699.55156950672642</v>
      </c>
      <c r="K11" s="35">
        <f t="shared" si="0"/>
        <v>2.1934961578712272E-2</v>
      </c>
      <c r="L11" s="84">
        <f>'CBS (Total)'!L9/'CBS ($ per kW)'!L$1</f>
        <v>104.93273542600897</v>
      </c>
      <c r="M11" s="35">
        <f t="shared" si="1"/>
        <v>1.6951855201553071E-2</v>
      </c>
      <c r="N11" s="84">
        <f>'CBS (Total)'!N9/'CBS ($ per kW)'!N$1</f>
        <v>25.022421524663677</v>
      </c>
      <c r="O11" s="35">
        <f t="shared" si="2"/>
        <v>7.101903578241385E-3</v>
      </c>
      <c r="P11" s="34">
        <f>'CBS (Total)'!P9/'CBS ($ per kW)'!P$1</f>
        <v>12.511210762331839</v>
      </c>
      <c r="Q11" s="36">
        <f t="shared" si="3"/>
        <v>3.9465297987084326E-3</v>
      </c>
    </row>
    <row r="12" spans="1:19" s="16" customFormat="1" outlineLevel="1" x14ac:dyDescent="0.25">
      <c r="A12" s="27" t="s">
        <v>4</v>
      </c>
      <c r="D12" s="16" t="s">
        <v>95</v>
      </c>
      <c r="I12" s="24"/>
      <c r="J12" s="84">
        <f>'CBS (Total)'!J10/'CBS ($ per kW)'!J$1</f>
        <v>173.95784753363228</v>
      </c>
      <c r="K12" s="35">
        <f t="shared" si="0"/>
        <v>5.4545781444766258E-3</v>
      </c>
      <c r="L12" s="84">
        <f>'CBS (Total)'!L10/'CBS ($ per kW)'!L$1</f>
        <v>26.373183856502241</v>
      </c>
      <c r="M12" s="35">
        <f t="shared" si="1"/>
        <v>4.2605807627554681E-3</v>
      </c>
      <c r="N12" s="84">
        <f>'CBS (Total)'!N10/'CBS ($ per kW)'!N$1</f>
        <v>5.2746367713004485</v>
      </c>
      <c r="O12" s="35">
        <f t="shared" si="2"/>
        <v>1.497055819441749E-3</v>
      </c>
      <c r="P12" s="34">
        <f>'CBS (Total)'!P10/'CBS ($ per kW)'!P$1</f>
        <v>2.6373183856502243</v>
      </c>
      <c r="Q12" s="36">
        <f t="shared" si="3"/>
        <v>8.3191433629964189E-4</v>
      </c>
    </row>
    <row r="13" spans="1:19" s="16" customFormat="1" outlineLevel="1" x14ac:dyDescent="0.25">
      <c r="A13" s="27" t="s">
        <v>6</v>
      </c>
      <c r="D13" s="16" t="s">
        <v>119</v>
      </c>
      <c r="I13" s="24"/>
      <c r="J13" s="84">
        <f>'CBS (Total)'!J11/'CBS ($ per kW)'!J$1</f>
        <v>1380.6095633627169</v>
      </c>
      <c r="K13" s="35">
        <f t="shared" si="0"/>
        <v>4.3290043290043302E-2</v>
      </c>
      <c r="L13" s="84">
        <f>'CBS (Total)'!L11/'CBS ($ per kW)'!L$1</f>
        <v>163.90232157734064</v>
      </c>
      <c r="M13" s="35">
        <f t="shared" si="1"/>
        <v>2.6478375992939101E-2</v>
      </c>
      <c r="N13" s="84">
        <f>'CBS (Total)'!N11/'CBS ($ per kW)'!N$1</f>
        <v>62.804636015037403</v>
      </c>
      <c r="O13" s="35">
        <f t="shared" si="2"/>
        <v>1.7825311942959006E-2</v>
      </c>
      <c r="P13" s="34">
        <f>'CBS (Total)'!P11/'CBS ($ per kW)'!P$1</f>
        <v>42.590867457217961</v>
      </c>
      <c r="Q13" s="36">
        <f t="shared" si="3"/>
        <v>1.3434841021047915E-2</v>
      </c>
    </row>
    <row r="14" spans="1:19" s="15" customFormat="1" x14ac:dyDescent="0.25">
      <c r="A14" s="23">
        <v>1.2</v>
      </c>
      <c r="C14" s="15" t="s">
        <v>10</v>
      </c>
      <c r="I14" s="26"/>
      <c r="J14" s="83">
        <f>'CBS (Total)'!J12/'CBS ($ per kW)'!J$1</f>
        <v>12998.773094170403</v>
      </c>
      <c r="K14" s="31">
        <f t="shared" si="0"/>
        <v>0.4075862321230701</v>
      </c>
      <c r="L14" s="83">
        <f>'CBS (Total)'!L12/'CBS ($ per kW)'!L$1</f>
        <v>1311.834260089686</v>
      </c>
      <c r="M14" s="31">
        <f t="shared" si="1"/>
        <v>0.21192647208894624</v>
      </c>
      <c r="N14" s="83">
        <f>'CBS (Total)'!N12/'CBS ($ per kW)'!N$1</f>
        <v>273.88900448430491</v>
      </c>
      <c r="O14" s="31">
        <f t="shared" si="2"/>
        <v>7.7735614000060294E-2</v>
      </c>
      <c r="P14" s="233">
        <f>'CBS (Total)'!P12/'CBS ($ per kW)'!P$1</f>
        <v>143.9012735426009</v>
      </c>
      <c r="Q14" s="37">
        <f t="shared" si="3"/>
        <v>4.5392142686765891E-2</v>
      </c>
    </row>
    <row r="15" spans="1:19" s="16" customFormat="1" outlineLevel="1" x14ac:dyDescent="0.25">
      <c r="A15" s="27" t="s">
        <v>9</v>
      </c>
      <c r="D15" s="16" t="s">
        <v>12</v>
      </c>
      <c r="I15" s="24"/>
      <c r="J15" s="84">
        <f>'CBS (Total)'!J13/'CBS ($ per kW)'!J$1</f>
        <v>38.744394618834079</v>
      </c>
      <c r="K15" s="35">
        <f t="shared" si="0"/>
        <v>1.214859410513295E-3</v>
      </c>
      <c r="L15" s="84">
        <f>'CBS (Total)'!L13/'CBS ($ per kW)'!L$1</f>
        <v>15.713004484304932</v>
      </c>
      <c r="M15" s="35">
        <f t="shared" si="1"/>
        <v>2.5384316506941009E-3</v>
      </c>
      <c r="N15" s="84">
        <f>'CBS (Total)'!N13/'CBS ($ per kW)'!N$1</f>
        <v>14.55067264573991</v>
      </c>
      <c r="O15" s="35">
        <f t="shared" si="2"/>
        <v>4.1297951130246681E-3</v>
      </c>
      <c r="P15" s="34">
        <f>'CBS (Total)'!P13/'CBS ($ per kW)'!P$1</f>
        <v>14.163228699551569</v>
      </c>
      <c r="Q15" s="36">
        <f t="shared" si="3"/>
        <v>4.4676414753550943E-3</v>
      </c>
    </row>
    <row r="16" spans="1:19" s="16" customFormat="1" outlineLevel="1" x14ac:dyDescent="0.25">
      <c r="A16" s="27" t="s">
        <v>11</v>
      </c>
      <c r="D16" s="16" t="s">
        <v>13</v>
      </c>
      <c r="I16" s="24"/>
      <c r="J16" s="84">
        <f>'CBS (Total)'!J14/'CBS ($ per kW)'!J$1</f>
        <v>0.38744394618834083</v>
      </c>
      <c r="K16" s="35">
        <f t="shared" si="0"/>
        <v>1.2148594105132951E-5</v>
      </c>
      <c r="L16" s="84">
        <f>'CBS (Total)'!L14/'CBS ($ per kW)'!L$1</f>
        <v>0.15713004484304932</v>
      </c>
      <c r="M16" s="35">
        <f t="shared" si="1"/>
        <v>2.538431650694101E-5</v>
      </c>
      <c r="N16" s="84">
        <f>'CBS (Total)'!N14/'CBS ($ per kW)'!N$1</f>
        <v>0.14550672645739909</v>
      </c>
      <c r="O16" s="35">
        <f t="shared" si="2"/>
        <v>4.1297951130246673E-5</v>
      </c>
      <c r="P16" s="34">
        <f>'CBS (Total)'!P14/'CBS ($ per kW)'!P$1</f>
        <v>0.14163228699551569</v>
      </c>
      <c r="Q16" s="36">
        <f t="shared" si="3"/>
        <v>4.4676414753550945E-5</v>
      </c>
    </row>
    <row r="17" spans="1:27" s="16" customFormat="1" outlineLevel="1" x14ac:dyDescent="0.25">
      <c r="A17" s="27" t="s">
        <v>14</v>
      </c>
      <c r="D17" s="16" t="s">
        <v>15</v>
      </c>
      <c r="I17" s="24"/>
      <c r="J17" s="84">
        <f>'CBS (Total)'!J15/'CBS ($ per kW)'!J$1</f>
        <v>0</v>
      </c>
      <c r="K17" s="35">
        <f t="shared" si="0"/>
        <v>0</v>
      </c>
      <c r="L17" s="84">
        <f>'CBS (Total)'!L15/'CBS ($ per kW)'!L$1</f>
        <v>0</v>
      </c>
      <c r="M17" s="35">
        <f t="shared" si="1"/>
        <v>0</v>
      </c>
      <c r="N17" s="84">
        <f>'CBS (Total)'!N15/'CBS ($ per kW)'!N$1</f>
        <v>0</v>
      </c>
      <c r="O17" s="35">
        <f t="shared" si="2"/>
        <v>0</v>
      </c>
      <c r="P17" s="34">
        <f>'CBS (Total)'!P15/'CBS ($ per kW)'!P$1</f>
        <v>0</v>
      </c>
      <c r="Q17" s="36">
        <f t="shared" si="3"/>
        <v>0</v>
      </c>
    </row>
    <row r="18" spans="1:27" s="16" customFormat="1" outlineLevel="1" x14ac:dyDescent="0.25">
      <c r="A18" s="27" t="s">
        <v>16</v>
      </c>
      <c r="D18" s="16" t="s">
        <v>61</v>
      </c>
      <c r="I18" s="24"/>
      <c r="J18" s="84">
        <f>'CBS (Total)'!J16/'CBS ($ per kW)'!J$1</f>
        <v>12959.641255605382</v>
      </c>
      <c r="K18" s="35">
        <f t="shared" si="0"/>
        <v>0.40635922411845177</v>
      </c>
      <c r="L18" s="84">
        <f>'CBS (Total)'!L16/'CBS ($ per kW)'!L$1</f>
        <v>1295.9641255605382</v>
      </c>
      <c r="M18" s="35">
        <f t="shared" si="1"/>
        <v>0.20936265612174521</v>
      </c>
      <c r="N18" s="84">
        <f>'CBS (Total)'!N16/'CBS ($ per kW)'!N$1</f>
        <v>259.19282511210764</v>
      </c>
      <c r="O18" s="35">
        <f t="shared" si="2"/>
        <v>7.3564520935905389E-2</v>
      </c>
      <c r="P18" s="34">
        <f>'CBS (Total)'!P16/'CBS ($ per kW)'!P$1</f>
        <v>129.59641255605382</v>
      </c>
      <c r="Q18" s="36">
        <f t="shared" si="3"/>
        <v>4.0879824796657242E-2</v>
      </c>
    </row>
    <row r="19" spans="1:27" s="16" customFormat="1" outlineLevel="1" x14ac:dyDescent="0.25">
      <c r="A19" s="27" t="s">
        <v>17</v>
      </c>
      <c r="D19" s="16" t="s">
        <v>18</v>
      </c>
      <c r="I19" s="24"/>
      <c r="J19" s="84">
        <f>'CBS (Total)'!J17/'CBS ($ per kW)'!J$1</f>
        <v>0</v>
      </c>
      <c r="K19" s="35">
        <f t="shared" si="0"/>
        <v>0</v>
      </c>
      <c r="L19" s="84">
        <f>'CBS (Total)'!L17/'CBS ($ per kW)'!L$1</f>
        <v>0</v>
      </c>
      <c r="M19" s="35">
        <f t="shared" si="1"/>
        <v>0</v>
      </c>
      <c r="N19" s="84">
        <f>'CBS (Total)'!N17/'CBS ($ per kW)'!N$1</f>
        <v>0</v>
      </c>
      <c r="O19" s="35">
        <f t="shared" si="2"/>
        <v>0</v>
      </c>
      <c r="P19" s="34">
        <f>'CBS (Total)'!P17/'CBS ($ per kW)'!P$1</f>
        <v>0</v>
      </c>
      <c r="Q19" s="36">
        <f t="shared" si="3"/>
        <v>0</v>
      </c>
    </row>
    <row r="20" spans="1:27" s="15" customFormat="1" x14ac:dyDescent="0.25">
      <c r="A20" s="23">
        <v>1.3</v>
      </c>
      <c r="C20" s="15" t="s">
        <v>19</v>
      </c>
      <c r="I20" s="26"/>
      <c r="J20" s="83">
        <f>'CBS (Total)'!J18/'CBS ($ per kW)'!J$1</f>
        <v>0</v>
      </c>
      <c r="K20" s="31">
        <f t="shared" si="0"/>
        <v>0</v>
      </c>
      <c r="L20" s="83">
        <f>'CBS (Total)'!L18/'CBS ($ per kW)'!L$1</f>
        <v>0</v>
      </c>
      <c r="M20" s="31">
        <f t="shared" si="1"/>
        <v>0</v>
      </c>
      <c r="N20" s="83">
        <f>'CBS (Total)'!N18/'CBS ($ per kW)'!N$1</f>
        <v>0</v>
      </c>
      <c r="O20" s="31">
        <f t="shared" si="2"/>
        <v>0</v>
      </c>
      <c r="P20" s="233">
        <f>'CBS (Total)'!P18/'CBS ($ per kW)'!P$1</f>
        <v>0</v>
      </c>
      <c r="Q20" s="37">
        <f t="shared" si="3"/>
        <v>0</v>
      </c>
    </row>
    <row r="21" spans="1:27" s="16" customFormat="1" outlineLevel="1" x14ac:dyDescent="0.25">
      <c r="A21" s="27" t="s">
        <v>20</v>
      </c>
      <c r="D21" s="16" t="s">
        <v>21</v>
      </c>
      <c r="I21" s="24"/>
      <c r="J21" s="84">
        <f>'CBS (Total)'!J19/'CBS ($ per kW)'!J$1</f>
        <v>0</v>
      </c>
      <c r="K21" s="35">
        <f t="shared" si="0"/>
        <v>0</v>
      </c>
      <c r="L21" s="84">
        <f>'CBS (Total)'!L19/'CBS ($ per kW)'!L$1</f>
        <v>0</v>
      </c>
      <c r="M21" s="35">
        <f t="shared" si="1"/>
        <v>0</v>
      </c>
      <c r="N21" s="84">
        <f>'CBS (Total)'!N19/'CBS ($ per kW)'!N$1</f>
        <v>0</v>
      </c>
      <c r="O21" s="35">
        <f t="shared" si="2"/>
        <v>0</v>
      </c>
      <c r="P21" s="34">
        <f>'CBS (Total)'!P19/'CBS ($ per kW)'!P$1</f>
        <v>0</v>
      </c>
      <c r="Q21" s="36">
        <f t="shared" si="3"/>
        <v>0</v>
      </c>
    </row>
    <row r="22" spans="1:27" s="16" customFormat="1" outlineLevel="1" x14ac:dyDescent="0.25">
      <c r="A22" s="27" t="s">
        <v>22</v>
      </c>
      <c r="D22" s="16" t="s">
        <v>23</v>
      </c>
      <c r="I22" s="24"/>
      <c r="J22" s="84">
        <f>'CBS (Total)'!J20/'CBS ($ per kW)'!J$1</f>
        <v>0</v>
      </c>
      <c r="K22" s="35">
        <f t="shared" si="0"/>
        <v>0</v>
      </c>
      <c r="L22" s="84">
        <f>'CBS (Total)'!L20/'CBS ($ per kW)'!L$1</f>
        <v>0</v>
      </c>
      <c r="M22" s="35">
        <f t="shared" si="1"/>
        <v>0</v>
      </c>
      <c r="N22" s="84">
        <f>'CBS (Total)'!N20/'CBS ($ per kW)'!N$1</f>
        <v>0</v>
      </c>
      <c r="O22" s="35">
        <f t="shared" si="2"/>
        <v>0</v>
      </c>
      <c r="P22" s="34">
        <f>'CBS (Total)'!P20/'CBS ($ per kW)'!P$1</f>
        <v>0</v>
      </c>
      <c r="Q22" s="36">
        <f t="shared" si="3"/>
        <v>0</v>
      </c>
    </row>
    <row r="23" spans="1:27" s="16" customFormat="1" outlineLevel="1" x14ac:dyDescent="0.25">
      <c r="A23" s="27" t="s">
        <v>24</v>
      </c>
      <c r="D23" s="16" t="s">
        <v>25</v>
      </c>
      <c r="I23" s="24"/>
      <c r="J23" s="84">
        <f>'CBS (Total)'!J21/'CBS ($ per kW)'!J$1</f>
        <v>0</v>
      </c>
      <c r="K23" s="35">
        <f t="shared" si="0"/>
        <v>0</v>
      </c>
      <c r="L23" s="84">
        <f>'CBS (Total)'!L21/'CBS ($ per kW)'!L$1</f>
        <v>0</v>
      </c>
      <c r="M23" s="35">
        <f t="shared" si="1"/>
        <v>0</v>
      </c>
      <c r="N23" s="84">
        <f>'CBS (Total)'!N21/'CBS ($ per kW)'!N$1</f>
        <v>0</v>
      </c>
      <c r="O23" s="35">
        <f t="shared" si="2"/>
        <v>0</v>
      </c>
      <c r="P23" s="34">
        <f>'CBS (Total)'!P21/'CBS ($ per kW)'!P$1</f>
        <v>0</v>
      </c>
      <c r="Q23" s="36">
        <f t="shared" si="3"/>
        <v>0</v>
      </c>
    </row>
    <row r="24" spans="1:27" s="16" customFormat="1" outlineLevel="1" x14ac:dyDescent="0.25">
      <c r="A24" s="27" t="s">
        <v>26</v>
      </c>
      <c r="D24" s="16" t="s">
        <v>27</v>
      </c>
      <c r="I24" s="24"/>
      <c r="J24" s="84">
        <f>'CBS (Total)'!J22/'CBS ($ per kW)'!J$1</f>
        <v>0</v>
      </c>
      <c r="K24" s="35">
        <f t="shared" si="0"/>
        <v>0</v>
      </c>
      <c r="L24" s="84">
        <f>'CBS (Total)'!L22/'CBS ($ per kW)'!L$1</f>
        <v>0</v>
      </c>
      <c r="M24" s="35">
        <f t="shared" si="1"/>
        <v>0</v>
      </c>
      <c r="N24" s="84">
        <f>'CBS (Total)'!N22/'CBS ($ per kW)'!N$1</f>
        <v>0</v>
      </c>
      <c r="O24" s="35">
        <f t="shared" si="2"/>
        <v>0</v>
      </c>
      <c r="P24" s="34">
        <f>'CBS (Total)'!P22/'CBS ($ per kW)'!P$1</f>
        <v>0</v>
      </c>
      <c r="Q24" s="36">
        <f t="shared" si="3"/>
        <v>0</v>
      </c>
      <c r="R24" s="42"/>
    </row>
    <row r="25" spans="1:27" s="16" customFormat="1" outlineLevel="1" x14ac:dyDescent="0.25">
      <c r="A25" s="27" t="s">
        <v>28</v>
      </c>
      <c r="D25" s="16" t="s">
        <v>18</v>
      </c>
      <c r="I25" s="24"/>
      <c r="J25" s="84">
        <f>'CBS (Total)'!J23/'CBS ($ per kW)'!J$1</f>
        <v>0</v>
      </c>
      <c r="K25" s="35">
        <f t="shared" si="0"/>
        <v>0</v>
      </c>
      <c r="L25" s="84">
        <f>'CBS (Total)'!L23/'CBS ($ per kW)'!L$1</f>
        <v>0</v>
      </c>
      <c r="M25" s="35">
        <f t="shared" si="1"/>
        <v>0</v>
      </c>
      <c r="N25" s="84">
        <f>'CBS (Total)'!N23/'CBS ($ per kW)'!N$1</f>
        <v>0</v>
      </c>
      <c r="O25" s="35">
        <f t="shared" si="2"/>
        <v>0</v>
      </c>
      <c r="P25" s="34">
        <f>'CBS (Total)'!P23/'CBS ($ per kW)'!P$1</f>
        <v>0</v>
      </c>
      <c r="Q25" s="36">
        <f t="shared" si="3"/>
        <v>0</v>
      </c>
      <c r="R25" s="34"/>
      <c r="S25" s="34"/>
      <c r="T25" s="34"/>
      <c r="U25" s="34"/>
    </row>
    <row r="26" spans="1:27" s="15" customFormat="1" x14ac:dyDescent="0.25">
      <c r="A26" s="23">
        <v>1.4</v>
      </c>
      <c r="C26" s="15" t="s">
        <v>29</v>
      </c>
      <c r="I26" s="46">
        <f>'CBS (Total)'!I24</f>
        <v>267.73999999999995</v>
      </c>
      <c r="J26" s="83">
        <f>'CBS (Total)'!J24/'CBS ($ per kW)'!J$1</f>
        <v>1143.0944465234013</v>
      </c>
      <c r="K26" s="31">
        <f t="shared" si="0"/>
        <v>3.5842579529927115E-2</v>
      </c>
      <c r="L26" s="83">
        <f>'CBS (Total)'!L24/'CBS ($ per kW)'!L$1</f>
        <v>789.24372923242117</v>
      </c>
      <c r="M26" s="31">
        <f t="shared" si="1"/>
        <v>0.12750211230427491</v>
      </c>
      <c r="N26" s="83">
        <f>'CBS (Total)'!N24/'CBS ($ per kW)'!N$1</f>
        <v>690.11843858464761</v>
      </c>
      <c r="O26" s="31">
        <f t="shared" si="2"/>
        <v>0.19587051571182987</v>
      </c>
      <c r="P26" s="233">
        <f>'CBS (Total)'!P24/'CBS ($ per kW)'!P$1</f>
        <v>666.51114376336579</v>
      </c>
      <c r="Q26" s="37">
        <f t="shared" si="3"/>
        <v>0.21024392762632257</v>
      </c>
      <c r="R26" s="39"/>
      <c r="S26" s="39"/>
      <c r="T26" s="39"/>
      <c r="U26" s="39"/>
      <c r="V26" s="40"/>
      <c r="W26" s="39"/>
      <c r="X26" s="39"/>
      <c r="Y26" s="39"/>
    </row>
    <row r="27" spans="1:27" s="16" customFormat="1" outlineLevel="1" x14ac:dyDescent="0.25">
      <c r="A27" s="27" t="s">
        <v>30</v>
      </c>
      <c r="D27" s="16" t="s">
        <v>205</v>
      </c>
      <c r="I27" s="46">
        <f>'CBS (Total)'!I25</f>
        <v>161.19999999999999</v>
      </c>
      <c r="J27" s="84">
        <f>'CBS (Total)'!J25/'CBS ($ per kW)'!J$1</f>
        <v>500.88898954256041</v>
      </c>
      <c r="K27" s="35">
        <f t="shared" si="0"/>
        <v>1.5705748110269133E-2</v>
      </c>
      <c r="L27" s="84">
        <f>'CBS (Total)'!L25/'CBS ($ per kW)'!L$1</f>
        <v>375.83285033623775</v>
      </c>
      <c r="M27" s="35">
        <f t="shared" si="1"/>
        <v>6.0715695945802214E-2</v>
      </c>
      <c r="N27" s="84">
        <f>'CBS (Total)'!N25/'CBS ($ per kW)'!N$1</f>
        <v>345.73104506810785</v>
      </c>
      <c r="O27" s="35">
        <f t="shared" si="2"/>
        <v>9.8125936518900947E-2</v>
      </c>
      <c r="P27" s="34">
        <f>'CBS (Total)'!P25/'CBS ($ per kW)'!P$1</f>
        <v>341.94025893263927</v>
      </c>
      <c r="Q27" s="36">
        <f t="shared" si="3"/>
        <v>0.10786145696775255</v>
      </c>
      <c r="R27" s="85"/>
      <c r="S27" s="85"/>
      <c r="T27" s="85"/>
      <c r="U27" s="85"/>
      <c r="V27" s="34"/>
      <c r="W27" s="34"/>
      <c r="X27" s="34"/>
      <c r="Y27" s="34"/>
      <c r="AA27" s="42"/>
    </row>
    <row r="28" spans="1:27" s="16" customFormat="1" outlineLevel="1" x14ac:dyDescent="0.25">
      <c r="A28" s="27" t="s">
        <v>31</v>
      </c>
      <c r="D28" s="16" t="s">
        <v>206</v>
      </c>
      <c r="I28" s="46">
        <f>'CBS (Total)'!I26</f>
        <v>40.9</v>
      </c>
      <c r="J28" s="84">
        <f>'CBS (Total)'!J26/'CBS ($ per kW)'!J$1</f>
        <v>181.40636048412219</v>
      </c>
      <c r="K28" s="35">
        <f t="shared" si="0"/>
        <v>5.688131827306246E-3</v>
      </c>
      <c r="L28" s="84">
        <f>'CBS (Total)'!L26/'CBS ($ per kW)'!L$1</f>
        <v>121.85772962952448</v>
      </c>
      <c r="M28" s="35">
        <f t="shared" si="1"/>
        <v>1.9686083465595881E-2</v>
      </c>
      <c r="N28" s="84">
        <f>'CBS (Total)'!N26/'CBS ($ per kW)'!N$1</f>
        <v>104.80212852531209</v>
      </c>
      <c r="O28" s="35">
        <f t="shared" si="2"/>
        <v>2.9745107237027547E-2</v>
      </c>
      <c r="P28" s="34">
        <f>'CBS (Total)'!P26/'CBS ($ per kW)'!P$1</f>
        <v>100.40964092852113</v>
      </c>
      <c r="Q28" s="36">
        <f t="shared" si="3"/>
        <v>3.1673164774355202E-2</v>
      </c>
      <c r="R28" s="85"/>
      <c r="S28" s="85"/>
      <c r="T28" s="85"/>
      <c r="U28" s="85"/>
      <c r="V28" s="34"/>
      <c r="W28" s="34"/>
      <c r="X28" s="34"/>
      <c r="Y28" s="34"/>
    </row>
    <row r="29" spans="1:27" s="16" customFormat="1" outlineLevel="1" x14ac:dyDescent="0.25">
      <c r="A29" s="27" t="s">
        <v>32</v>
      </c>
      <c r="D29" s="16" t="s">
        <v>207</v>
      </c>
      <c r="I29" s="46">
        <f>'CBS (Total)'!I27</f>
        <v>41.3</v>
      </c>
      <c r="J29" s="84">
        <f>'CBS (Total)'!J27/'CBS ($ per kW)'!J$1</f>
        <v>356.8814195400459</v>
      </c>
      <c r="K29" s="35">
        <f t="shared" si="0"/>
        <v>1.119028327144927E-2</v>
      </c>
      <c r="L29" s="84">
        <f>'CBS (Total)'!L27/'CBS ($ per kW)'!L$1</f>
        <v>219.80371933643886</v>
      </c>
      <c r="M29" s="35">
        <f t="shared" si="1"/>
        <v>3.5509231774306378E-2</v>
      </c>
      <c r="N29" s="84">
        <f>'CBS (Total)'!N27/'CBS ($ per kW)'!N$1</f>
        <v>176.84722511989614</v>
      </c>
      <c r="O29" s="35">
        <f t="shared" si="2"/>
        <v>5.0193061436644121E-2</v>
      </c>
      <c r="P29" s="34">
        <f>'CBS (Total)'!P27/'CBS ($ per kW)'!P$1</f>
        <v>163.56932174189947</v>
      </c>
      <c r="Q29" s="36">
        <f t="shared" si="3"/>
        <v>5.1596221554549154E-2</v>
      </c>
      <c r="R29" s="85"/>
      <c r="S29" s="85"/>
      <c r="T29" s="85"/>
      <c r="U29" s="85"/>
      <c r="V29" s="34"/>
      <c r="W29" s="34"/>
      <c r="X29" s="34"/>
      <c r="Y29" s="34"/>
    </row>
    <row r="30" spans="1:27" s="16" customFormat="1" outlineLevel="1" x14ac:dyDescent="0.25">
      <c r="A30" s="27" t="s">
        <v>33</v>
      </c>
      <c r="D30" s="16" t="s">
        <v>65</v>
      </c>
      <c r="I30" s="46">
        <f>'CBS (Total)'!I28</f>
        <v>24.34</v>
      </c>
      <c r="J30" s="84">
        <f>'CBS (Total)'!J28/'CBS ($ per kW)'!J$1</f>
        <v>103.91767695667285</v>
      </c>
      <c r="K30" s="35">
        <f t="shared" si="0"/>
        <v>3.2584163209024648E-3</v>
      </c>
      <c r="L30" s="84">
        <f>'CBS (Total)'!L28/'CBS ($ per kW)'!L$1</f>
        <v>71.749429930220117</v>
      </c>
      <c r="M30" s="35">
        <f t="shared" si="1"/>
        <v>1.1591101118570448E-2</v>
      </c>
      <c r="N30" s="84">
        <f>'CBS (Total)'!N28/'CBS ($ per kW)'!N$1</f>
        <v>62.738039871331608</v>
      </c>
      <c r="O30" s="35">
        <f t="shared" si="2"/>
        <v>1.7806410519257264E-2</v>
      </c>
      <c r="P30" s="34">
        <f>'CBS (Total)'!P28/'CBS ($ per kW)'!P$1</f>
        <v>60.591922160305984</v>
      </c>
      <c r="Q30" s="36">
        <f t="shared" si="3"/>
        <v>1.911308432966569E-2</v>
      </c>
    </row>
    <row r="31" spans="1:27" s="15" customFormat="1" x14ac:dyDescent="0.25">
      <c r="A31" s="23">
        <v>1.5</v>
      </c>
      <c r="C31" s="15" t="s">
        <v>34</v>
      </c>
      <c r="I31" s="46">
        <f>'CBS (Total)'!I29</f>
        <v>39.215419501133788</v>
      </c>
      <c r="J31" s="83">
        <f>'CBS (Total)'!J29/'CBS ($ per kW)'!J$1</f>
        <v>1711.2997072925336</v>
      </c>
      <c r="K31" s="31">
        <f t="shared" si="0"/>
        <v>5.3659079566631358E-2</v>
      </c>
      <c r="L31" s="83">
        <f>'CBS (Total)'!L29/'CBS ($ per kW)'!L$1</f>
        <v>1505.4246919860814</v>
      </c>
      <c r="M31" s="31">
        <f t="shared" si="1"/>
        <v>0.24320095432359498</v>
      </c>
      <c r="N31" s="83">
        <f>'CBS (Total)'!N29/'CBS ($ per kW)'!N$1</f>
        <v>1383.7549825819524</v>
      </c>
      <c r="O31" s="31">
        <f t="shared" si="2"/>
        <v>0.39273954571190128</v>
      </c>
      <c r="P31" s="233">
        <f>'CBS (Total)'!P29/'CBS ($ per kW)'!P$1</f>
        <v>1404.227767626254</v>
      </c>
      <c r="Q31" s="37">
        <f t="shared" si="3"/>
        <v>0.44294887476405576</v>
      </c>
    </row>
    <row r="32" spans="1:27" s="16" customFormat="1" outlineLevel="1" x14ac:dyDescent="0.25">
      <c r="A32" s="27" t="s">
        <v>35</v>
      </c>
      <c r="D32" s="16" t="s">
        <v>36</v>
      </c>
      <c r="I32" s="46">
        <f>'CBS (Total)'!I30</f>
        <v>6.8480725623582765</v>
      </c>
      <c r="J32" s="84">
        <f>'CBS (Total)'!J30/'CBS ($ per kW)'!J$1</f>
        <v>215</v>
      </c>
      <c r="K32" s="35">
        <f t="shared" si="0"/>
        <v>6.7414854672523073E-3</v>
      </c>
      <c r="L32" s="84">
        <f>'CBS (Total)'!L30/'CBS ($ per kW)'!L$1</f>
        <v>192.320799053239</v>
      </c>
      <c r="M32" s="35">
        <f t="shared" si="1"/>
        <v>3.1069373390121405E-2</v>
      </c>
      <c r="N32" s="84">
        <f>'CBS (Total)'!N30/'CBS ($ per kW)'!N$1</f>
        <v>177.90476298538442</v>
      </c>
      <c r="O32" s="35">
        <f t="shared" si="2"/>
        <v>5.0493213519992017E-2</v>
      </c>
      <c r="P32" s="34">
        <f>'CBS (Total)'!P30/'CBS ($ per kW)'!P$1</f>
        <v>172.0339058068667</v>
      </c>
      <c r="Q32" s="36">
        <f t="shared" si="3"/>
        <v>5.426628553801606E-2</v>
      </c>
    </row>
    <row r="33" spans="1:18" s="16" customFormat="1" outlineLevel="1" x14ac:dyDescent="0.25">
      <c r="A33" s="27" t="s">
        <v>37</v>
      </c>
      <c r="D33" s="16" t="s">
        <v>74</v>
      </c>
      <c r="I33" s="46">
        <f>'CBS (Total)'!I31</f>
        <v>15.033106575963716</v>
      </c>
      <c r="J33" s="84">
        <f>'CBS (Total)'!J31/'CBS ($ per kW)'!J$1</f>
        <v>314.084</v>
      </c>
      <c r="K33" s="35">
        <f t="shared" si="0"/>
        <v>9.8483382395184813E-3</v>
      </c>
      <c r="L33" s="84">
        <f>'CBS (Total)'!L31/'CBS ($ per kW)'!L$1</f>
        <v>280.95295744110479</v>
      </c>
      <c r="M33" s="35">
        <f t="shared" si="1"/>
        <v>4.5387874752850665E-2</v>
      </c>
      <c r="N33" s="84">
        <f>'CBS (Total)'!N31/'CBS ($ per kW)'!N$1</f>
        <v>259.89320733721621</v>
      </c>
      <c r="O33" s="35">
        <f t="shared" si="2"/>
        <v>7.3763304535875221E-2</v>
      </c>
      <c r="P33" s="34">
        <f>'CBS (Total)'!P31/'CBS ($ per kW)'!P$1</f>
        <v>251.31673149508805</v>
      </c>
      <c r="Q33" s="36">
        <f t="shared" si="3"/>
        <v>7.927521872987088E-2</v>
      </c>
    </row>
    <row r="34" spans="1:18" s="16" customFormat="1" outlineLevel="1" x14ac:dyDescent="0.25">
      <c r="A34" s="27" t="s">
        <v>38</v>
      </c>
      <c r="D34" s="16" t="s">
        <v>40</v>
      </c>
      <c r="I34" s="46">
        <f>'CBS (Total)'!I32</f>
        <v>0</v>
      </c>
      <c r="J34" s="84">
        <f>'CBS (Total)'!J32/'CBS ($ per kW)'!J$1</f>
        <v>36.24061385187089</v>
      </c>
      <c r="K34" s="35">
        <f t="shared" si="0"/>
        <v>1.136351495845071E-3</v>
      </c>
      <c r="L34" s="84">
        <f>'CBS (Total)'!L32/'CBS ($ per kW)'!L$1</f>
        <v>32.41778518219391</v>
      </c>
      <c r="M34" s="35">
        <f t="shared" si="1"/>
        <v>5.2370844820975931E-3</v>
      </c>
      <c r="N34" s="84">
        <f>'CBS (Total)'!N32/'CBS ($ per kW)'!N$1</f>
        <v>29.987803803543862</v>
      </c>
      <c r="O34" s="35">
        <f t="shared" si="2"/>
        <v>8.5111862945027768E-3</v>
      </c>
      <c r="P34" s="34">
        <f>'CBS (Total)'!P32/'CBS ($ per kW)'!P$1</f>
        <v>28.99820627802691</v>
      </c>
      <c r="Q34" s="36">
        <f t="shared" si="3"/>
        <v>9.1471790667842136E-3</v>
      </c>
    </row>
    <row r="35" spans="1:18" s="16" customFormat="1" outlineLevel="1" x14ac:dyDescent="0.25">
      <c r="A35" s="27" t="s">
        <v>39</v>
      </c>
      <c r="D35" s="16" t="s">
        <v>41</v>
      </c>
      <c r="I35" s="46">
        <f>'CBS (Total)'!I33</f>
        <v>0</v>
      </c>
      <c r="J35" s="84">
        <f>'CBS (Total)'!J33/'CBS ($ per kW)'!J$1</f>
        <v>228.68810330613363</v>
      </c>
      <c r="K35" s="35">
        <f t="shared" si="0"/>
        <v>7.1706861626595073E-3</v>
      </c>
      <c r="L35" s="84">
        <f>'CBS (Total)'!L33/'CBS ($ per kW)'!L$1</f>
        <v>204.56501749676883</v>
      </c>
      <c r="M35" s="35">
        <f t="shared" si="1"/>
        <v>3.3047423588357785E-2</v>
      </c>
      <c r="N35" s="84">
        <f>'CBS (Total)'!N33/'CBS ($ per kW)'!N$1</f>
        <v>189.23117588955728</v>
      </c>
      <c r="O35" s="35">
        <f t="shared" si="2"/>
        <v>5.3707894091714406E-2</v>
      </c>
      <c r="P35" s="34">
        <f>'CBS (Total)'!P33/'CBS ($ per kW)'!P$1</f>
        <v>182.98654708520186</v>
      </c>
      <c r="Q35" s="36">
        <f t="shared" si="3"/>
        <v>5.7721180991432391E-2</v>
      </c>
    </row>
    <row r="36" spans="1:18" s="16" customFormat="1" outlineLevel="1" x14ac:dyDescent="0.25">
      <c r="A36" s="27" t="s">
        <v>42</v>
      </c>
      <c r="D36" s="16" t="s">
        <v>43</v>
      </c>
      <c r="I36" s="46">
        <f>'CBS (Total)'!I34</f>
        <v>3.6281179138321997</v>
      </c>
      <c r="J36" s="84">
        <f>'CBS (Total)'!J34/'CBS ($ per kW)'!J$1</f>
        <v>28</v>
      </c>
      <c r="K36" s="35">
        <f t="shared" si="0"/>
        <v>8.7796089806076562E-4</v>
      </c>
      <c r="L36" s="84">
        <f>'CBS (Total)'!L34/'CBS ($ per kW)'!L$1</f>
        <v>26.182534573469102</v>
      </c>
      <c r="M36" s="35">
        <f t="shared" si="1"/>
        <v>4.2297814223290807E-3</v>
      </c>
      <c r="N36" s="84">
        <f>'CBS (Total)'!N34/'CBS ($ per kW)'!N$1</f>
        <v>24.982693756957186</v>
      </c>
      <c r="O36" s="35">
        <f t="shared" si="2"/>
        <v>7.0906279798604623E-3</v>
      </c>
      <c r="P36" s="34">
        <f>'CBS (Total)'!P34/'CBS ($ per kW)'!P$1</f>
        <v>24.483039881818044</v>
      </c>
      <c r="Q36" s="36">
        <f t="shared" si="3"/>
        <v>7.7229173332664163E-3</v>
      </c>
    </row>
    <row r="37" spans="1:18" s="16" customFormat="1" outlineLevel="1" x14ac:dyDescent="0.25">
      <c r="A37" s="27" t="s">
        <v>44</v>
      </c>
      <c r="D37" s="16" t="s">
        <v>45</v>
      </c>
      <c r="I37" s="46">
        <f>'CBS (Total)'!I35</f>
        <v>0</v>
      </c>
      <c r="J37" s="84">
        <f>'CBS (Total)'!J35/'CBS ($ per kW)'!J$1</f>
        <v>13.452914798206278</v>
      </c>
      <c r="K37" s="35">
        <f t="shared" si="0"/>
        <v>4.2182618420600525E-4</v>
      </c>
      <c r="L37" s="84">
        <f>'CBS (Total)'!L35/'CBS ($ per kW)'!L$1</f>
        <v>13.452914798206278</v>
      </c>
      <c r="M37" s="35">
        <f t="shared" si="1"/>
        <v>2.1733147694298809E-3</v>
      </c>
      <c r="N37" s="84">
        <f>'CBS (Total)'!N35/'CBS ($ per kW)'!N$1</f>
        <v>13.452914798206278</v>
      </c>
      <c r="O37" s="35">
        <f t="shared" si="2"/>
        <v>3.8182277302373038E-3</v>
      </c>
      <c r="P37" s="34">
        <f>'CBS (Total)'!P35/'CBS ($ per kW)'!P$1</f>
        <v>13.452914798206278</v>
      </c>
      <c r="Q37" s="36">
        <f t="shared" si="3"/>
        <v>4.2435804287187448E-3</v>
      </c>
    </row>
    <row r="38" spans="1:18" s="16" customFormat="1" outlineLevel="1" x14ac:dyDescent="0.25">
      <c r="A38" s="27" t="s">
        <v>46</v>
      </c>
      <c r="D38" s="16" t="s">
        <v>47</v>
      </c>
      <c r="I38" s="46">
        <f>'CBS (Total)'!I36</f>
        <v>0</v>
      </c>
      <c r="J38" s="84">
        <f>'CBS (Total)'!J36/'CBS ($ per kW)'!J$1</f>
        <v>0</v>
      </c>
      <c r="K38" s="35">
        <f t="shared" ref="K38:K55" si="4">J38/$J$57</f>
        <v>0</v>
      </c>
      <c r="L38" s="84">
        <f>'CBS (Total)'!L36/'CBS ($ per kW)'!L$1</f>
        <v>0</v>
      </c>
      <c r="M38" s="35">
        <f t="shared" ref="M38:M55" si="5">L38/$L$57</f>
        <v>0</v>
      </c>
      <c r="N38" s="84">
        <f>'CBS (Total)'!N36/'CBS ($ per kW)'!N$1</f>
        <v>0</v>
      </c>
      <c r="O38" s="35">
        <f t="shared" ref="O38:O55" si="6">N38/$N$57</f>
        <v>0</v>
      </c>
      <c r="P38" s="34">
        <f>'CBS (Total)'!P36/'CBS ($ per kW)'!P$1</f>
        <v>0</v>
      </c>
      <c r="Q38" s="36">
        <f t="shared" ref="Q38:Q55" si="7">P38/$P$57</f>
        <v>0</v>
      </c>
    </row>
    <row r="39" spans="1:18" s="16" customFormat="1" outlineLevel="1" x14ac:dyDescent="0.25">
      <c r="A39" s="27" t="s">
        <v>48</v>
      </c>
      <c r="D39" s="16" t="s">
        <v>62</v>
      </c>
      <c r="I39" s="46">
        <f>'CBS (Total)'!I37</f>
        <v>2.0018140589569158</v>
      </c>
      <c r="J39" s="84">
        <f>'CBS (Total)'!J37/'CBS ($ per kW)'!J$1</f>
        <v>143.98599999999999</v>
      </c>
      <c r="K39" s="35">
        <f t="shared" si="4"/>
        <v>4.5147884952920492E-3</v>
      </c>
      <c r="L39" s="84">
        <f>'CBS (Total)'!L37/'CBS ($ per kW)'!L$1</f>
        <v>128.79768638362637</v>
      </c>
      <c r="M39" s="35">
        <f t="shared" si="5"/>
        <v>2.0807231613721024E-2</v>
      </c>
      <c r="N39" s="84">
        <f>'CBS (Total)'!N37/'CBS ($ per kW)'!N$1</f>
        <v>119.14323350331887</v>
      </c>
      <c r="O39" s="35">
        <f t="shared" si="6"/>
        <v>3.3815422520416596E-2</v>
      </c>
      <c r="P39" s="34">
        <f>'CBS (Total)'!P37/'CBS ($ per kW)'!P$1</f>
        <v>115.21150679770933</v>
      </c>
      <c r="Q39" s="36">
        <f t="shared" si="7"/>
        <v>3.6342257625473391E-2</v>
      </c>
    </row>
    <row r="40" spans="1:18" s="16" customFormat="1" outlineLevel="1" x14ac:dyDescent="0.25">
      <c r="A40" s="27" t="s">
        <v>63</v>
      </c>
      <c r="D40" s="16" t="s">
        <v>64</v>
      </c>
      <c r="I40" s="46">
        <f>'CBS (Total)'!I38</f>
        <v>3.9909297052154193</v>
      </c>
      <c r="J40" s="84">
        <f>'CBS (Total)'!J38/'CBS ($ per kW)'!J$1</f>
        <v>212</v>
      </c>
      <c r="K40" s="35">
        <f t="shared" si="4"/>
        <v>6.6474182281743678E-3</v>
      </c>
      <c r="L40" s="84">
        <f>'CBS (Total)'!L38/'CBS ($ per kW)'!L$1</f>
        <v>189.63725301993802</v>
      </c>
      <c r="M40" s="35">
        <f t="shared" si="5"/>
        <v>3.0635847249794131E-2</v>
      </c>
      <c r="N40" s="84">
        <f>'CBS (Total)'!N38/'CBS ($ per kW)'!N$1</f>
        <v>175.42237094372788</v>
      </c>
      <c r="O40" s="35">
        <f t="shared" si="6"/>
        <v>4.9788657052271194E-2</v>
      </c>
      <c r="P40" s="34">
        <f>'CBS (Total)'!P38/'CBS ($ per kW)'!P$1</f>
        <v>169.63343270258486</v>
      </c>
      <c r="Q40" s="36">
        <f t="shared" si="7"/>
        <v>5.3509081553764673E-2</v>
      </c>
      <c r="R40" s="85"/>
    </row>
    <row r="41" spans="1:18" s="16" customFormat="1" outlineLevel="1" x14ac:dyDescent="0.25">
      <c r="A41" s="27" t="s">
        <v>69</v>
      </c>
      <c r="D41" s="16" t="s">
        <v>66</v>
      </c>
      <c r="I41" s="46">
        <f>'CBS (Total)'!I39</f>
        <v>5.1533786848072562</v>
      </c>
      <c r="J41" s="84">
        <f>'CBS (Total)'!J39/'CBS ($ per kW)'!J$1</f>
        <v>298.16399999999999</v>
      </c>
      <c r="K41" s="35">
        <f t="shared" si="4"/>
        <v>9.3491547574782174E-3</v>
      </c>
      <c r="L41" s="84">
        <f>'CBS (Total)'!L39/'CBS ($ per kW)'!L$1</f>
        <v>266.71227315772074</v>
      </c>
      <c r="M41" s="35">
        <f t="shared" si="5"/>
        <v>4.3087296034847254E-2</v>
      </c>
      <c r="N41" s="84">
        <f>'CBS (Total)'!N39/'CBS ($ per kW)'!N$1</f>
        <v>246.7199802361589</v>
      </c>
      <c r="O41" s="35">
        <f t="shared" si="6"/>
        <v>7.0024458213836738E-2</v>
      </c>
      <c r="P41" s="34">
        <f>'CBS (Total)'!P39/'CBS ($ per kW)'!P$1</f>
        <v>238.57822088836562</v>
      </c>
      <c r="Q41" s="36">
        <f t="shared" si="7"/>
        <v>7.5256989586776846E-2</v>
      </c>
    </row>
    <row r="42" spans="1:18" s="16" customFormat="1" outlineLevel="1" x14ac:dyDescent="0.25">
      <c r="A42" s="27" t="s">
        <v>70</v>
      </c>
      <c r="D42" s="16" t="s">
        <v>67</v>
      </c>
      <c r="I42" s="46">
        <f>'CBS (Total)'!I40</f>
        <v>0</v>
      </c>
      <c r="J42" s="84">
        <f>'CBS (Total)'!J40/'CBS ($ per kW)'!J$1</f>
        <v>0</v>
      </c>
      <c r="K42" s="35">
        <f t="shared" si="4"/>
        <v>0</v>
      </c>
      <c r="L42" s="84">
        <f>'CBS (Total)'!L40/'CBS ($ per kW)'!L$1</f>
        <v>0</v>
      </c>
      <c r="M42" s="35">
        <f t="shared" si="5"/>
        <v>0</v>
      </c>
      <c r="N42" s="84">
        <f>'CBS (Total)'!N40/'CBS ($ per kW)'!N$1</f>
        <v>0</v>
      </c>
      <c r="O42" s="35">
        <f t="shared" si="6"/>
        <v>0</v>
      </c>
      <c r="P42" s="34">
        <f>'CBS (Total)'!P40/'CBS ($ per kW)'!P$1</f>
        <v>0</v>
      </c>
      <c r="Q42" s="36">
        <f t="shared" si="7"/>
        <v>0</v>
      </c>
    </row>
    <row r="43" spans="1:18" s="16" customFormat="1" outlineLevel="1" x14ac:dyDescent="0.25">
      <c r="A43" s="27" t="s">
        <v>71</v>
      </c>
      <c r="D43" s="16" t="s">
        <v>72</v>
      </c>
      <c r="I43" s="46">
        <f>'CBS (Total)'!I41</f>
        <v>2.56</v>
      </c>
      <c r="J43" s="84">
        <f>'CBS (Total)'!J41/'CBS ($ per kW)'!J$1</f>
        <v>67.74607533632286</v>
      </c>
      <c r="K43" s="35">
        <f t="shared" si="4"/>
        <v>2.1242287550846534E-3</v>
      </c>
      <c r="L43" s="84">
        <f>'CBS (Total)'!L41/'CBS ($ per kW)'!L$1</f>
        <v>32.685567788384098</v>
      </c>
      <c r="M43" s="35">
        <f t="shared" si="5"/>
        <v>5.2803446901461236E-3</v>
      </c>
      <c r="N43" s="84">
        <f>'CBS (Total)'!N41/'CBS ($ per kW)'!N$1</f>
        <v>19.638683958374184</v>
      </c>
      <c r="O43" s="35">
        <f t="shared" si="6"/>
        <v>5.5738825971921573E-3</v>
      </c>
      <c r="P43" s="34">
        <f>'CBS (Total)'!P41/'CBS ($ per kW)'!P$1</f>
        <v>15.769863218574461</v>
      </c>
      <c r="Q43" s="36">
        <f t="shared" si="7"/>
        <v>4.9744374302316203E-3</v>
      </c>
    </row>
    <row r="44" spans="1:18" s="16" customFormat="1" outlineLevel="1" x14ac:dyDescent="0.25">
      <c r="A44" s="27" t="s">
        <v>73</v>
      </c>
      <c r="D44" s="16" t="s">
        <v>99</v>
      </c>
      <c r="I44" s="46">
        <f>'CBS (Total)'!I42</f>
        <v>0</v>
      </c>
      <c r="J44" s="84">
        <f>'CBS (Total)'!J42/'CBS ($ per kW)'!J$1</f>
        <v>0</v>
      </c>
      <c r="K44" s="35">
        <f t="shared" si="4"/>
        <v>0</v>
      </c>
      <c r="L44" s="84">
        <f>'CBS (Total)'!L42/'CBS ($ per kW)'!L$1</f>
        <v>0</v>
      </c>
      <c r="M44" s="35">
        <f t="shared" si="5"/>
        <v>0</v>
      </c>
      <c r="N44" s="84">
        <f>'CBS (Total)'!N42/'CBS ($ per kW)'!N$1</f>
        <v>0</v>
      </c>
      <c r="O44" s="35">
        <f t="shared" si="6"/>
        <v>0</v>
      </c>
      <c r="P44" s="34">
        <f>'CBS (Total)'!P42/'CBS ($ per kW)'!P$1</f>
        <v>68.588722431497928</v>
      </c>
      <c r="Q44" s="36">
        <f t="shared" si="7"/>
        <v>2.1635590837157104E-2</v>
      </c>
    </row>
    <row r="45" spans="1:18" s="16" customFormat="1" outlineLevel="1" x14ac:dyDescent="0.25">
      <c r="A45" s="27" t="s">
        <v>100</v>
      </c>
      <c r="D45" s="16" t="s">
        <v>18</v>
      </c>
      <c r="I45" s="86"/>
      <c r="J45" s="84">
        <f>'CBS (Total)'!J43/'CBS ($ per kW)'!J$1</f>
        <v>153.93799999999999</v>
      </c>
      <c r="K45" s="35">
        <f t="shared" si="4"/>
        <v>4.8268408830599331E-3</v>
      </c>
      <c r="L45" s="84">
        <f>'CBS (Total)'!L43/'CBS ($ per kW)'!L$1</f>
        <v>137.69990309143029</v>
      </c>
      <c r="M45" s="35">
        <f t="shared" si="5"/>
        <v>2.2245382329900046E-2</v>
      </c>
      <c r="N45" s="84">
        <f>'CBS (Total)'!N43/'CBS ($ per kW)'!N$1</f>
        <v>127.37815536950747</v>
      </c>
      <c r="O45" s="35">
        <f t="shared" si="6"/>
        <v>3.6152671176002467E-2</v>
      </c>
      <c r="P45" s="34">
        <f>'CBS (Total)'!P43/'CBS ($ per kW)'!P$1</f>
        <v>123.17467624231371</v>
      </c>
      <c r="Q45" s="36">
        <f t="shared" si="7"/>
        <v>3.885415564256333E-2</v>
      </c>
    </row>
    <row r="46" spans="1:18" s="15" customFormat="1" x14ac:dyDescent="0.25">
      <c r="A46" s="23">
        <v>1.6</v>
      </c>
      <c r="C46" s="15" t="s">
        <v>76</v>
      </c>
      <c r="I46" s="26"/>
      <c r="J46" s="83">
        <f>'CBS (Total)'!J44/'CBS ($ per kW)'!J$1</f>
        <v>285.43941538159351</v>
      </c>
      <c r="K46" s="31">
        <f t="shared" si="4"/>
        <v>8.9501659096558484E-3</v>
      </c>
      <c r="L46" s="83">
        <f>'CBS (Total)'!L44/'CBS ($ per kW)'!L$1</f>
        <v>229.46684212185028</v>
      </c>
      <c r="M46" s="31">
        <f t="shared" si="5"/>
        <v>3.7070306662786996E-2</v>
      </c>
      <c r="N46" s="83">
        <f>'CBS (Total)'!N44/'CBS ($ per kW)'!N$1</f>
        <v>207.38734211666002</v>
      </c>
      <c r="O46" s="31">
        <f t="shared" si="6"/>
        <v>5.8861006142373121E-2</v>
      </c>
      <c r="P46" s="233">
        <f>'CBS (Total)'!P44/'CBS ($ per kW)'!P$1</f>
        <v>207.07389113896201</v>
      </c>
      <c r="Q46" s="37">
        <f t="shared" si="7"/>
        <v>6.5319280239037839E-2</v>
      </c>
    </row>
    <row r="47" spans="1:18" s="15" customFormat="1" x14ac:dyDescent="0.25">
      <c r="A47" s="23">
        <v>1.7</v>
      </c>
      <c r="C47" s="15" t="s">
        <v>49</v>
      </c>
      <c r="I47" s="26"/>
      <c r="J47" s="83">
        <f>'CBS (Total)'!J45/'CBS ($ per kW)'!J$1</f>
        <v>8337.7433482810175</v>
      </c>
      <c r="K47" s="31">
        <f t="shared" si="4"/>
        <v>0.26143616563774918</v>
      </c>
      <c r="L47" s="83">
        <f>'CBS (Total)'!L45/'CBS ($ per kW)'!L$1</f>
        <v>1107.1218236173393</v>
      </c>
      <c r="M47" s="31">
        <f t="shared" si="5"/>
        <v>0.17885523300471087</v>
      </c>
      <c r="N47" s="83">
        <f>'CBS (Total)'!N45/'CBS ($ per kW)'!N$1</f>
        <v>470.16614060762333</v>
      </c>
      <c r="O47" s="31">
        <f t="shared" si="6"/>
        <v>0.13344330376090979</v>
      </c>
      <c r="P47" s="233">
        <f>'CBS (Total)'!P45/'CBS ($ per kW)'!P$1</f>
        <v>360.21914155500747</v>
      </c>
      <c r="Q47" s="37">
        <f t="shared" si="7"/>
        <v>0.11362733817035046</v>
      </c>
    </row>
    <row r="48" spans="1:18" s="16" customFormat="1" outlineLevel="1" x14ac:dyDescent="0.25">
      <c r="A48" s="27" t="s">
        <v>77</v>
      </c>
      <c r="D48" s="16" t="s">
        <v>50</v>
      </c>
      <c r="I48" s="24"/>
      <c r="J48" s="84">
        <f>'CBS (Total)'!J46/'CBS ($ per kW)'!J$1</f>
        <v>0</v>
      </c>
      <c r="K48" s="35">
        <f t="shared" si="4"/>
        <v>0</v>
      </c>
      <c r="L48" s="84">
        <f>'CBS (Total)'!L46/'CBS ($ per kW)'!L$1</f>
        <v>0</v>
      </c>
      <c r="M48" s="35">
        <f t="shared" si="5"/>
        <v>0</v>
      </c>
      <c r="N48" s="84">
        <f>'CBS (Total)'!N46/'CBS ($ per kW)'!N$1</f>
        <v>0</v>
      </c>
      <c r="O48" s="35">
        <f t="shared" si="6"/>
        <v>0</v>
      </c>
      <c r="P48" s="34">
        <f>'CBS (Total)'!P46/'CBS ($ per kW)'!P$1</f>
        <v>0</v>
      </c>
      <c r="Q48" s="36">
        <f t="shared" si="7"/>
        <v>0</v>
      </c>
    </row>
    <row r="49" spans="1:19" s="16" customFormat="1" outlineLevel="1" x14ac:dyDescent="0.25">
      <c r="A49" s="27" t="s">
        <v>78</v>
      </c>
      <c r="D49" s="16" t="s">
        <v>51</v>
      </c>
      <c r="I49" s="24"/>
      <c r="J49" s="84">
        <f>'CBS (Total)'!J47/'CBS ($ per kW)'!J$1</f>
        <v>598.20627802690581</v>
      </c>
      <c r="K49" s="35">
        <f t="shared" si="4"/>
        <v>1.8757204324360365E-2</v>
      </c>
      <c r="L49" s="84">
        <f>'CBS (Total)'!L47/'CBS ($ per kW)'!L$1</f>
        <v>68.807174887892373</v>
      </c>
      <c r="M49" s="35">
        <f t="shared" si="5"/>
        <v>1.1115780607377364E-2</v>
      </c>
      <c r="N49" s="84">
        <f>'CBS (Total)'!N47/'CBS ($ per kW)'!N$1</f>
        <v>27.515695067264573</v>
      </c>
      <c r="O49" s="35">
        <f t="shared" si="6"/>
        <v>7.809548450912032E-3</v>
      </c>
      <c r="P49" s="34">
        <f>'CBS (Total)'!P47/'CBS ($ per kW)'!P$1</f>
        <v>20.642152466367712</v>
      </c>
      <c r="Q49" s="36">
        <f t="shared" si="7"/>
        <v>6.5113498098260418E-3</v>
      </c>
    </row>
    <row r="50" spans="1:19" s="16" customFormat="1" outlineLevel="1" x14ac:dyDescent="0.25">
      <c r="A50" s="27" t="s">
        <v>79</v>
      </c>
      <c r="D50" s="16" t="s">
        <v>75</v>
      </c>
      <c r="I50" s="24"/>
      <c r="J50" s="84">
        <f>'CBS (Total)'!J48/'CBS ($ per kW)'!J$1</f>
        <v>5496.5881913303447</v>
      </c>
      <c r="K50" s="35">
        <f t="shared" si="4"/>
        <v>0.17234962516894958</v>
      </c>
      <c r="L50" s="84">
        <f>'CBS (Total)'!L48/'CBS ($ per kW)'!L$1</f>
        <v>603.91778774289992</v>
      </c>
      <c r="M50" s="35">
        <f t="shared" si="5"/>
        <v>9.7562756273314441E-2</v>
      </c>
      <c r="N50" s="84">
        <f>'CBS (Total)'!N48/'CBS ($ per kW)'!N$1</f>
        <v>169.01376392600895</v>
      </c>
      <c r="O50" s="35">
        <f t="shared" si="6"/>
        <v>4.7969755989245771E-2</v>
      </c>
      <c r="P50" s="34">
        <f>'CBS (Total)'!P48/'CBS ($ per kW)'!P$1</f>
        <v>114.65074693617341</v>
      </c>
      <c r="Q50" s="36">
        <f t="shared" si="7"/>
        <v>3.6165371827167274E-2</v>
      </c>
    </row>
    <row r="51" spans="1:19" s="16" customFormat="1" outlineLevel="1" x14ac:dyDescent="0.25">
      <c r="A51" s="27" t="s">
        <v>80</v>
      </c>
      <c r="D51" s="16" t="s">
        <v>12</v>
      </c>
      <c r="I51" s="24"/>
      <c r="J51" s="84">
        <f>'CBS (Total)'!J49/'CBS ($ per kW)'!J$1</f>
        <v>1460.6937219730942</v>
      </c>
      <c r="K51" s="35">
        <f t="shared" si="4"/>
        <v>4.5801141854829287E-2</v>
      </c>
      <c r="L51" s="84">
        <f>'CBS (Total)'!L49/'CBS ($ per kW)'!L$1</f>
        <v>255.66152466367714</v>
      </c>
      <c r="M51" s="35">
        <f t="shared" si="5"/>
        <v>4.1302050586138825E-2</v>
      </c>
      <c r="N51" s="84">
        <f>'CBS (Total)'!N49/'CBS ($ per kW)'!N$1</f>
        <v>148.54755156950674</v>
      </c>
      <c r="O51" s="35">
        <f t="shared" si="6"/>
        <v>4.2161002962508291E-2</v>
      </c>
      <c r="P51" s="34">
        <f>'CBS (Total)'!P49/'CBS ($ per kW)'!P$1</f>
        <v>102.68655605381166</v>
      </c>
      <c r="Q51" s="36">
        <f t="shared" si="7"/>
        <v>3.2391393694144753E-2</v>
      </c>
    </row>
    <row r="52" spans="1:19" s="16" customFormat="1" outlineLevel="1" x14ac:dyDescent="0.25">
      <c r="A52" s="27" t="s">
        <v>81</v>
      </c>
      <c r="D52" s="16" t="s">
        <v>52</v>
      </c>
      <c r="I52" s="24"/>
      <c r="J52" s="84">
        <f>'CBS (Total)'!J50/'CBS ($ per kW)'!J$1</f>
        <v>782.2551569506727</v>
      </c>
      <c r="K52" s="35">
        <f t="shared" si="4"/>
        <v>2.4528194289609919E-2</v>
      </c>
      <c r="L52" s="84">
        <f>'CBS (Total)'!L50/'CBS ($ per kW)'!L$1</f>
        <v>178.73533632286995</v>
      </c>
      <c r="M52" s="35">
        <f t="shared" si="5"/>
        <v>2.8874645537880269E-2</v>
      </c>
      <c r="N52" s="84">
        <f>'CBS (Total)'!N50/'CBS ($ per kW)'!N$1</f>
        <v>125.08913004484305</v>
      </c>
      <c r="O52" s="35">
        <f t="shared" si="6"/>
        <v>3.550299635824368E-2</v>
      </c>
      <c r="P52" s="34">
        <f>'CBS (Total)'!P50/'CBS ($ per kW)'!P$1</f>
        <v>122.23968609865472</v>
      </c>
      <c r="Q52" s="36">
        <f t="shared" si="7"/>
        <v>3.8559222839212398E-2</v>
      </c>
    </row>
    <row r="53" spans="1:19" s="16" customFormat="1" outlineLevel="1" x14ac:dyDescent="0.25">
      <c r="A53" s="27" t="s">
        <v>82</v>
      </c>
      <c r="D53" s="16" t="s">
        <v>53</v>
      </c>
      <c r="I53" s="24"/>
      <c r="J53" s="84">
        <f>'CBS (Total)'!J51/'CBS ($ per kW)'!J$1</f>
        <v>0</v>
      </c>
      <c r="K53" s="35">
        <f t="shared" si="4"/>
        <v>0</v>
      </c>
      <c r="L53" s="84">
        <f>'CBS (Total)'!L51/'CBS ($ per kW)'!L$1</f>
        <v>0</v>
      </c>
      <c r="M53" s="35">
        <f t="shared" si="5"/>
        <v>0</v>
      </c>
      <c r="N53" s="84">
        <f>'CBS (Total)'!N51/'CBS ($ per kW)'!N$1</f>
        <v>0</v>
      </c>
      <c r="O53" s="35">
        <f t="shared" si="6"/>
        <v>0</v>
      </c>
      <c r="P53" s="34">
        <f>'CBS (Total)'!P51/'CBS ($ per kW)'!P$1</f>
        <v>0</v>
      </c>
      <c r="Q53" s="36">
        <f t="shared" si="7"/>
        <v>0</v>
      </c>
    </row>
    <row r="54" spans="1:19" s="26" customFormat="1" x14ac:dyDescent="0.25">
      <c r="A54" s="38">
        <v>1.8</v>
      </c>
      <c r="C54" s="26" t="s">
        <v>105</v>
      </c>
      <c r="J54" s="83">
        <f>'CBS (Total)'!J52/'CBS ($ per kW)'!J$1</f>
        <v>8337.7433482810175</v>
      </c>
      <c r="K54" s="31">
        <f t="shared" si="4"/>
        <v>0.26143616563774918</v>
      </c>
      <c r="L54" s="83">
        <f>'CBS (Total)'!L52/'CBS ($ per kW)'!L$1</f>
        <v>1107.1218236173393</v>
      </c>
      <c r="M54" s="31">
        <f t="shared" si="5"/>
        <v>0.17885523300471087</v>
      </c>
      <c r="N54" s="83">
        <f>'CBS (Total)'!N52/'CBS ($ per kW)'!N$1</f>
        <v>470.16614060762333</v>
      </c>
      <c r="O54" s="31">
        <f t="shared" si="6"/>
        <v>0.13344330376090979</v>
      </c>
      <c r="P54" s="233">
        <f>'CBS (Total)'!P52/'CBS ($ per kW)'!P$1</f>
        <v>360.21914155500747</v>
      </c>
      <c r="Q54" s="37">
        <f t="shared" si="7"/>
        <v>0.11362733817035046</v>
      </c>
    </row>
    <row r="55" spans="1:19" s="26" customFormat="1" x14ac:dyDescent="0.25">
      <c r="A55" s="299">
        <v>1.9</v>
      </c>
      <c r="C55" s="26" t="s">
        <v>104</v>
      </c>
      <c r="J55" s="83">
        <f>'CBS (Total)'!J53/'CBS ($ per kW)'!J$1</f>
        <v>2899.2800830617052</v>
      </c>
      <c r="K55" s="31">
        <f t="shared" si="4"/>
        <v>9.0909090909090925E-2</v>
      </c>
      <c r="L55" s="83">
        <f>'CBS (Total)'!L53/'CBS ($ per kW)'!L$1</f>
        <v>562.73130408220288</v>
      </c>
      <c r="M55" s="31">
        <f t="shared" si="5"/>
        <v>9.0909090909090912E-2</v>
      </c>
      <c r="N55" s="83">
        <f>'CBS (Total)'!N53/'CBS ($ per kW)'!N$1</f>
        <v>320.30364367669074</v>
      </c>
      <c r="O55" s="31">
        <f t="shared" si="6"/>
        <v>9.0909090909090912E-2</v>
      </c>
      <c r="P55" s="233">
        <f>'CBS (Total)'!P53/'CBS ($ per kW)'!P$1</f>
        <v>288.19820312717485</v>
      </c>
      <c r="Q55" s="37">
        <f t="shared" si="7"/>
        <v>9.0909090909090884E-2</v>
      </c>
    </row>
    <row r="56" spans="1:19" outlineLevel="1" x14ac:dyDescent="0.25">
      <c r="I56" s="17"/>
      <c r="J56" s="83"/>
      <c r="K56" s="31"/>
      <c r="L56" s="83"/>
      <c r="M56" s="31"/>
      <c r="N56" s="83"/>
      <c r="O56" s="31"/>
      <c r="P56" s="233"/>
      <c r="Q56" s="37"/>
    </row>
    <row r="57" spans="1:19" outlineLevel="1" x14ac:dyDescent="0.25">
      <c r="A57" s="87" t="s">
        <v>221</v>
      </c>
      <c r="B57" s="88"/>
      <c r="C57" s="88"/>
      <c r="D57" s="88"/>
      <c r="E57" s="88"/>
      <c r="F57" s="88"/>
      <c r="G57" s="88"/>
      <c r="H57" s="88"/>
      <c r="I57" s="301">
        <f>I31+I26</f>
        <v>306.95541950113375</v>
      </c>
      <c r="J57" s="89">
        <f>'CBS (Total)'!J55/'CBS ($ per kW)'!J$1</f>
        <v>31892.080913678754</v>
      </c>
      <c r="K57" s="92">
        <f t="shared" ref="K57" si="8">J57/$J$57</f>
        <v>1</v>
      </c>
      <c r="L57" s="89">
        <f>'CBS (Total)'!L55/'CBS ($ per kW)'!L$1</f>
        <v>6190.0443449042314</v>
      </c>
      <c r="M57" s="92">
        <f t="shared" ref="M57" si="9">L57/$L$57</f>
        <v>1</v>
      </c>
      <c r="N57" s="89">
        <f>'CBS (Total)'!N55/'CBS ($ per kW)'!N$1</f>
        <v>3523.3400804435978</v>
      </c>
      <c r="O57" s="92">
        <f t="shared" ref="O57" si="10">N57/$N$57</f>
        <v>1</v>
      </c>
      <c r="P57" s="302">
        <f>'CBS (Total)'!P55/'CBS ($ per kW)'!P$1</f>
        <v>3170.1802343989243</v>
      </c>
      <c r="Q57" s="93">
        <f t="shared" ref="Q57" si="11">P57/$P$57</f>
        <v>1</v>
      </c>
    </row>
    <row r="58" spans="1:19" outlineLevel="1" x14ac:dyDescent="0.25">
      <c r="I58" s="17"/>
      <c r="J58" s="83"/>
      <c r="K58" s="28"/>
      <c r="L58" s="83"/>
      <c r="M58" s="28"/>
      <c r="N58" s="83"/>
      <c r="O58" s="28"/>
      <c r="P58" s="233"/>
      <c r="Q58" s="17"/>
    </row>
    <row r="59" spans="1:19" s="15" customFormat="1" x14ac:dyDescent="0.25">
      <c r="A59" s="23">
        <v>2</v>
      </c>
      <c r="B59" s="15" t="s">
        <v>60</v>
      </c>
      <c r="I59" s="26"/>
      <c r="J59" s="233">
        <f>'CBS (Total)'!J57/'CBS ($ per kW)'!J$1</f>
        <v>1434.5532103478147</v>
      </c>
      <c r="K59" s="37">
        <f>J59/$J$57</f>
        <v>4.4981486602604349E-2</v>
      </c>
      <c r="L59" s="233">
        <f>'CBS (Total)'!L57/'CBS ($ per kW)'!L$1</f>
        <v>298.94435208346999</v>
      </c>
      <c r="M59" s="37">
        <f>L59/$L$57</f>
        <v>4.8294379721135115E-2</v>
      </c>
      <c r="N59" s="233">
        <f>'CBS (Total)'!N57/'CBS ($ per kW)'!N$1</f>
        <v>110.78099199000559</v>
      </c>
      <c r="O59" s="37">
        <f>N59/$N$57</f>
        <v>3.1442037799558072E-2</v>
      </c>
      <c r="P59" s="233">
        <f>'CBS (Total)'!P57/'CBS ($ per kW)'!P$1</f>
        <v>84.943379141109219</v>
      </c>
      <c r="Q59" s="37">
        <f>P59/$P$57</f>
        <v>2.6794495221251904E-2</v>
      </c>
    </row>
    <row r="60" spans="1:19" outlineLevel="1" x14ac:dyDescent="0.25">
      <c r="A60" s="12">
        <v>2.1</v>
      </c>
      <c r="C60" s="22" t="s">
        <v>54</v>
      </c>
      <c r="I60" s="17"/>
      <c r="J60" s="233">
        <f>'CBS (Total)'!J58/'CBS ($ per kW)'!J$1</f>
        <v>489.52700023297911</v>
      </c>
      <c r="K60" s="36">
        <f t="shared" ref="K60:K65" si="12">J60/$J$57</f>
        <v>1.5349484455340677E-2</v>
      </c>
      <c r="L60" s="233">
        <f>'CBS (Total)'!L58/'CBS ($ per kW)'!L$1</f>
        <v>98.861826940947566</v>
      </c>
      <c r="M60" s="36">
        <f t="shared" ref="M60:M65" si="13">L60/$L$57</f>
        <v>1.5971101567686281E-2</v>
      </c>
      <c r="N60" s="233">
        <f>'CBS (Total)'!N58/'CBS ($ per kW)'!N$1</f>
        <v>30.253159083751886</v>
      </c>
      <c r="O60" s="36">
        <f t="shared" ref="O60:O65" si="14">N60/$N$57</f>
        <v>8.5864998532707449E-3</v>
      </c>
      <c r="P60" s="233">
        <f>'CBS (Total)'!P58/'CBS ($ per kW)'!P$1</f>
        <v>13.909666088130949</v>
      </c>
      <c r="Q60" s="32">
        <f t="shared" ref="Q60:Q65" si="15">P60/$P$57</f>
        <v>4.387657817432662E-3</v>
      </c>
    </row>
    <row r="61" spans="1:19" outlineLevel="1" x14ac:dyDescent="0.25">
      <c r="A61" s="12">
        <v>2.2000000000000002</v>
      </c>
      <c r="C61" s="22" t="s">
        <v>55</v>
      </c>
      <c r="I61" s="17"/>
      <c r="J61" s="233">
        <f>'CBS (Total)'!J59/'CBS ($ per kW)'!J$1</f>
        <v>600.89686098654704</v>
      </c>
      <c r="K61" s="36">
        <f t="shared" si="12"/>
        <v>1.8841569561201567E-2</v>
      </c>
      <c r="L61" s="233">
        <f>'CBS (Total)'!L59/'CBS ($ per kW)'!L$1</f>
        <v>88.139013452914796</v>
      </c>
      <c r="M61" s="36">
        <f t="shared" si="13"/>
        <v>1.4238833931048103E-2</v>
      </c>
      <c r="N61" s="233">
        <f>'CBS (Total)'!N59/'CBS ($ per kW)'!N$1</f>
        <v>17.627802690582961</v>
      </c>
      <c r="O61" s="36">
        <f t="shared" si="14"/>
        <v>5.0031510691876139E-3</v>
      </c>
      <c r="P61" s="233">
        <f>'CBS (Total)'!P59/'CBS ($ per kW)'!P$1</f>
        <v>8.8139013452914803</v>
      </c>
      <c r="Q61" s="32">
        <f t="shared" si="15"/>
        <v>2.7802524442155645E-3</v>
      </c>
      <c r="R61" s="4"/>
      <c r="S61" s="4"/>
    </row>
    <row r="62" spans="1:19" outlineLevel="1" x14ac:dyDescent="0.25">
      <c r="A62" s="12">
        <v>2.2999999999999998</v>
      </c>
      <c r="C62" s="22" t="s">
        <v>56</v>
      </c>
      <c r="I62" s="17"/>
      <c r="J62" s="233">
        <f>'CBS (Total)'!J60/'CBS ($ per kW)'!J$1</f>
        <v>55.033829596412573</v>
      </c>
      <c r="K62" s="36">
        <f t="shared" si="12"/>
        <v>1.7256268020067686E-3</v>
      </c>
      <c r="L62" s="233">
        <f>'CBS (Total)'!L60/'CBS ($ per kW)'!L$1</f>
        <v>55.033829596412573</v>
      </c>
      <c r="M62" s="36">
        <f t="shared" si="13"/>
        <v>8.8907003778926925E-3</v>
      </c>
      <c r="N62" s="233">
        <f>'CBS (Total)'!N60/'CBS ($ per kW)'!N$1</f>
        <v>27.516914798206287</v>
      </c>
      <c r="O62" s="36">
        <f t="shared" si="14"/>
        <v>7.8098946368929095E-3</v>
      </c>
      <c r="P62" s="233">
        <f>'CBS (Total)'!P60/'CBS ($ per kW)'!P$1</f>
        <v>27.516914798206287</v>
      </c>
      <c r="Q62" s="32">
        <f t="shared" si="15"/>
        <v>8.6799212548316126E-3</v>
      </c>
      <c r="R62" s="19"/>
      <c r="S62" s="19"/>
    </row>
    <row r="63" spans="1:19" outlineLevel="1" x14ac:dyDescent="0.25">
      <c r="A63" s="12">
        <v>2.4</v>
      </c>
      <c r="C63" s="22" t="s">
        <v>57</v>
      </c>
      <c r="I63" s="17"/>
      <c r="J63" s="233">
        <f>'CBS (Total)'!J61/'CBS ($ per kW)'!J$1</f>
        <v>251.06367713004485</v>
      </c>
      <c r="K63" s="36">
        <f t="shared" si="12"/>
        <v>7.872288980126152E-3</v>
      </c>
      <c r="L63" s="233">
        <f>'CBS (Total)'!L61/'CBS ($ per kW)'!L$1</f>
        <v>25.106367713004484</v>
      </c>
      <c r="M63" s="36">
        <f t="shared" si="13"/>
        <v>4.0559269553008207E-3</v>
      </c>
      <c r="N63" s="233">
        <f>'CBS (Total)'!N61/'CBS ($ per kW)'!N$1</f>
        <v>6.0034439461883409</v>
      </c>
      <c r="O63" s="36">
        <f t="shared" si="14"/>
        <v>1.7039070339847783E-3</v>
      </c>
      <c r="P63" s="233">
        <f>'CBS (Total)'!P61/'CBS ($ per kW)'!P$1</f>
        <v>4.9742959641255604</v>
      </c>
      <c r="Q63" s="32">
        <f t="shared" si="15"/>
        <v>1.5690893250013282E-3</v>
      </c>
    </row>
    <row r="64" spans="1:19" outlineLevel="1" x14ac:dyDescent="0.25">
      <c r="A64" s="2">
        <v>2.5</v>
      </c>
      <c r="C64" s="22" t="s">
        <v>58</v>
      </c>
      <c r="I64" s="17"/>
      <c r="J64" s="233">
        <f>'CBS (Total)'!J62/'CBS ($ per kW)'!J$1</f>
        <v>36.350842401831116</v>
      </c>
      <c r="K64" s="36">
        <f t="shared" si="12"/>
        <v>1.1398077942991788E-3</v>
      </c>
      <c r="L64" s="233">
        <f>'CBS (Total)'!L62/'CBS ($ per kW)'!L$1</f>
        <v>30.122314380190588</v>
      </c>
      <c r="M64" s="36">
        <f>L64/$L$57</f>
        <v>4.8662517910696198E-3</v>
      </c>
      <c r="N64" s="233">
        <f>'CBS (Total)'!N62/'CBS ($ per kW)'!N$1</f>
        <v>27.698671471276114</v>
      </c>
      <c r="O64" s="36">
        <f t="shared" si="14"/>
        <v>7.8614811056753782E-3</v>
      </c>
      <c r="P64" s="233">
        <f>'CBS (Total)'!P62/'CBS ($ per kW)'!P$1</f>
        <v>28.04760094535494</v>
      </c>
      <c r="Q64" s="32">
        <f t="shared" si="15"/>
        <v>8.8473206163538053E-3</v>
      </c>
    </row>
    <row r="65" spans="1:17" outlineLevel="1" x14ac:dyDescent="0.25">
      <c r="A65" s="12">
        <v>2.6</v>
      </c>
      <c r="C65" s="22" t="s">
        <v>59</v>
      </c>
      <c r="I65" s="17"/>
      <c r="J65" s="233">
        <f>'CBS (Total)'!J63/'CBS ($ per kW)'!J$1</f>
        <v>1.681</v>
      </c>
      <c r="K65" s="36">
        <f t="shared" si="12"/>
        <v>5.2709009630005248E-5</v>
      </c>
      <c r="L65" s="233">
        <f>'CBS (Total)'!L63/'CBS ($ per kW)'!L$1</f>
        <v>1.681</v>
      </c>
      <c r="M65" s="36">
        <f t="shared" si="13"/>
        <v>2.7156509813759785E-4</v>
      </c>
      <c r="N65" s="233">
        <f>'CBS (Total)'!N63/'CBS ($ per kW)'!N$1</f>
        <v>1.681</v>
      </c>
      <c r="O65" s="36">
        <f t="shared" si="14"/>
        <v>4.7710410054664881E-4</v>
      </c>
      <c r="P65" s="233">
        <f>'CBS (Total)'!P63/'CBS ($ per kW)'!P$1</f>
        <v>1.681</v>
      </c>
      <c r="Q65" s="32">
        <f t="shared" si="15"/>
        <v>5.3025376341693162E-4</v>
      </c>
    </row>
    <row r="66" spans="1:17" x14ac:dyDescent="0.25">
      <c r="I66" s="17"/>
      <c r="J66" s="83"/>
      <c r="K66" s="24"/>
      <c r="L66" s="83"/>
      <c r="M66" s="24"/>
      <c r="N66" s="83"/>
      <c r="O66" s="24"/>
      <c r="P66" s="233"/>
      <c r="Q66" s="17"/>
    </row>
    <row r="67" spans="1:17" s="15" customFormat="1" x14ac:dyDescent="0.25">
      <c r="A67" s="87" t="s">
        <v>176</v>
      </c>
      <c r="B67" s="88"/>
      <c r="C67" s="88"/>
      <c r="D67" s="88"/>
      <c r="E67" s="88"/>
      <c r="F67" s="88"/>
      <c r="G67" s="88"/>
      <c r="H67" s="88"/>
      <c r="I67" s="88"/>
      <c r="J67" s="89">
        <f>'CBS (Total)'!J65/'CBS ($ per kW)'!J$1</f>
        <v>1434.5532103478147</v>
      </c>
      <c r="K67" s="90">
        <f t="shared" ref="K67:Q67" si="16">SUM(K60:K65)</f>
        <v>4.4981486602604349E-2</v>
      </c>
      <c r="L67" s="89">
        <f>'CBS (Total)'!L65/'CBS ($ per kW)'!L$1</f>
        <v>298.94435208346999</v>
      </c>
      <c r="M67" s="90">
        <f t="shared" si="16"/>
        <v>4.8294379721135115E-2</v>
      </c>
      <c r="N67" s="89">
        <f>'CBS (Total)'!N65/'CBS ($ per kW)'!N$1</f>
        <v>110.78099199000559</v>
      </c>
      <c r="O67" s="90">
        <f t="shared" si="16"/>
        <v>3.1442037799558072E-2</v>
      </c>
      <c r="P67" s="302">
        <f>'CBS (Total)'!P65/'CBS ($ per kW)'!P$1</f>
        <v>84.943379141109219</v>
      </c>
      <c r="Q67" s="90">
        <f t="shared" si="16"/>
        <v>2.6794495221251904E-2</v>
      </c>
    </row>
    <row r="68" spans="1:17" x14ac:dyDescent="0.25">
      <c r="J68" s="4"/>
      <c r="K68" s="28"/>
      <c r="L68" s="4"/>
      <c r="M68" s="28"/>
      <c r="N68" s="4"/>
      <c r="O68" s="28"/>
      <c r="P68" s="4"/>
    </row>
    <row r="69" spans="1:17" x14ac:dyDescent="0.25">
      <c r="J69" s="17"/>
      <c r="K69" s="24"/>
      <c r="L69" s="17"/>
      <c r="M69" s="24"/>
      <c r="N69" s="17"/>
      <c r="O69" s="24"/>
      <c r="P69" s="17"/>
    </row>
  </sheetData>
  <mergeCells count="1">
    <mergeCell ref="J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7"/>
  <sheetViews>
    <sheetView tabSelected="1" zoomScale="70" zoomScaleNormal="7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D25" sqref="D25:D28"/>
    </sheetView>
  </sheetViews>
  <sheetFormatPr defaultRowHeight="15" outlineLevelRow="2" x14ac:dyDescent="0.25"/>
  <cols>
    <col min="1" max="1" width="8.42578125" style="1" customWidth="1"/>
    <col min="2" max="2" width="3.85546875" customWidth="1"/>
    <col min="3" max="4" width="4.140625" customWidth="1"/>
    <col min="8" max="8" width="20.28515625" customWidth="1"/>
    <col min="9" max="9" width="20.28515625" style="10" customWidth="1"/>
    <col min="10" max="10" width="19.5703125" bestFit="1" customWidth="1"/>
    <col min="11" max="11" width="10.140625" style="16" customWidth="1"/>
    <col min="12" max="12" width="20.42578125" bestFit="1" customWidth="1"/>
    <col min="13" max="13" width="10.140625" style="16" customWidth="1"/>
    <col min="14" max="14" width="22.7109375" bestFit="1" customWidth="1"/>
    <col min="15" max="15" width="11.5703125" style="16" customWidth="1"/>
    <col min="16" max="16" width="22.7109375" customWidth="1"/>
    <col min="17" max="17" width="11" customWidth="1"/>
    <col min="18" max="18" width="17.140625" bestFit="1" customWidth="1"/>
    <col min="19" max="19" width="16.85546875" bestFit="1" customWidth="1"/>
    <col min="20" max="22" width="13.28515625" bestFit="1" customWidth="1"/>
    <col min="23" max="23" width="15" bestFit="1" customWidth="1"/>
    <col min="24" max="24" width="11.140625" bestFit="1" customWidth="1"/>
  </cols>
  <sheetData>
    <row r="1" spans="1:19" x14ac:dyDescent="0.25">
      <c r="A1" s="3" t="s">
        <v>220</v>
      </c>
      <c r="I1" s="15"/>
      <c r="J1" s="326" t="s">
        <v>68</v>
      </c>
      <c r="K1" s="326"/>
      <c r="L1" s="326"/>
      <c r="M1" s="326"/>
      <c r="N1" s="326"/>
      <c r="O1" s="326"/>
      <c r="P1" s="326"/>
      <c r="Q1" s="15"/>
    </row>
    <row r="2" spans="1:19" x14ac:dyDescent="0.25">
      <c r="I2" s="15" t="s">
        <v>96</v>
      </c>
      <c r="J2" s="15">
        <v>1</v>
      </c>
      <c r="K2" s="41" t="s">
        <v>106</v>
      </c>
      <c r="L2" s="15">
        <v>10</v>
      </c>
      <c r="M2" s="41" t="s">
        <v>106</v>
      </c>
      <c r="N2" s="15">
        <v>50</v>
      </c>
      <c r="O2" s="41" t="s">
        <v>107</v>
      </c>
      <c r="P2" s="15">
        <v>100</v>
      </c>
      <c r="Q2" s="41" t="s">
        <v>107</v>
      </c>
      <c r="R2" s="15"/>
      <c r="S2" s="23"/>
    </row>
    <row r="3" spans="1:19" s="15" customFormat="1" x14ac:dyDescent="0.25">
      <c r="A3" s="23">
        <v>1</v>
      </c>
      <c r="B3" s="15" t="s">
        <v>0</v>
      </c>
      <c r="J3" s="33"/>
      <c r="K3" s="33"/>
      <c r="L3" s="33"/>
      <c r="M3" s="33"/>
      <c r="N3" s="33"/>
      <c r="O3" s="33"/>
      <c r="P3" s="33"/>
    </row>
    <row r="4" spans="1:19" s="15" customFormat="1" x14ac:dyDescent="0.25">
      <c r="A4" s="23">
        <v>1.1000000000000001</v>
      </c>
      <c r="C4" s="15" t="s">
        <v>90</v>
      </c>
      <c r="J4" s="33">
        <v>5035842.6631494295</v>
      </c>
      <c r="K4" s="31">
        <v>0.14161668632387542</v>
      </c>
      <c r="L4" s="233">
        <v>7629071.8855873477</v>
      </c>
      <c r="M4" s="31">
        <v>0.11053583070659502</v>
      </c>
      <c r="N4" s="233">
        <v>9907919.4578383341</v>
      </c>
      <c r="O4" s="31">
        <v>5.0440923763834779E-2</v>
      </c>
      <c r="P4" s="233">
        <v>11155442.721479803</v>
      </c>
      <c r="Q4" s="37">
        <v>3.1559345604376447E-2</v>
      </c>
      <c r="R4" s="48"/>
      <c r="S4" s="48"/>
    </row>
    <row r="5" spans="1:19" outlineLevel="1" x14ac:dyDescent="0.25">
      <c r="A5" s="1" t="s">
        <v>2</v>
      </c>
      <c r="D5" t="s">
        <v>1</v>
      </c>
      <c r="I5" s="26"/>
      <c r="J5" s="28">
        <v>3302500</v>
      </c>
      <c r="K5" s="35">
        <v>9.2872064889355482E-2</v>
      </c>
      <c r="L5" s="231">
        <v>5507500</v>
      </c>
      <c r="M5" s="35">
        <v>7.979687395090046E-2</v>
      </c>
      <c r="N5" s="231">
        <v>6112500</v>
      </c>
      <c r="O5" s="35">
        <v>3.1118556001434029E-2</v>
      </c>
      <c r="P5" s="231">
        <v>6112500</v>
      </c>
      <c r="Q5" s="36">
        <v>1.7292590247028887E-2</v>
      </c>
      <c r="R5" s="18"/>
    </row>
    <row r="6" spans="1:19" outlineLevel="2" x14ac:dyDescent="0.25">
      <c r="A6" s="1" t="s">
        <v>91</v>
      </c>
      <c r="E6" t="s">
        <v>3</v>
      </c>
      <c r="I6" s="17"/>
      <c r="J6" s="155">
        <v>202500</v>
      </c>
      <c r="K6" s="35">
        <v>5.6946534867810712E-3</v>
      </c>
      <c r="L6" s="155">
        <v>292500</v>
      </c>
      <c r="M6" s="35">
        <v>4.2379638003882678E-3</v>
      </c>
      <c r="N6" s="155">
        <v>307500</v>
      </c>
      <c r="O6" s="35">
        <v>1.5654733693972946E-3</v>
      </c>
      <c r="P6" s="155">
        <v>307500</v>
      </c>
      <c r="Q6" s="32">
        <v>8.6993398788734271E-4</v>
      </c>
    </row>
    <row r="7" spans="1:19" outlineLevel="2" x14ac:dyDescent="0.25">
      <c r="A7" s="1" t="s">
        <v>92</v>
      </c>
      <c r="E7" t="s">
        <v>5</v>
      </c>
      <c r="I7" s="17"/>
      <c r="J7" s="275">
        <v>1650000</v>
      </c>
      <c r="K7" s="35">
        <v>4.6400880262660579E-2</v>
      </c>
      <c r="L7" s="275">
        <v>2350000</v>
      </c>
      <c r="M7" s="35">
        <v>3.4048598054401469E-2</v>
      </c>
      <c r="N7" s="275">
        <v>2715000</v>
      </c>
      <c r="O7" s="35">
        <v>1.382198438345904E-2</v>
      </c>
      <c r="P7" s="275">
        <v>2715000</v>
      </c>
      <c r="Q7" s="32">
        <v>7.6808805759809281E-3</v>
      </c>
      <c r="R7" s="18"/>
    </row>
    <row r="8" spans="1:19" outlineLevel="2" x14ac:dyDescent="0.25">
      <c r="A8" s="1" t="s">
        <v>93</v>
      </c>
      <c r="E8" t="s">
        <v>7</v>
      </c>
      <c r="I8" s="17"/>
      <c r="J8" s="275">
        <v>670000</v>
      </c>
      <c r="K8" s="35">
        <v>1.8841569561201567E-2</v>
      </c>
      <c r="L8" s="275">
        <v>1695000</v>
      </c>
      <c r="M8" s="35">
        <v>2.4558456894557653E-2</v>
      </c>
      <c r="N8" s="275">
        <v>1695000</v>
      </c>
      <c r="O8" s="35">
        <v>8.629194670336307E-3</v>
      </c>
      <c r="P8" s="275">
        <v>1695000</v>
      </c>
      <c r="Q8" s="32">
        <v>4.7952458844521817E-3</v>
      </c>
    </row>
    <row r="9" spans="1:19" outlineLevel="2" x14ac:dyDescent="0.25">
      <c r="A9" s="1" t="s">
        <v>94</v>
      </c>
      <c r="E9" t="s">
        <v>8</v>
      </c>
      <c r="I9" s="17"/>
      <c r="J9" s="275">
        <v>780000</v>
      </c>
      <c r="K9" s="35">
        <v>2.1934961578712272E-2</v>
      </c>
      <c r="L9" s="275">
        <v>1170000</v>
      </c>
      <c r="M9" s="35">
        <v>1.6951855201553071E-2</v>
      </c>
      <c r="N9" s="275">
        <v>1395000</v>
      </c>
      <c r="O9" s="35">
        <v>7.101903578241385E-3</v>
      </c>
      <c r="P9" s="275">
        <v>1395000</v>
      </c>
      <c r="Q9" s="32">
        <v>3.9465297987084326E-3</v>
      </c>
    </row>
    <row r="10" spans="1:19" s="10" customFormat="1" outlineLevel="1" x14ac:dyDescent="0.25">
      <c r="A10" s="1" t="s">
        <v>4</v>
      </c>
      <c r="D10" s="10" t="s">
        <v>95</v>
      </c>
      <c r="I10" s="17"/>
      <c r="J10" s="275">
        <v>193963</v>
      </c>
      <c r="K10" s="35">
        <v>5.4545781444766267E-3</v>
      </c>
      <c r="L10" s="275">
        <v>294061</v>
      </c>
      <c r="M10" s="35">
        <v>4.2605807627554681E-3</v>
      </c>
      <c r="N10" s="275">
        <v>294061</v>
      </c>
      <c r="O10" s="35">
        <v>1.4970558194417492E-3</v>
      </c>
      <c r="P10" s="275">
        <v>294061</v>
      </c>
      <c r="Q10" s="32">
        <v>8.3191433629964189E-4</v>
      </c>
    </row>
    <row r="11" spans="1:19" s="10" customFormat="1" outlineLevel="1" x14ac:dyDescent="0.25">
      <c r="A11" s="1" t="s">
        <v>6</v>
      </c>
      <c r="D11" s="10" t="s">
        <v>119</v>
      </c>
      <c r="I11" s="17"/>
      <c r="J11" s="275">
        <v>1539379.6631494293</v>
      </c>
      <c r="K11" s="35">
        <v>4.3290043290043295E-2</v>
      </c>
      <c r="L11" s="275">
        <v>1827510.8855873481</v>
      </c>
      <c r="M11" s="35">
        <v>2.6478375992939097E-2</v>
      </c>
      <c r="N11" s="275">
        <v>3501358.4578383351</v>
      </c>
      <c r="O11" s="35">
        <v>1.7825311942959002E-2</v>
      </c>
      <c r="P11" s="275">
        <v>4748881.7214798024</v>
      </c>
      <c r="Q11" s="32">
        <v>1.3434841021047915E-2</v>
      </c>
    </row>
    <row r="12" spans="1:19" s="15" customFormat="1" x14ac:dyDescent="0.25">
      <c r="A12" s="23">
        <v>1.2</v>
      </c>
      <c r="C12" s="15" t="s">
        <v>10</v>
      </c>
      <c r="I12" s="26"/>
      <c r="J12" s="21">
        <v>14493632</v>
      </c>
      <c r="K12" s="31">
        <v>0.40758623212307016</v>
      </c>
      <c r="L12" s="230">
        <v>14626952</v>
      </c>
      <c r="M12" s="31">
        <v>0.21192647208894622</v>
      </c>
      <c r="N12" s="230">
        <v>15269312</v>
      </c>
      <c r="O12" s="31">
        <v>7.7735614000060307E-2</v>
      </c>
      <c r="P12" s="230">
        <v>16044992</v>
      </c>
      <c r="Q12" s="37">
        <v>4.5392142686765891E-2</v>
      </c>
    </row>
    <row r="13" spans="1:19" outlineLevel="1" x14ac:dyDescent="0.25">
      <c r="A13" s="1" t="s">
        <v>9</v>
      </c>
      <c r="D13" t="s">
        <v>12</v>
      </c>
      <c r="I13" s="17"/>
      <c r="J13" s="4">
        <v>43200</v>
      </c>
      <c r="K13" s="35">
        <v>1.214859410513295E-3</v>
      </c>
      <c r="L13" s="4">
        <v>175200</v>
      </c>
      <c r="M13" s="35">
        <v>2.5384316506941009E-3</v>
      </c>
      <c r="N13" s="4">
        <v>811200</v>
      </c>
      <c r="O13" s="35">
        <v>4.1297951130246681E-3</v>
      </c>
      <c r="P13" s="4">
        <v>1579200</v>
      </c>
      <c r="Q13" s="32">
        <v>4.4676414753550943E-3</v>
      </c>
    </row>
    <row r="14" spans="1:19" outlineLevel="1" x14ac:dyDescent="0.25">
      <c r="A14" s="1" t="s">
        <v>11</v>
      </c>
      <c r="D14" t="s">
        <v>13</v>
      </c>
      <c r="I14" s="17"/>
      <c r="J14" s="275">
        <v>432</v>
      </c>
      <c r="K14" s="35">
        <v>1.2148594105132951E-5</v>
      </c>
      <c r="L14" s="275">
        <v>1752</v>
      </c>
      <c r="M14" s="35">
        <v>2.5384316506941007E-5</v>
      </c>
      <c r="N14" s="275">
        <v>8112</v>
      </c>
      <c r="O14" s="35">
        <v>4.129795113024668E-5</v>
      </c>
      <c r="P14" s="275">
        <v>15792</v>
      </c>
      <c r="Q14" s="32">
        <v>4.4676414753550945E-5</v>
      </c>
    </row>
    <row r="15" spans="1:19" outlineLevel="1" x14ac:dyDescent="0.25">
      <c r="A15" s="1" t="s">
        <v>14</v>
      </c>
      <c r="D15" t="s">
        <v>15</v>
      </c>
      <c r="I15" s="17"/>
      <c r="J15" s="275">
        <v>0</v>
      </c>
      <c r="K15" s="35">
        <v>0</v>
      </c>
      <c r="L15" s="275">
        <v>0</v>
      </c>
      <c r="M15" s="35">
        <v>0</v>
      </c>
      <c r="N15" s="275">
        <v>0</v>
      </c>
      <c r="O15" s="35">
        <v>0</v>
      </c>
      <c r="P15" s="275">
        <v>0</v>
      </c>
      <c r="Q15" s="32">
        <v>0</v>
      </c>
    </row>
    <row r="16" spans="1:19" outlineLevel="1" x14ac:dyDescent="0.25">
      <c r="A16" s="1" t="s">
        <v>16</v>
      </c>
      <c r="D16" t="s">
        <v>61</v>
      </c>
      <c r="I16" s="17"/>
      <c r="J16" s="275">
        <v>14450000</v>
      </c>
      <c r="K16" s="35">
        <v>0.40635922411845171</v>
      </c>
      <c r="L16" s="275">
        <v>14450000</v>
      </c>
      <c r="M16" s="35">
        <v>0.20936265612174518</v>
      </c>
      <c r="N16" s="275">
        <v>14450000</v>
      </c>
      <c r="O16" s="35">
        <v>7.3564520935905389E-2</v>
      </c>
      <c r="P16" s="275">
        <v>14450000</v>
      </c>
      <c r="Q16" s="32">
        <v>4.0879824796657242E-2</v>
      </c>
    </row>
    <row r="17" spans="1:27" outlineLevel="1" x14ac:dyDescent="0.25">
      <c r="A17" s="1" t="s">
        <v>17</v>
      </c>
      <c r="D17" t="s">
        <v>18</v>
      </c>
      <c r="I17" s="17"/>
      <c r="J17" s="275">
        <v>0</v>
      </c>
      <c r="K17" s="35">
        <v>0</v>
      </c>
      <c r="L17" s="275">
        <v>0</v>
      </c>
      <c r="M17" s="35">
        <v>0</v>
      </c>
      <c r="N17" s="275">
        <v>0</v>
      </c>
      <c r="O17" s="35">
        <v>0</v>
      </c>
      <c r="P17" s="275">
        <v>0</v>
      </c>
      <c r="Q17" s="32">
        <v>0</v>
      </c>
      <c r="W17" s="13"/>
    </row>
    <row r="18" spans="1:27" s="15" customFormat="1" x14ac:dyDescent="0.25">
      <c r="A18" s="23">
        <v>1.3</v>
      </c>
      <c r="C18" s="15" t="s">
        <v>19</v>
      </c>
      <c r="I18" s="26"/>
      <c r="J18" s="21">
        <v>0</v>
      </c>
      <c r="K18" s="31">
        <v>0</v>
      </c>
      <c r="L18" s="230">
        <v>0</v>
      </c>
      <c r="M18" s="31">
        <v>0</v>
      </c>
      <c r="N18" s="230">
        <v>0</v>
      </c>
      <c r="O18" s="31">
        <v>0</v>
      </c>
      <c r="P18" s="230">
        <v>0</v>
      </c>
      <c r="Q18" s="37">
        <v>0</v>
      </c>
    </row>
    <row r="19" spans="1:27" outlineLevel="1" x14ac:dyDescent="0.25">
      <c r="A19" s="1" t="s">
        <v>20</v>
      </c>
      <c r="D19" t="s">
        <v>21</v>
      </c>
      <c r="I19" s="17"/>
      <c r="J19" s="4">
        <v>0</v>
      </c>
      <c r="K19" s="35">
        <v>0</v>
      </c>
      <c r="L19" s="4">
        <v>0</v>
      </c>
      <c r="M19" s="35">
        <v>0</v>
      </c>
      <c r="N19" s="4">
        <v>0</v>
      </c>
      <c r="O19" s="35">
        <v>0</v>
      </c>
      <c r="P19" s="4">
        <v>0</v>
      </c>
      <c r="Q19" s="32">
        <v>0</v>
      </c>
    </row>
    <row r="20" spans="1:27" outlineLevel="1" x14ac:dyDescent="0.25">
      <c r="A20" s="1" t="s">
        <v>22</v>
      </c>
      <c r="D20" t="s">
        <v>23</v>
      </c>
      <c r="I20" s="17"/>
      <c r="J20" s="275">
        <v>0</v>
      </c>
      <c r="K20" s="35">
        <v>0</v>
      </c>
      <c r="L20" s="275">
        <v>0</v>
      </c>
      <c r="M20" s="35">
        <v>0</v>
      </c>
      <c r="N20" s="275">
        <v>0</v>
      </c>
      <c r="O20" s="35">
        <v>0</v>
      </c>
      <c r="P20" s="275">
        <v>0</v>
      </c>
      <c r="Q20" s="32">
        <v>0</v>
      </c>
    </row>
    <row r="21" spans="1:27" outlineLevel="1" x14ac:dyDescent="0.25">
      <c r="A21" s="1" t="s">
        <v>24</v>
      </c>
      <c r="D21" t="s">
        <v>25</v>
      </c>
      <c r="I21" s="17"/>
      <c r="J21" s="275">
        <v>0</v>
      </c>
      <c r="K21" s="35">
        <v>0</v>
      </c>
      <c r="L21" s="275">
        <v>0</v>
      </c>
      <c r="M21" s="35">
        <v>0</v>
      </c>
      <c r="N21" s="275">
        <v>0</v>
      </c>
      <c r="O21" s="35">
        <v>0</v>
      </c>
      <c r="P21" s="275">
        <v>0</v>
      </c>
      <c r="Q21" s="32">
        <v>0</v>
      </c>
    </row>
    <row r="22" spans="1:27" outlineLevel="1" x14ac:dyDescent="0.25">
      <c r="A22" s="1" t="s">
        <v>26</v>
      </c>
      <c r="D22" t="s">
        <v>27</v>
      </c>
      <c r="I22" s="17"/>
      <c r="J22" s="275">
        <v>0</v>
      </c>
      <c r="K22" s="35">
        <v>0</v>
      </c>
      <c r="L22" s="275">
        <v>0</v>
      </c>
      <c r="M22" s="35">
        <v>0</v>
      </c>
      <c r="N22" s="275">
        <v>0</v>
      </c>
      <c r="O22" s="35">
        <v>0</v>
      </c>
      <c r="P22" s="275">
        <v>0</v>
      </c>
      <c r="Q22" s="32">
        <v>0</v>
      </c>
      <c r="R22" s="11"/>
    </row>
    <row r="23" spans="1:27" outlineLevel="1" x14ac:dyDescent="0.25">
      <c r="A23" s="1" t="s">
        <v>28</v>
      </c>
      <c r="D23" t="s">
        <v>18</v>
      </c>
      <c r="I23" s="17"/>
      <c r="J23" s="275">
        <v>0</v>
      </c>
      <c r="K23" s="35">
        <v>0</v>
      </c>
      <c r="L23" s="275">
        <v>0</v>
      </c>
      <c r="M23" s="35">
        <v>0</v>
      </c>
      <c r="N23" s="275">
        <v>0</v>
      </c>
      <c r="O23" s="35">
        <v>0</v>
      </c>
      <c r="P23" s="275">
        <v>0</v>
      </c>
      <c r="Q23" s="32">
        <v>0</v>
      </c>
      <c r="R23" s="8"/>
      <c r="S23" s="8"/>
      <c r="T23" s="8"/>
      <c r="U23" s="8"/>
    </row>
    <row r="24" spans="1:27" s="15" customFormat="1" x14ac:dyDescent="0.25">
      <c r="A24" s="23">
        <v>1.4</v>
      </c>
      <c r="C24" s="15" t="s">
        <v>29</v>
      </c>
      <c r="I24" s="46">
        <v>267.73999999999995</v>
      </c>
      <c r="J24" s="21">
        <v>1274550.3078735925</v>
      </c>
      <c r="K24" s="31">
        <v>3.5842579529927115E-2</v>
      </c>
      <c r="L24" s="230">
        <v>8800067.5809414964</v>
      </c>
      <c r="M24" s="31">
        <v>0.12750211230427491</v>
      </c>
      <c r="N24" s="230">
        <v>38474102.951094106</v>
      </c>
      <c r="O24" s="31">
        <v>0.19587051571182987</v>
      </c>
      <c r="P24" s="230">
        <v>74315992.529615283</v>
      </c>
      <c r="Q24" s="37">
        <v>0.21024392762632257</v>
      </c>
      <c r="R24" s="39"/>
      <c r="S24" s="39"/>
      <c r="T24" s="39"/>
      <c r="U24" s="39"/>
      <c r="V24" s="40"/>
      <c r="W24" s="39"/>
      <c r="X24" s="39"/>
      <c r="Y24" s="39"/>
    </row>
    <row r="25" spans="1:27" s="7" customFormat="1" outlineLevel="1" x14ac:dyDescent="0.25">
      <c r="A25" s="1" t="s">
        <v>30</v>
      </c>
      <c r="D25" s="7" t="s">
        <v>205</v>
      </c>
      <c r="I25" s="47">
        <v>161.19999999999999</v>
      </c>
      <c r="J25" s="28">
        <v>558491.22333995486</v>
      </c>
      <c r="K25" s="35">
        <v>1.5705748110269133E-2</v>
      </c>
      <c r="L25" s="28">
        <v>4190536.281249051</v>
      </c>
      <c r="M25" s="35">
        <v>6.0715695945802207E-2</v>
      </c>
      <c r="N25" s="28">
        <v>19274505.762547012</v>
      </c>
      <c r="O25" s="35">
        <v>9.8125936518900947E-2</v>
      </c>
      <c r="P25" s="28">
        <v>38126338.870989278</v>
      </c>
      <c r="Q25" s="32">
        <v>0.10786145696775255</v>
      </c>
      <c r="R25" s="9"/>
      <c r="S25" s="9"/>
      <c r="T25" s="9"/>
      <c r="U25" s="9"/>
      <c r="V25" s="8"/>
      <c r="W25" s="8"/>
      <c r="X25" s="8"/>
      <c r="Y25" s="8"/>
      <c r="AA25" s="11"/>
    </row>
    <row r="26" spans="1:27" outlineLevel="1" x14ac:dyDescent="0.25">
      <c r="A26" s="1" t="s">
        <v>31</v>
      </c>
      <c r="D26" s="20" t="s">
        <v>206</v>
      </c>
      <c r="I26" s="47">
        <v>40.9</v>
      </c>
      <c r="J26" s="231">
        <v>202268.09193979623</v>
      </c>
      <c r="K26" s="35">
        <v>5.688131827306246E-3</v>
      </c>
      <c r="L26" s="231">
        <v>1358713.685369198</v>
      </c>
      <c r="M26" s="35">
        <v>1.9686083465595881E-2</v>
      </c>
      <c r="N26" s="231">
        <v>5842718.6652861489</v>
      </c>
      <c r="O26" s="35">
        <v>2.974510723702755E-2</v>
      </c>
      <c r="P26" s="231">
        <v>11195674.963530106</v>
      </c>
      <c r="Q26" s="32">
        <v>3.1673164774355209E-2</v>
      </c>
      <c r="R26" s="9"/>
      <c r="S26" s="9"/>
      <c r="T26" s="9"/>
      <c r="U26" s="9"/>
      <c r="V26" s="8"/>
      <c r="W26" s="8"/>
      <c r="X26" s="8"/>
      <c r="Y26" s="8"/>
    </row>
    <row r="27" spans="1:27" outlineLevel="1" x14ac:dyDescent="0.25">
      <c r="A27" s="1" t="s">
        <v>32</v>
      </c>
      <c r="D27" s="20" t="s">
        <v>207</v>
      </c>
      <c r="I27" s="47">
        <v>41.3</v>
      </c>
      <c r="J27" s="231">
        <v>397922.78278715117</v>
      </c>
      <c r="K27" s="35">
        <v>1.119028327144927E-2</v>
      </c>
      <c r="L27" s="231">
        <v>2450811.4706012933</v>
      </c>
      <c r="M27" s="35">
        <v>3.5509231774306378E-2</v>
      </c>
      <c r="N27" s="231">
        <v>9859232.8004342094</v>
      </c>
      <c r="O27" s="35">
        <v>5.0193061436644121E-2</v>
      </c>
      <c r="P27" s="231">
        <v>18237979.374221791</v>
      </c>
      <c r="Q27" s="32">
        <v>5.1596221554549154E-2</v>
      </c>
      <c r="R27" s="9"/>
      <c r="S27" s="9"/>
      <c r="T27" s="9"/>
      <c r="U27" s="9"/>
      <c r="V27" s="8"/>
      <c r="W27" s="8"/>
      <c r="X27" s="8"/>
      <c r="Y27" s="8"/>
    </row>
    <row r="28" spans="1:27" outlineLevel="1" x14ac:dyDescent="0.25">
      <c r="A28" s="1" t="s">
        <v>33</v>
      </c>
      <c r="D28" s="20" t="s">
        <v>65</v>
      </c>
      <c r="I28" s="47">
        <v>24.34</v>
      </c>
      <c r="J28" s="231">
        <v>115868.20980669023</v>
      </c>
      <c r="K28" s="35">
        <v>3.2584163209024648E-3</v>
      </c>
      <c r="L28" s="231">
        <v>800006.14372195431</v>
      </c>
      <c r="M28" s="35">
        <v>1.1591101118570448E-2</v>
      </c>
      <c r="N28" s="231">
        <v>3497645.722826737</v>
      </c>
      <c r="O28" s="35">
        <v>1.780641051925726E-2</v>
      </c>
      <c r="P28" s="231">
        <v>6755999.3208741173</v>
      </c>
      <c r="Q28" s="32">
        <v>1.911308432966569E-2</v>
      </c>
    </row>
    <row r="29" spans="1:27" s="15" customFormat="1" x14ac:dyDescent="0.25">
      <c r="A29" s="23">
        <v>1.5</v>
      </c>
      <c r="C29" s="15" t="s">
        <v>34</v>
      </c>
      <c r="I29" s="46">
        <v>39.215419501133788</v>
      </c>
      <c r="J29" s="29">
        <v>1908099.173631175</v>
      </c>
      <c r="K29" s="31">
        <v>5.3659079566631358E-2</v>
      </c>
      <c r="L29" s="232">
        <v>16785485.315644808</v>
      </c>
      <c r="M29" s="31">
        <v>0.24320095432359498</v>
      </c>
      <c r="N29" s="232">
        <v>77144340.278943852</v>
      </c>
      <c r="O29" s="31">
        <v>0.39273954571190134</v>
      </c>
      <c r="P29" s="232">
        <v>156571396.09032732</v>
      </c>
      <c r="Q29" s="37">
        <v>0.44294887476405576</v>
      </c>
    </row>
    <row r="30" spans="1:27" outlineLevel="1" x14ac:dyDescent="0.25">
      <c r="A30" s="1" t="s">
        <v>35</v>
      </c>
      <c r="D30" t="s">
        <v>36</v>
      </c>
      <c r="I30" s="47">
        <v>6.8480725623582765</v>
      </c>
      <c r="J30" s="4">
        <v>239725</v>
      </c>
      <c r="K30" s="35">
        <v>6.7414854672523073E-3</v>
      </c>
      <c r="L30" s="4">
        <v>2144376.909443615</v>
      </c>
      <c r="M30" s="35">
        <v>3.1069373390121405E-2</v>
      </c>
      <c r="N30" s="4">
        <v>9918190.5364351813</v>
      </c>
      <c r="O30" s="35">
        <v>5.0493213519992017E-2</v>
      </c>
      <c r="P30" s="4">
        <v>19181780.497465637</v>
      </c>
      <c r="Q30" s="32">
        <v>5.426628553801606E-2</v>
      </c>
    </row>
    <row r="31" spans="1:27" outlineLevel="1" x14ac:dyDescent="0.25">
      <c r="A31" s="1" t="s">
        <v>37</v>
      </c>
      <c r="D31" s="20" t="s">
        <v>74</v>
      </c>
      <c r="I31" s="47">
        <v>15.033106575963716</v>
      </c>
      <c r="J31" s="275">
        <v>350203.66000000003</v>
      </c>
      <c r="K31" s="35">
        <v>9.8483382395184831E-3</v>
      </c>
      <c r="L31" s="275">
        <v>3132625.4754683184</v>
      </c>
      <c r="M31" s="35">
        <v>4.5387874752850665E-2</v>
      </c>
      <c r="N31" s="275">
        <v>14489046.309049804</v>
      </c>
      <c r="O31" s="35">
        <v>7.3763304535875221E-2</v>
      </c>
      <c r="P31" s="275">
        <v>28021815.561702318</v>
      </c>
      <c r="Q31" s="32">
        <v>7.927521872987088E-2</v>
      </c>
    </row>
    <row r="32" spans="1:27" outlineLevel="1" x14ac:dyDescent="0.25">
      <c r="A32" s="1" t="s">
        <v>38</v>
      </c>
      <c r="D32" s="20" t="s">
        <v>40</v>
      </c>
      <c r="I32" s="47">
        <v>0</v>
      </c>
      <c r="J32" s="275">
        <v>40408.284444836041</v>
      </c>
      <c r="K32" s="35">
        <v>1.136351495845071E-3</v>
      </c>
      <c r="L32" s="275">
        <v>361458.30478146212</v>
      </c>
      <c r="M32" s="35">
        <v>5.2370844820975931E-3</v>
      </c>
      <c r="N32" s="275">
        <v>1671820.0620475702</v>
      </c>
      <c r="O32" s="35">
        <v>8.5111862945027768E-3</v>
      </c>
      <c r="P32" s="275">
        <v>3233300.0000000005</v>
      </c>
      <c r="Q32" s="32">
        <v>9.1471790667842136E-3</v>
      </c>
    </row>
    <row r="33" spans="1:18" outlineLevel="1" x14ac:dyDescent="0.25">
      <c r="A33" s="1" t="s">
        <v>39</v>
      </c>
      <c r="D33" s="20" t="s">
        <v>41</v>
      </c>
      <c r="I33" s="47">
        <v>0</v>
      </c>
      <c r="J33" s="275">
        <v>254987.23518633901</v>
      </c>
      <c r="K33" s="35">
        <v>7.1706861626595082E-3</v>
      </c>
      <c r="L33" s="275">
        <v>2280899.9450889723</v>
      </c>
      <c r="M33" s="35">
        <v>3.3047423588357785E-2</v>
      </c>
      <c r="N33" s="275">
        <v>10549638.055842819</v>
      </c>
      <c r="O33" s="35">
        <v>5.3707894091714413E-2</v>
      </c>
      <c r="P33" s="275">
        <v>20403000.000000007</v>
      </c>
      <c r="Q33" s="32">
        <v>5.7721180991432391E-2</v>
      </c>
    </row>
    <row r="34" spans="1:18" outlineLevel="1" x14ac:dyDescent="0.25">
      <c r="A34" s="1" t="s">
        <v>42</v>
      </c>
      <c r="D34" s="20" t="s">
        <v>43</v>
      </c>
      <c r="I34" s="47">
        <v>3.6281179138321997</v>
      </c>
      <c r="J34" s="275">
        <v>31220</v>
      </c>
      <c r="K34" s="35">
        <v>8.7796089806076562E-4</v>
      </c>
      <c r="L34" s="275">
        <v>291935.26049418049</v>
      </c>
      <c r="M34" s="35">
        <v>4.2297814223290807E-3</v>
      </c>
      <c r="N34" s="275">
        <v>1392785.1769503632</v>
      </c>
      <c r="O34" s="35">
        <v>7.0906279798604631E-3</v>
      </c>
      <c r="P34" s="275">
        <v>2729858.9468227117</v>
      </c>
      <c r="Q34" s="32">
        <v>7.7229173332664163E-3</v>
      </c>
    </row>
    <row r="35" spans="1:18" outlineLevel="1" x14ac:dyDescent="0.25">
      <c r="A35" s="1" t="s">
        <v>44</v>
      </c>
      <c r="D35" s="20" t="s">
        <v>45</v>
      </c>
      <c r="I35" s="47">
        <v>0</v>
      </c>
      <c r="J35" s="275">
        <v>15000</v>
      </c>
      <c r="K35" s="35">
        <v>4.2182618420600525E-4</v>
      </c>
      <c r="L35" s="275">
        <v>150000</v>
      </c>
      <c r="M35" s="35">
        <v>2.1733147694298809E-3</v>
      </c>
      <c r="N35" s="275">
        <v>750000</v>
      </c>
      <c r="O35" s="35">
        <v>3.8182277302373038E-3</v>
      </c>
      <c r="P35" s="275">
        <v>1500000</v>
      </c>
      <c r="Q35" s="32">
        <v>4.2435804287187448E-3</v>
      </c>
    </row>
    <row r="36" spans="1:18" outlineLevel="1" x14ac:dyDescent="0.25">
      <c r="A36" s="1" t="s">
        <v>46</v>
      </c>
      <c r="D36" s="20" t="s">
        <v>47</v>
      </c>
      <c r="I36" s="47">
        <v>0</v>
      </c>
      <c r="J36" s="275">
        <v>0</v>
      </c>
      <c r="K36" s="35">
        <v>0</v>
      </c>
      <c r="L36" s="275">
        <v>0</v>
      </c>
      <c r="M36" s="35">
        <v>0</v>
      </c>
      <c r="N36" s="275">
        <v>0</v>
      </c>
      <c r="O36" s="35">
        <v>0</v>
      </c>
      <c r="P36" s="275">
        <v>0</v>
      </c>
      <c r="Q36" s="32">
        <v>0</v>
      </c>
    </row>
    <row r="37" spans="1:18" outlineLevel="1" x14ac:dyDescent="0.25">
      <c r="A37" s="1" t="s">
        <v>48</v>
      </c>
      <c r="D37" s="20" t="s">
        <v>62</v>
      </c>
      <c r="I37" s="47">
        <v>2.0018140589569158</v>
      </c>
      <c r="J37" s="275">
        <v>160544.38999999998</v>
      </c>
      <c r="K37" s="35">
        <v>4.5147884952920492E-3</v>
      </c>
      <c r="L37" s="275">
        <v>1436094.2031774342</v>
      </c>
      <c r="M37" s="35">
        <v>2.0807231613721024E-2</v>
      </c>
      <c r="N37" s="275">
        <v>6642235.2678100271</v>
      </c>
      <c r="O37" s="35">
        <v>3.3815422520416603E-2</v>
      </c>
      <c r="P37" s="275">
        <v>12846083.007944591</v>
      </c>
      <c r="Q37" s="32">
        <v>3.6342257625473398E-2</v>
      </c>
    </row>
    <row r="38" spans="1:18" outlineLevel="1" x14ac:dyDescent="0.25">
      <c r="A38" s="1" t="s">
        <v>63</v>
      </c>
      <c r="D38" s="20" t="s">
        <v>64</v>
      </c>
      <c r="I38" s="47">
        <v>3.9909297052154193</v>
      </c>
      <c r="J38" s="275">
        <v>236380</v>
      </c>
      <c r="K38" s="35">
        <v>6.6474182281743678E-3</v>
      </c>
      <c r="L38" s="275">
        <v>2114455.3711723089</v>
      </c>
      <c r="M38" s="35">
        <v>3.0635847249794131E-2</v>
      </c>
      <c r="N38" s="275">
        <v>9779797.1801128294</v>
      </c>
      <c r="O38" s="35">
        <v>4.9788657052271194E-2</v>
      </c>
      <c r="P38" s="275">
        <v>18914127.746338211</v>
      </c>
      <c r="Q38" s="32">
        <v>5.3509081553764673E-2</v>
      </c>
      <c r="R38" s="9"/>
    </row>
    <row r="39" spans="1:18" outlineLevel="1" x14ac:dyDescent="0.25">
      <c r="A39" s="1" t="s">
        <v>69</v>
      </c>
      <c r="D39" s="20" t="s">
        <v>66</v>
      </c>
      <c r="I39" s="47">
        <v>5.1533786848072562</v>
      </c>
      <c r="J39" s="275">
        <v>332452.86</v>
      </c>
      <c r="K39" s="35">
        <v>9.3491547574782174E-3</v>
      </c>
      <c r="L39" s="275">
        <v>2973841.8457085863</v>
      </c>
      <c r="M39" s="35">
        <v>4.3087296034847247E-2</v>
      </c>
      <c r="N39" s="275">
        <v>13754638.898165859</v>
      </c>
      <c r="O39" s="35">
        <v>7.0024458213836752E-2</v>
      </c>
      <c r="P39" s="275">
        <v>26601471.629052766</v>
      </c>
      <c r="Q39" s="32">
        <v>7.5256989586776846E-2</v>
      </c>
    </row>
    <row r="40" spans="1:18" outlineLevel="1" x14ac:dyDescent="0.25">
      <c r="A40" s="1" t="s">
        <v>70</v>
      </c>
      <c r="D40" s="20" t="s">
        <v>67</v>
      </c>
      <c r="I40" s="47">
        <v>0</v>
      </c>
      <c r="J40" s="275">
        <v>0</v>
      </c>
      <c r="K40" s="35">
        <v>0</v>
      </c>
      <c r="L40" s="275">
        <v>0</v>
      </c>
      <c r="M40" s="35">
        <v>0</v>
      </c>
      <c r="N40" s="275">
        <v>0</v>
      </c>
      <c r="O40" s="35">
        <v>0</v>
      </c>
      <c r="P40" s="275">
        <v>0</v>
      </c>
      <c r="Q40" s="32">
        <v>0</v>
      </c>
    </row>
    <row r="41" spans="1:18" outlineLevel="1" x14ac:dyDescent="0.25">
      <c r="A41" s="1" t="s">
        <v>71</v>
      </c>
      <c r="D41" s="20" t="s">
        <v>72</v>
      </c>
      <c r="I41" s="47">
        <v>2.56</v>
      </c>
      <c r="J41" s="275">
        <v>75536.873999999996</v>
      </c>
      <c r="K41" s="35">
        <v>2.1242287550846538E-3</v>
      </c>
      <c r="L41" s="275">
        <v>364444.08084048273</v>
      </c>
      <c r="M41" s="35">
        <v>5.2803446901461236E-3</v>
      </c>
      <c r="N41" s="275">
        <v>1094856.6306793608</v>
      </c>
      <c r="O41" s="35">
        <v>5.5738825971921573E-3</v>
      </c>
      <c r="P41" s="275">
        <v>1758339.7488710524</v>
      </c>
      <c r="Q41" s="32">
        <v>4.9744374302316203E-3</v>
      </c>
    </row>
    <row r="42" spans="1:18" s="5" customFormat="1" outlineLevel="1" x14ac:dyDescent="0.25">
      <c r="A42" s="1" t="s">
        <v>73</v>
      </c>
      <c r="D42" s="20" t="s">
        <v>99</v>
      </c>
      <c r="I42" s="47">
        <v>0</v>
      </c>
      <c r="J42" s="275">
        <v>0</v>
      </c>
      <c r="K42" s="35">
        <v>0</v>
      </c>
      <c r="L42" s="275">
        <v>0</v>
      </c>
      <c r="M42" s="35">
        <v>0</v>
      </c>
      <c r="N42" s="275">
        <v>0</v>
      </c>
      <c r="O42" s="35">
        <v>0</v>
      </c>
      <c r="P42" s="275">
        <v>7647642.5511120195</v>
      </c>
      <c r="Q42" s="32">
        <v>2.1635590837157107E-2</v>
      </c>
    </row>
    <row r="43" spans="1:18" s="22" customFormat="1" outlineLevel="1" x14ac:dyDescent="0.25">
      <c r="A43" s="12" t="s">
        <v>100</v>
      </c>
      <c r="D43" s="22" t="s">
        <v>18</v>
      </c>
      <c r="I43" s="30"/>
      <c r="J43" s="275">
        <v>171640.87</v>
      </c>
      <c r="K43" s="35">
        <v>4.8268408830599331E-3</v>
      </c>
      <c r="L43" s="275">
        <v>1535353.9194694476</v>
      </c>
      <c r="M43" s="35">
        <v>2.2245382329900042E-2</v>
      </c>
      <c r="N43" s="275">
        <v>7101332.1618500417</v>
      </c>
      <c r="O43" s="35">
        <v>3.6152671176002467E-2</v>
      </c>
      <c r="P43" s="275">
        <v>13733976.401017979</v>
      </c>
      <c r="Q43" s="32">
        <v>3.885415564256333E-2</v>
      </c>
    </row>
    <row r="44" spans="1:18" s="15" customFormat="1" x14ac:dyDescent="0.25">
      <c r="A44" s="23">
        <v>1.6</v>
      </c>
      <c r="C44" s="15" t="s">
        <v>76</v>
      </c>
      <c r="I44" s="26"/>
      <c r="J44" s="43">
        <v>318264.94815047673</v>
      </c>
      <c r="K44" s="31">
        <v>8.9501659096558467E-3</v>
      </c>
      <c r="L44" s="234">
        <v>2558555.2896586307</v>
      </c>
      <c r="M44" s="31">
        <v>3.7070306662786996E-2</v>
      </c>
      <c r="N44" s="234">
        <v>11561844.323003797</v>
      </c>
      <c r="O44" s="31">
        <v>5.8861006142373128E-2</v>
      </c>
      <c r="P44" s="234">
        <v>23088738.861994263</v>
      </c>
      <c r="Q44" s="37">
        <v>6.5319280239037839E-2</v>
      </c>
    </row>
    <row r="45" spans="1:18" s="15" customFormat="1" x14ac:dyDescent="0.25">
      <c r="A45" s="23">
        <v>1.7</v>
      </c>
      <c r="C45" s="15" t="s">
        <v>49</v>
      </c>
      <c r="I45" s="26"/>
      <c r="J45" s="21">
        <v>9296583.833333334</v>
      </c>
      <c r="K45" s="31">
        <v>0.26143616563774913</v>
      </c>
      <c r="L45" s="230">
        <v>12344408.333333334</v>
      </c>
      <c r="M45" s="31">
        <v>0.1788552330047109</v>
      </c>
      <c r="N45" s="230">
        <v>26211762.338874999</v>
      </c>
      <c r="O45" s="31">
        <v>0.13344330376090979</v>
      </c>
      <c r="P45" s="230">
        <v>40164434.283383332</v>
      </c>
      <c r="Q45" s="37">
        <v>0.11362733817035046</v>
      </c>
    </row>
    <row r="46" spans="1:18" outlineLevel="1" x14ac:dyDescent="0.25">
      <c r="A46" s="1" t="s">
        <v>77</v>
      </c>
      <c r="D46" t="s">
        <v>50</v>
      </c>
      <c r="I46" s="17"/>
      <c r="J46" s="4">
        <v>0</v>
      </c>
      <c r="K46" s="35">
        <v>0</v>
      </c>
      <c r="L46" s="4">
        <v>0</v>
      </c>
      <c r="M46" s="35">
        <v>0</v>
      </c>
      <c r="N46" s="4">
        <v>0</v>
      </c>
      <c r="O46" s="35">
        <v>0</v>
      </c>
      <c r="P46" s="4">
        <v>0</v>
      </c>
      <c r="Q46" s="32">
        <v>0</v>
      </c>
    </row>
    <row r="47" spans="1:18" outlineLevel="1" x14ac:dyDescent="0.25">
      <c r="A47" s="1" t="s">
        <v>78</v>
      </c>
      <c r="D47" t="s">
        <v>51</v>
      </c>
      <c r="I47" s="17"/>
      <c r="J47" s="275">
        <v>667000</v>
      </c>
      <c r="K47" s="35">
        <v>1.8757204324360368E-2</v>
      </c>
      <c r="L47" s="275">
        <v>767200</v>
      </c>
      <c r="M47" s="35">
        <v>1.1115780607377364E-2</v>
      </c>
      <c r="N47" s="275">
        <v>1534000</v>
      </c>
      <c r="O47" s="35">
        <v>7.809548450912032E-3</v>
      </c>
      <c r="P47" s="275">
        <v>2301600</v>
      </c>
      <c r="Q47" s="32">
        <v>6.5113498098260426E-3</v>
      </c>
    </row>
    <row r="48" spans="1:18" outlineLevel="1" x14ac:dyDescent="0.25">
      <c r="A48" s="1" t="s">
        <v>79</v>
      </c>
      <c r="D48" t="s">
        <v>75</v>
      </c>
      <c r="I48" s="17"/>
      <c r="J48" s="275">
        <v>6128695.833333334</v>
      </c>
      <c r="K48" s="35">
        <v>0.17234962516894958</v>
      </c>
      <c r="L48" s="275">
        <v>6733683.333333334</v>
      </c>
      <c r="M48" s="35">
        <v>9.7562756273314441E-2</v>
      </c>
      <c r="N48" s="275">
        <v>9422517.3388749994</v>
      </c>
      <c r="O48" s="35">
        <v>4.7969755989245771E-2</v>
      </c>
      <c r="P48" s="275">
        <v>12783558.283383334</v>
      </c>
      <c r="Q48" s="32">
        <v>3.6165371827167274E-2</v>
      </c>
    </row>
    <row r="49" spans="1:19" outlineLevel="1" x14ac:dyDescent="0.25">
      <c r="A49" s="1" t="s">
        <v>80</v>
      </c>
      <c r="D49" t="s">
        <v>12</v>
      </c>
      <c r="I49" s="17"/>
      <c r="J49" s="275">
        <v>1628673.5</v>
      </c>
      <c r="K49" s="35">
        <v>4.5801141854829287E-2</v>
      </c>
      <c r="L49" s="275">
        <v>2850626</v>
      </c>
      <c r="M49" s="35">
        <v>4.1302050586138825E-2</v>
      </c>
      <c r="N49" s="275">
        <v>8281526</v>
      </c>
      <c r="O49" s="35">
        <v>4.2161002962508291E-2</v>
      </c>
      <c r="P49" s="275">
        <v>11449551</v>
      </c>
      <c r="Q49" s="32">
        <v>3.239139369414476E-2</v>
      </c>
    </row>
    <row r="50" spans="1:19" outlineLevel="1" x14ac:dyDescent="0.25">
      <c r="A50" s="1" t="s">
        <v>81</v>
      </c>
      <c r="D50" t="s">
        <v>52</v>
      </c>
      <c r="I50" s="17"/>
      <c r="J50" s="275">
        <v>872214.5</v>
      </c>
      <c r="K50" s="35">
        <v>2.4528194289609919E-2</v>
      </c>
      <c r="L50" s="275">
        <v>1992899</v>
      </c>
      <c r="M50" s="35">
        <v>2.8874645537880269E-2</v>
      </c>
      <c r="N50" s="275">
        <v>6973719</v>
      </c>
      <c r="O50" s="35">
        <v>3.550299635824368E-2</v>
      </c>
      <c r="P50" s="275">
        <v>13629725</v>
      </c>
      <c r="Q50" s="32">
        <v>3.8559222839212398E-2</v>
      </c>
    </row>
    <row r="51" spans="1:19" outlineLevel="1" x14ac:dyDescent="0.25">
      <c r="A51" s="1" t="s">
        <v>82</v>
      </c>
      <c r="D51" t="s">
        <v>53</v>
      </c>
      <c r="I51" s="17"/>
      <c r="J51" s="275">
        <v>0</v>
      </c>
      <c r="K51" s="35">
        <v>0</v>
      </c>
      <c r="L51" s="275">
        <v>0</v>
      </c>
      <c r="M51" s="35">
        <v>0</v>
      </c>
      <c r="N51" s="275">
        <v>0</v>
      </c>
      <c r="O51" s="35">
        <v>0</v>
      </c>
      <c r="P51" s="275">
        <v>0</v>
      </c>
      <c r="Q51" s="32">
        <v>0</v>
      </c>
    </row>
    <row r="52" spans="1:19" s="24" customFormat="1" x14ac:dyDescent="0.25">
      <c r="A52" s="38">
        <v>1.8</v>
      </c>
      <c r="C52" s="26" t="s">
        <v>105</v>
      </c>
      <c r="J52" s="230">
        <v>9296583.833333334</v>
      </c>
      <c r="K52" s="31">
        <v>0.26143616563774913</v>
      </c>
      <c r="L52" s="230">
        <v>12344408.333333334</v>
      </c>
      <c r="M52" s="31">
        <v>0.1788552330047109</v>
      </c>
      <c r="N52" s="230">
        <v>26211762.338874999</v>
      </c>
      <c r="O52" s="31">
        <v>0.13344330376090979</v>
      </c>
      <c r="P52" s="230">
        <v>40164434.283383332</v>
      </c>
      <c r="Q52" s="37">
        <v>0.11362733817035046</v>
      </c>
    </row>
    <row r="53" spans="1:19" s="26" customFormat="1" x14ac:dyDescent="0.25">
      <c r="A53" s="298">
        <v>1.9</v>
      </c>
      <c r="C53" s="26" t="s">
        <v>104</v>
      </c>
      <c r="J53" s="300">
        <v>3232697.2926138015</v>
      </c>
      <c r="K53" s="31">
        <v>9.0909090909090925E-2</v>
      </c>
      <c r="L53" s="230">
        <v>6274454.0405165628</v>
      </c>
      <c r="M53" s="31">
        <v>9.0909090909090925E-2</v>
      </c>
      <c r="N53" s="230">
        <v>17856928.134975508</v>
      </c>
      <c r="O53" s="31">
        <v>9.0909090909090912E-2</v>
      </c>
      <c r="P53" s="230">
        <v>32134099.648679998</v>
      </c>
      <c r="Q53" s="37">
        <v>9.0909090909090898E-2</v>
      </c>
    </row>
    <row r="54" spans="1:19" s="22" customFormat="1" outlineLevel="1" x14ac:dyDescent="0.25">
      <c r="A54" s="12"/>
      <c r="I54" s="17"/>
      <c r="K54" s="16"/>
      <c r="M54" s="16"/>
      <c r="O54" s="16"/>
      <c r="Q54" s="17"/>
    </row>
    <row r="55" spans="1:19" s="22" customFormat="1" outlineLevel="1" x14ac:dyDescent="0.25">
      <c r="A55" s="87" t="s">
        <v>221</v>
      </c>
      <c r="B55" s="88"/>
      <c r="C55" s="88"/>
      <c r="D55" s="88"/>
      <c r="E55" s="88"/>
      <c r="F55" s="88"/>
      <c r="G55" s="88"/>
      <c r="H55" s="88"/>
      <c r="I55" s="301">
        <v>306.95541950113375</v>
      </c>
      <c r="J55" s="297">
        <v>35559670.21875181</v>
      </c>
      <c r="K55" s="91"/>
      <c r="L55" s="297">
        <v>69018994.445682183</v>
      </c>
      <c r="M55" s="91"/>
      <c r="N55" s="297">
        <v>196426209.48473057</v>
      </c>
      <c r="O55" s="91"/>
      <c r="P55" s="297">
        <v>353475096.13548005</v>
      </c>
      <c r="Q55" s="25"/>
    </row>
    <row r="56" spans="1:19" s="22" customFormat="1" outlineLevel="1" x14ac:dyDescent="0.25">
      <c r="A56" s="12"/>
      <c r="I56" s="17"/>
      <c r="J56" s="4"/>
      <c r="K56" s="28"/>
      <c r="L56" s="4"/>
      <c r="M56" s="28"/>
      <c r="N56" s="4"/>
      <c r="O56" s="28"/>
      <c r="P56" s="4"/>
      <c r="Q56" s="17"/>
    </row>
    <row r="57" spans="1:19" s="15" customFormat="1" x14ac:dyDescent="0.25">
      <c r="A57" s="23">
        <v>2</v>
      </c>
      <c r="B57" s="15" t="s">
        <v>60</v>
      </c>
      <c r="I57" s="26"/>
      <c r="J57" s="21">
        <v>1599526.8295378133</v>
      </c>
      <c r="K57" s="37">
        <v>4.4981486602604349E-2</v>
      </c>
      <c r="L57" s="230">
        <v>3333229.5257306905</v>
      </c>
      <c r="M57" s="37">
        <v>4.8294379721135108E-2</v>
      </c>
      <c r="N57" s="230">
        <v>6176040.3034428116</v>
      </c>
      <c r="O57" s="37">
        <v>3.1442037799558079E-2</v>
      </c>
      <c r="P57" s="230">
        <v>9471186.7742336784</v>
      </c>
      <c r="Q57" s="37">
        <v>2.6794495221251907E-2</v>
      </c>
    </row>
    <row r="58" spans="1:19" outlineLevel="1" x14ac:dyDescent="0.25">
      <c r="A58" s="1">
        <v>2.1</v>
      </c>
      <c r="C58" t="s">
        <v>54</v>
      </c>
      <c r="I58" s="17"/>
      <c r="J58" s="4">
        <v>545822.60525977169</v>
      </c>
      <c r="K58" s="36">
        <v>1.5349484455340677E-2</v>
      </c>
      <c r="L58" s="4">
        <v>1102309.3703915654</v>
      </c>
      <c r="M58" s="36">
        <v>1.5971101567686281E-2</v>
      </c>
      <c r="N58" s="4">
        <v>1686613.6189191677</v>
      </c>
      <c r="O58" s="36">
        <v>8.5864998532707449E-3</v>
      </c>
      <c r="P58" s="4">
        <v>1550927.7688266009</v>
      </c>
      <c r="Q58" s="32">
        <v>4.387657817432662E-3</v>
      </c>
    </row>
    <row r="59" spans="1:19" outlineLevel="1" x14ac:dyDescent="0.25">
      <c r="A59" s="1">
        <v>2.2000000000000002</v>
      </c>
      <c r="C59" t="s">
        <v>55</v>
      </c>
      <c r="I59" s="17"/>
      <c r="J59" s="155">
        <v>670000</v>
      </c>
      <c r="K59" s="36">
        <v>1.8841569561201567E-2</v>
      </c>
      <c r="L59" s="155">
        <v>982750</v>
      </c>
      <c r="M59" s="36">
        <v>1.4238833931048103E-2</v>
      </c>
      <c r="N59" s="155">
        <v>982750</v>
      </c>
      <c r="O59" s="36">
        <v>5.0031510691876139E-3</v>
      </c>
      <c r="P59" s="155">
        <v>982750</v>
      </c>
      <c r="Q59" s="32">
        <v>2.7802524442155645E-3</v>
      </c>
      <c r="R59" s="4"/>
      <c r="S59" s="4"/>
    </row>
    <row r="60" spans="1:19" outlineLevel="1" x14ac:dyDescent="0.25">
      <c r="A60" s="1">
        <v>2.2999999999999998</v>
      </c>
      <c r="C60" t="s">
        <v>56</v>
      </c>
      <c r="I60" s="17"/>
      <c r="J60" s="4">
        <v>61362.720000000016</v>
      </c>
      <c r="K60" s="36">
        <v>1.7256268020067686E-3</v>
      </c>
      <c r="L60" s="4">
        <v>613627.20000000019</v>
      </c>
      <c r="M60" s="36">
        <v>8.8907003778926925E-3</v>
      </c>
      <c r="N60" s="4">
        <v>1534068.0000000005</v>
      </c>
      <c r="O60" s="36">
        <v>7.8098946368929095E-3</v>
      </c>
      <c r="P60" s="4">
        <v>3068136.0000000009</v>
      </c>
      <c r="Q60" s="32">
        <v>8.6799212548316126E-3</v>
      </c>
      <c r="R60" s="9"/>
      <c r="S60" s="9"/>
    </row>
    <row r="61" spans="1:19" outlineLevel="1" x14ac:dyDescent="0.25">
      <c r="A61" s="1">
        <v>2.4</v>
      </c>
      <c r="C61" t="s">
        <v>57</v>
      </c>
      <c r="I61" s="17"/>
      <c r="J61" s="4">
        <v>279936</v>
      </c>
      <c r="K61" s="36">
        <v>7.872288980126152E-3</v>
      </c>
      <c r="L61" s="4">
        <v>279936</v>
      </c>
      <c r="M61" s="36">
        <v>4.0559269553008207E-3</v>
      </c>
      <c r="N61" s="4">
        <v>334692</v>
      </c>
      <c r="O61" s="36">
        <v>1.7039070339847783E-3</v>
      </c>
      <c r="P61" s="4">
        <v>554634</v>
      </c>
      <c r="Q61" s="32">
        <v>1.5690893250013282E-3</v>
      </c>
    </row>
    <row r="62" spans="1:19" outlineLevel="1" x14ac:dyDescent="0.25">
      <c r="A62" s="2">
        <v>2.5</v>
      </c>
      <c r="C62" t="s">
        <v>58</v>
      </c>
      <c r="I62" s="17"/>
      <c r="J62" s="4">
        <v>40531.189278041697</v>
      </c>
      <c r="K62" s="36">
        <v>1.1398077942991788E-3</v>
      </c>
      <c r="L62" s="4">
        <v>335863.80533912504</v>
      </c>
      <c r="M62" s="36">
        <v>4.8662517910696198E-3</v>
      </c>
      <c r="N62" s="4">
        <v>1544200.9345236435</v>
      </c>
      <c r="O62" s="36">
        <v>7.8614811056753799E-3</v>
      </c>
      <c r="P62" s="4">
        <v>3127307.5054070759</v>
      </c>
      <c r="Q62" s="32">
        <v>8.8473206163538053E-3</v>
      </c>
    </row>
    <row r="63" spans="1:19" outlineLevel="1" x14ac:dyDescent="0.25">
      <c r="A63" s="1">
        <v>2.6</v>
      </c>
      <c r="C63" t="s">
        <v>59</v>
      </c>
      <c r="I63" s="17"/>
      <c r="J63" s="4">
        <v>1874.3150000000001</v>
      </c>
      <c r="K63" s="36">
        <v>5.2709009630005248E-5</v>
      </c>
      <c r="L63" s="4">
        <v>18743.150000000001</v>
      </c>
      <c r="M63" s="36">
        <v>2.7156509813759785E-4</v>
      </c>
      <c r="N63" s="4">
        <v>93715.75</v>
      </c>
      <c r="O63" s="36">
        <v>4.7710410054664881E-4</v>
      </c>
      <c r="P63" s="4">
        <v>187431.5</v>
      </c>
      <c r="Q63" s="32">
        <v>5.3025376341693162E-4</v>
      </c>
      <c r="S63" s="10"/>
    </row>
    <row r="64" spans="1:19" x14ac:dyDescent="0.25">
      <c r="I64" s="17"/>
      <c r="J64" s="17"/>
      <c r="K64" s="24"/>
      <c r="L64" s="17"/>
      <c r="M64" s="24"/>
      <c r="N64" s="17"/>
      <c r="O64" s="24"/>
      <c r="P64" s="17"/>
      <c r="Q64" s="17"/>
    </row>
    <row r="65" spans="1:17" s="15" customFormat="1" x14ac:dyDescent="0.25">
      <c r="A65" s="87" t="s">
        <v>176</v>
      </c>
      <c r="B65" s="88"/>
      <c r="C65" s="88"/>
      <c r="D65" s="88"/>
      <c r="E65" s="88"/>
      <c r="F65" s="88"/>
      <c r="G65" s="88"/>
      <c r="H65" s="88"/>
      <c r="I65" s="88"/>
      <c r="J65" s="99">
        <v>1599526.8295378133</v>
      </c>
      <c r="K65" s="90">
        <v>4.4981486602604349E-2</v>
      </c>
      <c r="L65" s="247">
        <v>3333229.5257306905</v>
      </c>
      <c r="M65" s="90">
        <v>4.8294379721135115E-2</v>
      </c>
      <c r="N65" s="247">
        <v>6176040.3034428116</v>
      </c>
      <c r="O65" s="90">
        <v>3.1442037799558072E-2</v>
      </c>
      <c r="P65" s="247">
        <v>9471186.7742336784</v>
      </c>
      <c r="Q65" s="90">
        <v>2.6794495221251904E-2</v>
      </c>
    </row>
    <row r="66" spans="1:17" x14ac:dyDescent="0.25">
      <c r="J66" s="4"/>
      <c r="K66" s="28"/>
      <c r="L66" s="4"/>
      <c r="M66" s="28"/>
      <c r="N66" s="4"/>
      <c r="O66" s="28"/>
      <c r="P66" s="4"/>
    </row>
    <row r="67" spans="1:17" x14ac:dyDescent="0.25">
      <c r="J67" s="6"/>
      <c r="K67" s="24"/>
      <c r="L67" s="6"/>
      <c r="M67" s="24"/>
      <c r="N67" s="6"/>
      <c r="O67" s="24"/>
      <c r="P67" s="6"/>
    </row>
  </sheetData>
  <dataConsolidate/>
  <mergeCells count="1">
    <mergeCell ref="J1:P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Report Tables</vt:lpstr>
      <vt:lpstr>Report Graphs</vt:lpstr>
      <vt:lpstr>Performance &amp; Economics</vt:lpstr>
      <vt:lpstr>CBS (CoE)</vt:lpstr>
      <vt:lpstr>CBS ($ per kW)</vt:lpstr>
      <vt:lpstr>CBS (Total)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dcterms:created xsi:type="dcterms:W3CDTF">2012-04-25T12:13:03Z</dcterms:created>
  <dcterms:modified xsi:type="dcterms:W3CDTF">2012-12-06T19:15:19Z</dcterms:modified>
</cp:coreProperties>
</file>