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à saisir" sheetId="1" state="visible" r:id="rId2"/>
    <sheet name="Plan financier à imprimer" sheetId="2" state="visible" r:id="rId3"/>
    <sheet name="Logiciel" sheetId="3" state="visible" r:id="rId4"/>
  </sheets>
  <definedNames>
    <definedName function="false" hidden="false" localSheetId="1" name="_xlnm.Print_Area" vbProcedure="false">'Plan financier à imprimer'!$A$1:$CG$49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<sst xmlns="http://schemas.openxmlformats.org/spreadsheetml/2006/main" count="434" uniqueCount="298">
  <si>
    <t xml:space="preserve">Saisissez dans cet onglet toutes les données de votre projet</t>
  </si>
  <si>
    <t xml:space="preserve">Le plan financier apparaitra dans l'onglet suivant</t>
  </si>
  <si>
    <t xml:space="preserve">Micro-entreprise</t>
  </si>
  <si>
    <t xml:space="preserve">Oui</t>
  </si>
  <si>
    <t xml:space="preserve">Marchandises (y compris hébergement et restauration)</t>
  </si>
  <si>
    <t xml:space="preserve">Impôt sur le revenu</t>
  </si>
  <si>
    <t xml:space="preserve">Renseignez les cases VERTES uniquement :</t>
  </si>
  <si>
    <t xml:space="preserve">Entreprise individuelle au réel (IR)</t>
  </si>
  <si>
    <t xml:space="preserve">Non</t>
  </si>
  <si>
    <t xml:space="preserve">Services</t>
  </si>
  <si>
    <t xml:space="preserve">Impôt sur les sociétés</t>
  </si>
  <si>
    <t xml:space="preserve">EURL (IS)</t>
  </si>
  <si>
    <t xml:space="preserve">Mixte</t>
  </si>
  <si>
    <t xml:space="preserve">Votre nom :</t>
  </si>
  <si>
    <t xml:space="preserve">SARL (IS)</t>
  </si>
  <si>
    <t xml:space="preserve">Votre projet :</t>
  </si>
  <si>
    <t xml:space="preserve">Nom de votre projet ou description de votre activité</t>
  </si>
  <si>
    <t xml:space="preserve">SAS (IS)</t>
  </si>
  <si>
    <t xml:space="preserve">Votre statut juridique :</t>
  </si>
  <si>
    <r>
      <rPr>
        <i val="true"/>
        <sz val="11"/>
        <color rgb="FF000000"/>
        <rFont val="Calibri"/>
        <family val="2"/>
      </rPr>
      <t xml:space="preserve">Sélectionnez dans la liste déroulante </t>
    </r>
    <r>
      <rPr>
        <b val="true"/>
        <i val="true"/>
        <sz val="11"/>
        <color rgb="FFFF0000"/>
        <rFont val="Calibri"/>
        <family val="2"/>
      </rPr>
      <t xml:space="preserve">(obligatoire)</t>
    </r>
  </si>
  <si>
    <t xml:space="preserve">SASU (IS)</t>
  </si>
  <si>
    <t xml:space="preserve">Votre numéro de téléphone :</t>
  </si>
  <si>
    <t xml:space="preserve">Votre adresse e-mail :</t>
  </si>
  <si>
    <t xml:space="preserve">Votre ville ou commune d'activité :</t>
  </si>
  <si>
    <t xml:space="preserve">Libreville</t>
  </si>
  <si>
    <t xml:space="preserve">IR</t>
  </si>
  <si>
    <t xml:space="preserve">Vente de marchandises ou de services ?</t>
  </si>
  <si>
    <t xml:space="preserve">IS</t>
  </si>
  <si>
    <t xml:space="preserve">1) Vos besoins de démarrage :</t>
  </si>
  <si>
    <r>
      <rPr>
        <i val="true"/>
        <sz val="11"/>
        <color rgb="FF000000"/>
        <rFont val="Calibri"/>
        <family val="2"/>
      </rPr>
      <t xml:space="preserve">Listez toutes les dépenses ou investissements que vous devrez faire </t>
    </r>
    <r>
      <rPr>
        <i val="true"/>
        <u val="single"/>
        <sz val="11"/>
        <color rgb="FF000000"/>
        <rFont val="Calibri"/>
        <family val="2"/>
      </rPr>
      <t xml:space="preserve">avant même de démarrer l’activité, </t>
    </r>
    <r>
      <rPr>
        <i val="true"/>
        <u val="single"/>
        <sz val="11"/>
        <color rgb="FFFF0000"/>
        <rFont val="Calibri"/>
        <family val="2"/>
      </rPr>
      <t xml:space="preserve">en hors taxes (ou TTC si vous n'êtes pas soumis à la TVA)</t>
    </r>
  </si>
  <si>
    <t xml:space="preserve">Montant</t>
  </si>
  <si>
    <t xml:space="preserve">Frais d’établissement </t>
  </si>
  <si>
    <t xml:space="preserve">Ce sont les frais de création de l’entreprise (formalités)</t>
  </si>
  <si>
    <t xml:space="preserve">Frais d’ouverture de compteurs</t>
  </si>
  <si>
    <t xml:space="preserve">Compteurs d'eau, électricité, gaz…</t>
  </si>
  <si>
    <t xml:space="preserve">Logiciels, formations</t>
  </si>
  <si>
    <t xml:space="preserve">Dépôt marque, brevet, modèle</t>
  </si>
  <si>
    <t xml:space="preserve">Frais de dépôt ou d’enregistrement</t>
  </si>
  <si>
    <t xml:space="preserve">Droits d’entrée</t>
  </si>
  <si>
    <t xml:space="preserve">Par exemple pour intégrer un réseau de franchise</t>
  </si>
  <si>
    <t xml:space="preserve">Achat fonds de commerce ou parts</t>
  </si>
  <si>
    <t xml:space="preserve">Dans le cas d'une reprise</t>
  </si>
  <si>
    <t xml:space="preserve">Droit au bail</t>
  </si>
  <si>
    <t xml:space="preserve">Caution ou dépôt de garantie</t>
  </si>
  <si>
    <t xml:space="preserve">Frais de dossier</t>
  </si>
  <si>
    <t xml:space="preserve">Pour la signature de contrats de prêt</t>
  </si>
  <si>
    <t xml:space="preserve">Frais de notaire ou d’avocat</t>
  </si>
  <si>
    <t xml:space="preserve">Pour la signature des contrats et baux commerciaux</t>
  </si>
  <si>
    <t xml:space="preserve">Enseigne et éléments de communication</t>
  </si>
  <si>
    <t xml:space="preserve">Cartes de visite, brochures, logo, site internet, éléments graphiques</t>
  </si>
  <si>
    <t xml:space="preserve">Achat immobilier</t>
  </si>
  <si>
    <t xml:space="preserve">Acquisition d'immeuble</t>
  </si>
  <si>
    <t xml:space="preserve">Travaux et aménagements</t>
  </si>
  <si>
    <t xml:space="preserve">Pour l'aménagement du local</t>
  </si>
  <si>
    <t xml:space="preserve">Matériel</t>
  </si>
  <si>
    <t xml:space="preserve">Matériel, outillage, machines, véhicules…</t>
  </si>
  <si>
    <t xml:space="preserve">Matériel de bureau</t>
  </si>
  <si>
    <t xml:space="preserve">Fournitures, ordinateur, imprimante</t>
  </si>
  <si>
    <t xml:space="preserve">Stock de matières et produits</t>
  </si>
  <si>
    <t xml:space="preserve">Matières premières, produits finis ou semi-finis</t>
  </si>
  <si>
    <t xml:space="preserve">Trésorerie de départ</t>
  </si>
  <si>
    <t xml:space="preserve">Somme d’argent gardée en prévision du démarrage de l’activité pour financer le cible d'exploitation</t>
  </si>
  <si>
    <t xml:space="preserve">TOTAL</t>
  </si>
  <si>
    <t xml:space="preserve">  Durée d'amortissement des investissements :</t>
  </si>
  <si>
    <r>
      <rPr>
        <i val="true"/>
        <sz val="11"/>
        <color rgb="FF000000"/>
        <rFont val="Calibri"/>
        <family val="2"/>
      </rPr>
      <t xml:space="preserve"> (</t>
    </r>
    <r>
      <rPr>
        <b val="true"/>
        <i val="true"/>
        <u val="single"/>
        <sz val="11"/>
        <color rgb="FFFF0000"/>
        <rFont val="Calibri"/>
        <family val="2"/>
      </rPr>
      <t xml:space="preserve">obligatoire</t>
    </r>
    <r>
      <rPr>
        <i val="true"/>
        <sz val="11"/>
        <color rgb="FFFF0000"/>
        <rFont val="Calibri"/>
        <family val="2"/>
      </rPr>
      <t xml:space="preserve"> ;</t>
    </r>
    <r>
      <rPr>
        <i val="true"/>
        <sz val="11"/>
        <color rgb="FF000000"/>
        <rFont val="Calibri"/>
        <family val="2"/>
      </rPr>
      <t xml:space="preserve"> durée de vie des acquisitions de départ, en années)</t>
    </r>
  </si>
  <si>
    <t xml:space="preserve">Montant à amortir</t>
  </si>
  <si>
    <t xml:space="preserve">Année 1</t>
  </si>
  <si>
    <t xml:space="preserve">Année 2</t>
  </si>
  <si>
    <t xml:space="preserve">Année 3</t>
  </si>
  <si>
    <t xml:space="preserve">Année 4</t>
  </si>
  <si>
    <t xml:space="preserve">Année 5</t>
  </si>
  <si>
    <t xml:space="preserve">Année 6</t>
  </si>
  <si>
    <t xml:space="preserve">Année 7</t>
  </si>
  <si>
    <t xml:space="preserve">Année 8</t>
  </si>
  <si>
    <t xml:space="preserve">Année 9</t>
  </si>
  <si>
    <t xml:space="preserve">Année 10</t>
  </si>
  <si>
    <t xml:space="preserve">2) Le financement de vos besoins de démarrage :</t>
  </si>
  <si>
    <t xml:space="preserve">Apport personnel </t>
  </si>
  <si>
    <t xml:space="preserve">Apports en nature (Ordinateur/Imprimante)</t>
  </si>
  <si>
    <t xml:space="preserve">Apport familial ou de l'entourage</t>
  </si>
  <si>
    <t xml:space="preserve">(saisir taux)</t>
  </si>
  <si>
    <t xml:space="preserve">(saisir la durée en mois)</t>
  </si>
  <si>
    <t xml:space="preserve">Prêt n°1 (nom de la banque)</t>
  </si>
  <si>
    <t xml:space="preserve">Prêt n°2 (nom de la banque)</t>
  </si>
  <si>
    <t xml:space="preserve">Prêt n°3 (nom de la banque)</t>
  </si>
  <si>
    <t xml:space="preserve">Subvention n°1 </t>
  </si>
  <si>
    <t xml:space="preserve">Autre financement (Personnel)</t>
  </si>
  <si>
    <t xml:space="preserve">Analyse linéaire</t>
  </si>
  <si>
    <t xml:space="preserve">mensualité</t>
  </si>
  <si>
    <t xml:space="preserve">total à rembourser</t>
  </si>
  <si>
    <t xml:space="preserve">principal mensuel</t>
  </si>
  <si>
    <t xml:space="preserve">Intérêt / mois</t>
  </si>
  <si>
    <t xml:space="preserve">Intérêts sur toute la durée</t>
  </si>
  <si>
    <t xml:space="preserve">Intérêts année 1</t>
  </si>
  <si>
    <t xml:space="preserve">Intérêts année 2</t>
  </si>
  <si>
    <t xml:space="preserve">Intérêts année 3</t>
  </si>
  <si>
    <t xml:space="preserve">Principal année 1</t>
  </si>
  <si>
    <t xml:space="preserve">Principal année 2</t>
  </si>
  <si>
    <t xml:space="preserve">Principal année 3</t>
  </si>
  <si>
    <t xml:space="preserve">Montant prêt n°1</t>
  </si>
  <si>
    <t xml:space="preserve">Montant prêt n°2</t>
  </si>
  <si>
    <t xml:space="preserve">Montant prêt n°3</t>
  </si>
  <si>
    <t xml:space="preserve">3) Vos charges fixes :</t>
  </si>
  <si>
    <r>
      <rPr>
        <i val="true"/>
        <sz val="11"/>
        <color rgb="FF000000"/>
        <rFont val="Calibri"/>
        <family val="2"/>
      </rPr>
      <t xml:space="preserve">Listez toutes les dépenses ou investissements que vous devrez faire </t>
    </r>
    <r>
      <rPr>
        <i val="true"/>
        <u val="single"/>
        <sz val="11"/>
        <color rgb="FF000000"/>
        <rFont val="Calibri"/>
        <family val="2"/>
      </rPr>
      <t xml:space="preserve">avant même de démarrer l’activité, </t>
    </r>
    <r>
      <rPr>
        <i val="true"/>
        <u val="single"/>
        <sz val="11"/>
        <color rgb="FFFF0000"/>
        <rFont val="Calibri"/>
        <family val="2"/>
      </rPr>
      <t xml:space="preserve">en hors taxe (ou TTC si vous n'êtes pas soumis à la TVA).</t>
    </r>
  </si>
  <si>
    <t xml:space="preserve">Montant année 1</t>
  </si>
  <si>
    <t xml:space="preserve">Montant année 2</t>
  </si>
  <si>
    <t xml:space="preserve">Montant année 3</t>
  </si>
  <si>
    <t xml:space="preserve">Assurances</t>
  </si>
  <si>
    <t xml:space="preserve">Téléphone, internet</t>
  </si>
  <si>
    <t xml:space="preserve">Autres abonnements (Gabon Telecom)</t>
  </si>
  <si>
    <t xml:space="preserve">Carburant</t>
  </si>
  <si>
    <t xml:space="preserve">Frais de déplacement et hébergement</t>
  </si>
  <si>
    <t xml:space="preserve">Eau, électricité, gaz</t>
  </si>
  <si>
    <t xml:space="preserve">Mutuelle</t>
  </si>
  <si>
    <t xml:space="preserve">Fournitures diverses</t>
  </si>
  <si>
    <t xml:space="preserve">Entretien matériel et vêtements</t>
  </si>
  <si>
    <t xml:space="preserve">Nettoyage des locaux</t>
  </si>
  <si>
    <t xml:space="preserve">Budget publicité et communication</t>
  </si>
  <si>
    <t xml:space="preserve">Loyer et charges locatives</t>
  </si>
  <si>
    <t xml:space="preserve">Expert comptable, avocats</t>
  </si>
  <si>
    <t xml:space="preserve">Frais bancaires et terminal carte bleue</t>
  </si>
  <si>
    <t xml:space="preserve">Taxes </t>
  </si>
  <si>
    <t xml:space="preserve">Autres charges (inscrire libellé ci-dessous) :</t>
  </si>
  <si>
    <t xml:space="preserve">Libellé autre charge 1 (supprimer si inutile)</t>
  </si>
  <si>
    <t xml:space="preserve">Libellé autre charge 2 (supprimer si inutile)</t>
  </si>
  <si>
    <t xml:space="preserve">Libellé autre charge 3 (supprimer si inutile)</t>
  </si>
  <si>
    <t xml:space="preserve">4) Votre chiffre d'affaires de la première année :</t>
  </si>
  <si>
    <r>
      <rPr>
        <i val="true"/>
        <sz val="11"/>
        <color rgb="FF000000"/>
        <rFont val="Calibri"/>
        <family val="2"/>
      </rPr>
      <t xml:space="preserve">Prévoyez ici le chiffre d'affaires de votre activité (</t>
    </r>
    <r>
      <rPr>
        <i val="true"/>
        <u val="single"/>
        <sz val="11"/>
        <color rgb="FFFF0000"/>
        <rFont val="Calibri"/>
        <family val="2"/>
      </rPr>
      <t xml:space="preserve">hors taxes</t>
    </r>
    <r>
      <rPr>
        <i val="true"/>
        <sz val="11"/>
        <color rgb="FF000000"/>
        <rFont val="Calibri"/>
        <family val="2"/>
      </rPr>
      <t xml:space="preserve">).</t>
    </r>
  </si>
  <si>
    <r>
      <rPr>
        <b val="true"/>
        <sz val="14"/>
        <color rgb="FF000000"/>
        <rFont val="Calibri"/>
        <family val="2"/>
      </rPr>
      <t xml:space="preserve">Année 1 - </t>
    </r>
    <r>
      <rPr>
        <b val="true"/>
        <u val="single"/>
        <sz val="14"/>
        <color rgb="FFFF0000"/>
        <rFont val="Calibri"/>
        <family val="2"/>
      </rPr>
      <t xml:space="preserve">Services</t>
    </r>
  </si>
  <si>
    <t xml:space="preserve">Nombre de jours travaillés</t>
  </si>
  <si>
    <t xml:space="preserve">Chiffre d'affaires moyen / jour</t>
  </si>
  <si>
    <t xml:space="preserve">Chiffre d'affaires mensuel</t>
  </si>
  <si>
    <t xml:space="preserve">Mois 1</t>
  </si>
  <si>
    <t xml:space="preserve">Mois 2</t>
  </si>
  <si>
    <t xml:space="preserve">Mois 3</t>
  </si>
  <si>
    <t xml:space="preserve">Mois 4</t>
  </si>
  <si>
    <t xml:space="preserve">Mois 5</t>
  </si>
  <si>
    <t xml:space="preserve">Mois 6</t>
  </si>
  <si>
    <t xml:space="preserve">Mois 7</t>
  </si>
  <si>
    <t xml:space="preserve">Mois 8</t>
  </si>
  <si>
    <t xml:space="preserve">Mois 9</t>
  </si>
  <si>
    <t xml:space="preserve">Mois 10</t>
  </si>
  <si>
    <t xml:space="preserve">Mois 11</t>
  </si>
  <si>
    <t xml:space="preserve">Mois 12</t>
  </si>
  <si>
    <t xml:space="preserve">  Pourcentage d'augmentation du chiffre d'affaire entre l'année 1 et l'année 2 :</t>
  </si>
  <si>
    <t xml:space="preserve">% d'augmentation du chiffre d'affaire entre l'année 1 et l'année 2 :</t>
  </si>
  <si>
    <t xml:space="preserve">  Pourcentage d'augmentation du chiffre d'affaire entre l'année 2 et l'année 3 :</t>
  </si>
  <si>
    <t xml:space="preserve">% d'augmentation du chiffre d'affaire entre l'année 2 et l'année 3 :</t>
  </si>
  <si>
    <t xml:space="preserve">5) Vos charges variables :</t>
  </si>
  <si>
    <t xml:space="preserve">Les charges variables sont liées au niveau d’activité ou à la production. Il s’agit des achats de marchandises destinées à être revendues, des achats de matières destinées à être transformées, des commissions versées à des agents commerciaux…</t>
  </si>
  <si>
    <t xml:space="preserve">Quel est, en % du prix de vente, le coût d'achat de vos marchandises ?</t>
  </si>
  <si>
    <t xml:space="preserve"> (concerne uniquement le chiffre d'affaires vente de marchandises)</t>
  </si>
  <si>
    <t xml:space="preserve">6) Votre besoin en fonds de roulement :</t>
  </si>
  <si>
    <r>
      <rPr>
        <sz val="11"/>
        <color rgb="FF000000"/>
        <rFont val="Calibri"/>
        <family val="2"/>
      </rPr>
      <t xml:space="preserve">Durée moyenne des crédits accordés aux clients </t>
    </r>
    <r>
      <rPr>
        <b val="true"/>
        <sz val="11"/>
        <color rgb="FF000000"/>
        <rFont val="Calibri"/>
        <family val="2"/>
      </rPr>
      <t xml:space="preserve">en jours</t>
    </r>
  </si>
  <si>
    <t xml:space="preserve"> (temps qu'un client met pour vous payer)</t>
  </si>
  <si>
    <r>
      <rPr>
        <sz val="11"/>
        <color rgb="FF000000"/>
        <rFont val="Calibri"/>
        <family val="2"/>
      </rPr>
      <t xml:space="preserve">Durée moyenne des dettes fournisseurs </t>
    </r>
    <r>
      <rPr>
        <b val="true"/>
        <sz val="11"/>
        <color rgb="FF000000"/>
        <rFont val="Calibri"/>
        <family val="2"/>
      </rPr>
      <t xml:space="preserve">en jours</t>
    </r>
  </si>
  <si>
    <t xml:space="preserve"> (temps que vous mettez pour payer un fournisseur)</t>
  </si>
  <si>
    <t xml:space="preserve">7) Salaires employés et rémunération chef d'entreprise</t>
  </si>
  <si>
    <r>
      <rPr>
        <sz val="11"/>
        <color rgb="FF000000"/>
        <rFont val="Calibri"/>
        <family val="2"/>
      </rPr>
      <t xml:space="preserve">Salaires employés </t>
    </r>
    <r>
      <rPr>
        <b val="true"/>
        <sz val="11"/>
        <color rgb="FF000000"/>
        <rFont val="Calibri"/>
        <family val="2"/>
      </rPr>
      <t xml:space="preserve">(net)</t>
    </r>
  </si>
  <si>
    <r>
      <rPr>
        <i val="true"/>
        <sz val="10"/>
        <color rgb="FF000000"/>
        <rFont val="Calibri"/>
        <family val="2"/>
      </rPr>
      <t xml:space="preserve">  (saisir des chiffres </t>
    </r>
    <r>
      <rPr>
        <i val="true"/>
        <u val="single"/>
        <sz val="10"/>
        <color rgb="FF000000"/>
        <rFont val="Calibri"/>
        <family val="2"/>
      </rPr>
      <t xml:space="preserve">annuels</t>
    </r>
    <r>
      <rPr>
        <i val="true"/>
        <sz val="10"/>
        <color rgb="FF000000"/>
        <rFont val="Calibri"/>
        <family val="2"/>
      </rPr>
      <t xml:space="preserve">)</t>
    </r>
  </si>
  <si>
    <r>
      <rPr>
        <sz val="11"/>
        <color rgb="FF000000"/>
        <rFont val="Calibri"/>
        <family val="2"/>
      </rPr>
      <t xml:space="preserve">Rémunération </t>
    </r>
    <r>
      <rPr>
        <b val="true"/>
        <sz val="11"/>
        <color rgb="FF000000"/>
        <rFont val="Calibri"/>
        <family val="2"/>
      </rPr>
      <t xml:space="preserve">nette</t>
    </r>
    <r>
      <rPr>
        <sz val="11"/>
        <color rgb="FF000000"/>
        <rFont val="Calibri"/>
        <family val="2"/>
      </rPr>
      <t xml:space="preserve"> dirigeant(s)</t>
    </r>
  </si>
  <si>
    <t xml:space="preserve">Le(s) dirigeant(s) bénéficient-ils de l'ACCRE ?</t>
  </si>
  <si>
    <r>
      <rPr>
        <i val="true"/>
        <sz val="11"/>
        <color rgb="FF000000"/>
        <rFont val="Calibri"/>
        <family val="2"/>
      </rPr>
      <t xml:space="preserve">   sélectionnez dans la liste de choix </t>
    </r>
    <r>
      <rPr>
        <b val="true"/>
        <i val="true"/>
        <sz val="11"/>
        <color rgb="FFFF0000"/>
        <rFont val="Calibri"/>
        <family val="2"/>
      </rPr>
      <t xml:space="preserve">(obligatoire)</t>
    </r>
  </si>
  <si>
    <t xml:space="preserve">Cliquez ci-dessous pour obtenir le mot</t>
  </si>
  <si>
    <r>
      <rPr>
        <b val="true"/>
        <sz val="11"/>
        <color rgb="FF000000"/>
        <rFont val="Calibri"/>
        <family val="2"/>
      </rPr>
      <t xml:space="preserve">Calcul des charges sociales </t>
    </r>
    <r>
      <rPr>
        <b val="true"/>
        <sz val="11"/>
        <color rgb="FFFF0000"/>
        <rFont val="Calibri"/>
        <family val="2"/>
      </rPr>
      <t xml:space="preserve">sans ACCRE</t>
    </r>
  </si>
  <si>
    <r>
      <rPr>
        <b val="true"/>
        <sz val="11"/>
        <color rgb="FF000000"/>
        <rFont val="Calibri"/>
        <family val="2"/>
      </rPr>
      <t xml:space="preserve">Calcul des charges sociales avec</t>
    </r>
    <r>
      <rPr>
        <b val="true"/>
        <sz val="11"/>
        <color rgb="FFFF0000"/>
        <rFont val="Calibri"/>
        <family val="2"/>
      </rPr>
      <t xml:space="preserve"> ACCRE</t>
    </r>
  </si>
  <si>
    <t xml:space="preserve">Employés</t>
  </si>
  <si>
    <t xml:space="preserve">MARCHAN</t>
  </si>
  <si>
    <t xml:space="preserve">SERVICES</t>
  </si>
  <si>
    <t xml:space="preserve">Total charges dirigeant (somme.si)</t>
  </si>
  <si>
    <t xml:space="preserve">de passe pour déverrouiller ce doc Excel :</t>
  </si>
  <si>
    <t xml:space="preserve">8) Contrôle de votre seuil de rentabilité :</t>
  </si>
  <si>
    <t xml:space="preserve">1ère année</t>
  </si>
  <si>
    <t xml:space="preserve">D'après les éléments que vous avez indiqués, votre projet est :</t>
  </si>
  <si>
    <t xml:space="preserve">9) Contrôle du niveau de votre trésorerie de départ :</t>
  </si>
  <si>
    <t xml:space="preserve">D'après les éléments que vous avez indiqués, votre trésorerie de départ est :</t>
  </si>
  <si>
    <r>
      <rPr>
        <b val="true"/>
        <sz val="20"/>
        <color rgb="FF984807"/>
        <rFont val="Calibri"/>
        <family val="2"/>
      </rPr>
      <t xml:space="preserve">10) Visualisez et imprimez votre plan financier : </t>
    </r>
    <r>
      <rPr>
        <b val="true"/>
        <u val="single"/>
        <sz val="20"/>
        <color rgb="FF984807"/>
        <rFont val="Calibri"/>
        <family val="2"/>
      </rPr>
      <t xml:space="preserve">voir onglet suivant</t>
    </r>
  </si>
  <si>
    <r>
      <rPr>
        <b val="true"/>
        <i val="true"/>
        <sz val="12"/>
        <color rgb="FF77933C"/>
        <rFont val="Calibri"/>
        <family val="2"/>
      </rPr>
      <t xml:space="preserve">Une remarque sur le fonctionnement de ce fichier ? Envoyez-nous un e-mail à </t>
    </r>
    <r>
      <rPr>
        <b val="true"/>
        <sz val="12"/>
        <color rgb="FF77933C"/>
        <rFont val="Calibri"/>
        <family val="2"/>
      </rPr>
      <t xml:space="preserve">contact@wikicrea.fr</t>
    </r>
  </si>
  <si>
    <t xml:space="preserve">Investissements et financements</t>
  </si>
  <si>
    <t xml:space="preserve">Salaires et charges sociales</t>
  </si>
  <si>
    <t xml:space="preserve">Compte de résultats prévisionnel sur 3 ans</t>
  </si>
  <si>
    <t xml:space="preserve">Soldes intermédiaires de gestion</t>
  </si>
  <si>
    <t xml:space="preserve">Seuil de rentabilité économique</t>
  </si>
  <si>
    <t xml:space="preserve">Plan de financement à trois ans</t>
  </si>
  <si>
    <t xml:space="preserve">Budget prévisionnel de trésorerie</t>
  </si>
  <si>
    <t xml:space="preserve">Budget prévisionnel de trésorerie (suite)</t>
  </si>
  <si>
    <t xml:space="preserve">Projet :</t>
  </si>
  <si>
    <t xml:space="preserve">Hors TVA</t>
  </si>
  <si>
    <t xml:space="preserve">Porteur de projet :</t>
  </si>
  <si>
    <t xml:space="preserve">Statut juridique :</t>
  </si>
  <si>
    <t xml:space="preserve">SARL</t>
  </si>
  <si>
    <t xml:space="preserve"> INVESTISSEMENTS</t>
  </si>
  <si>
    <t xml:space="preserve">Montant (XAF) hors taxes</t>
  </si>
  <si>
    <t xml:space="preserve"> Produits d'exploitation</t>
  </si>
  <si>
    <t xml:space="preserve">Chiffre d'affaires HT Services</t>
  </si>
  <si>
    <t xml:space="preserve">%</t>
  </si>
  <si>
    <t xml:space="preserve"> Ventes + Production réelle</t>
  </si>
  <si>
    <t xml:space="preserve">Première année</t>
  </si>
  <si>
    <t xml:space="preserve">Immobilisations incorporelles</t>
  </si>
  <si>
    <t xml:space="preserve">Achats consommés</t>
  </si>
  <si>
    <t xml:space="preserve"> Charges d'exploitation</t>
  </si>
  <si>
    <t xml:space="preserve">Chiffre d'affaires</t>
  </si>
  <si>
    <t xml:space="preserve">Total des coûts variables</t>
  </si>
  <si>
    <t xml:space="preserve">Etude financière 
prévisionnelle sur 3 ans</t>
  </si>
  <si>
    <t xml:space="preserve">Ventes + production réelle</t>
  </si>
  <si>
    <t xml:space="preserve">Marge sur coûts variables</t>
  </si>
  <si>
    <t xml:space="preserve">   Immobilisations</t>
  </si>
  <si>
    <t xml:space="preserve">Rémunération du (des) dirigeants</t>
  </si>
  <si>
    <t xml:space="preserve"> Taux de marge sur coûts variables</t>
  </si>
  <si>
    <t xml:space="preserve">Variation du Besoin en fonds de roulement</t>
  </si>
  <si>
    <t xml:space="preserve">Apport personnel</t>
  </si>
  <si>
    <t xml:space="preserve">% augmentation</t>
  </si>
  <si>
    <t xml:space="preserve"> Marge brute</t>
  </si>
  <si>
    <t xml:space="preserve"> Marge globale</t>
  </si>
  <si>
    <t xml:space="preserve">Coûts fixes</t>
  </si>
  <si>
    <t xml:space="preserve">Remboursement d'emprunts</t>
  </si>
  <si>
    <t xml:space="preserve">Emprunts</t>
  </si>
  <si>
    <t xml:space="preserve"> Charges sociales du (des) dirigeant(s)</t>
  </si>
  <si>
    <t xml:space="preserve"> Charges externes</t>
  </si>
  <si>
    <t xml:space="preserve">Charges externes</t>
  </si>
  <si>
    <t xml:space="preserve"> Total des charges</t>
  </si>
  <si>
    <t xml:space="preserve"> Total des besoins</t>
  </si>
  <si>
    <t xml:space="preserve">Subventions</t>
  </si>
  <si>
    <t xml:space="preserve"> Valeur ajoutée</t>
  </si>
  <si>
    <t xml:space="preserve">Résultat courant avant impôts</t>
  </si>
  <si>
    <t xml:space="preserve">Autres financements</t>
  </si>
  <si>
    <t xml:space="preserve">Salaires des employés</t>
  </si>
  <si>
    <t xml:space="preserve">Impôts et taxes</t>
  </si>
  <si>
    <t xml:space="preserve"> Seuil de rentabilité (chiffre d'affaires)</t>
  </si>
  <si>
    <t xml:space="preserve">Vente de marchandises</t>
  </si>
  <si>
    <t xml:space="preserve">Charges de personnel</t>
  </si>
  <si>
    <t xml:space="preserve">Excédent / insuffisance</t>
  </si>
  <si>
    <t xml:space="preserve">Vente de services</t>
  </si>
  <si>
    <t xml:space="preserve"> Charges sociales employés</t>
  </si>
  <si>
    <t xml:space="preserve"> Excédent brut d'exploitation</t>
  </si>
  <si>
    <t xml:space="preserve">Point mort en chiffre d'affaires par jour ouvré</t>
  </si>
  <si>
    <t xml:space="preserve">Chiffre d'affaires (total)</t>
  </si>
  <si>
    <t xml:space="preserve">Dotation aux amortissements</t>
  </si>
  <si>
    <t xml:space="preserve">Immobilisations corporelles</t>
  </si>
  <si>
    <t xml:space="preserve"> Résultat d'exploitation</t>
  </si>
  <si>
    <t xml:space="preserve">Capacité d'auto-financement</t>
  </si>
  <si>
    <t xml:space="preserve">Charges financières</t>
  </si>
  <si>
    <t xml:space="preserve"> Total des ressources</t>
  </si>
  <si>
    <t xml:space="preserve">Immobilisations (total)</t>
  </si>
  <si>
    <t xml:space="preserve">Détail des amortissements</t>
  </si>
  <si>
    <t xml:space="preserve">Résultat financier</t>
  </si>
  <si>
    <t xml:space="preserve">Variation de trésorerie</t>
  </si>
  <si>
    <t xml:space="preserve">Échéances emprunt</t>
  </si>
  <si>
    <t xml:space="preserve"> Résultat courant</t>
  </si>
  <si>
    <t xml:space="preserve">Solde de trésorerie</t>
  </si>
  <si>
    <t xml:space="preserve">Achats de marchandises</t>
  </si>
  <si>
    <t xml:space="preserve"> Résultat de l'exercice</t>
  </si>
  <si>
    <t xml:space="preserve">Capacité d'autofinancement</t>
  </si>
  <si>
    <t xml:space="preserve">Besoin en fonds de roulement</t>
  </si>
  <si>
    <t xml:space="preserve">Amortissements incorporels</t>
  </si>
  <si>
    <t xml:space="preserve">TOTAL BESOINS</t>
  </si>
  <si>
    <t xml:space="preserve">Analyse clients / fournisseurs :</t>
  </si>
  <si>
    <t xml:space="preserve">Total charges de personnel</t>
  </si>
  <si>
    <t xml:space="preserve"> FINANCEMENT DES INVESTISSEMENTS</t>
  </si>
  <si>
    <t xml:space="preserve">délai jours</t>
  </si>
  <si>
    <t xml:space="preserve"> Besoins</t>
  </si>
  <si>
    <t xml:space="preserve">Total des décaissements</t>
  </si>
  <si>
    <t xml:space="preserve">Volume crédit client HT</t>
  </si>
  <si>
    <t xml:space="preserve">Total des encaissements</t>
  </si>
  <si>
    <t xml:space="preserve">Salaires employés</t>
  </si>
  <si>
    <t xml:space="preserve"> Ressources</t>
  </si>
  <si>
    <t xml:space="preserve">Solde précédent</t>
  </si>
  <si>
    <t xml:space="preserve">Charges sociales employés</t>
  </si>
  <si>
    <t xml:space="preserve">Volume dettes fournisseurs HT</t>
  </si>
  <si>
    <t xml:space="preserve">Solde du mois</t>
  </si>
  <si>
    <t xml:space="preserve">Prélèvement dirigeant(s)</t>
  </si>
  <si>
    <t xml:space="preserve"> Besoin en fonds de roulement</t>
  </si>
  <si>
    <t xml:space="preserve">Solde de trésorerie (cumul)</t>
  </si>
  <si>
    <t xml:space="preserve">taux</t>
  </si>
  <si>
    <t xml:space="preserve">durée mois</t>
  </si>
  <si>
    <t xml:space="preserve">Amortissements corporels</t>
  </si>
  <si>
    <t xml:space="preserve">Charges sociales dirigeant(s)</t>
  </si>
  <si>
    <t xml:space="preserve">Frais bancaires, charges financières</t>
  </si>
  <si>
    <t xml:space="preserve">Dotations aux amortissements</t>
  </si>
  <si>
    <t xml:space="preserve"> + Dotation aux amortissements</t>
  </si>
  <si>
    <t xml:space="preserve"> Résultat avant impôts</t>
  </si>
  <si>
    <t xml:space="preserve"> - Remboursement des emprunts</t>
  </si>
  <si>
    <t xml:space="preserve">Autofinancement net</t>
  </si>
  <si>
    <t xml:space="preserve"> Résultat net comptable (résultat de l'exercice)</t>
  </si>
  <si>
    <t xml:space="preserve">TOTAL RESSOURCES</t>
  </si>
  <si>
    <t xml:space="preserve">Total amortissements</t>
  </si>
  <si>
    <t xml:space="preserve">Chiffre à prendre en compte pour le calcul RSI EI</t>
  </si>
  <si>
    <t xml:space="preserve">Logiciels</t>
  </si>
  <si>
    <t xml:space="preserve">Type</t>
  </si>
  <si>
    <t xml:space="preserve">Type Abonnement</t>
  </si>
  <si>
    <t xml:space="preserve">Coût Mensuel</t>
  </si>
  <si>
    <t xml:space="preserve">Coût Mensuel (XAF)</t>
  </si>
  <si>
    <t xml:space="preserve">Coût Annuel (XAF)</t>
  </si>
  <si>
    <t xml:space="preserve">Liens</t>
  </si>
  <si>
    <t xml:space="preserve">GRC Contact</t>
  </si>
  <si>
    <t xml:space="preserve">Gestion Commerciale (CRM)</t>
  </si>
  <si>
    <t xml:space="preserve">Premium</t>
  </si>
  <si>
    <t xml:space="preserve">https://www.grc-contact.fr/tarifs-solution-crm</t>
  </si>
</sst>
</file>

<file path=xl/styles.xml><?xml version="1.0" encoding="utf-8"?>
<styleSheet xmlns="http://schemas.openxmlformats.org/spreadsheetml/2006/main">
  <numFmts count="16">
    <numFmt numFmtId="164" formatCode="0\ %"/>
    <numFmt numFmtId="165" formatCode="General"/>
    <numFmt numFmtId="166" formatCode="#\ ##\ ##\ ##\ #0"/>
    <numFmt numFmtId="167" formatCode="MMM\-YY"/>
    <numFmt numFmtId="168" formatCode="\ * #,##0&quot;          &quot;;\-* #,##0&quot;          &quot;;\ * &quot;-          &quot;;\ @\ "/>
    <numFmt numFmtId="169" formatCode="0"/>
    <numFmt numFmtId="170" formatCode="\ * #,##0.00&quot;    &quot;;\-* #,##0.00&quot;    &quot;;\ * \-#&quot;    &quot;;\ @\ "/>
    <numFmt numFmtId="171" formatCode="0.00\ %"/>
    <numFmt numFmtId="172" formatCode="# ??/??"/>
    <numFmt numFmtId="173" formatCode="#,##0.00&quot; €&quot;;[RED]\-#,##0.00&quot; €&quot;"/>
    <numFmt numFmtId="174" formatCode="0.00"/>
    <numFmt numFmtId="175" formatCode="\ * #,##0&quot;    &quot;;\-* #,##0&quot;    &quot;;\ * \-#&quot;    &quot;;\ @\ "/>
    <numFmt numFmtId="176" formatCode="#,##0"/>
    <numFmt numFmtId="177" formatCode="DD/MM/YYYY"/>
    <numFmt numFmtId="178" formatCode="#,##0.00&quot; €&quot;;[RED]#,##0.00&quot; €&quot;"/>
    <numFmt numFmtId="179" formatCode="#,##0\ [$XAF];[RED]#,##0\ [$XAF]"/>
  </numFmts>
  <fonts count="7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8"/>
      <color rgb="FF000000"/>
      <name val="Calibri"/>
      <family val="2"/>
    </font>
    <font>
      <b val="true"/>
      <sz val="16"/>
      <color rgb="FFC00000"/>
      <name val="Calibri"/>
      <family val="2"/>
    </font>
    <font>
      <u val="single"/>
      <sz val="11"/>
      <color rgb="FF0000FF"/>
      <name val="Calibri"/>
      <family val="2"/>
    </font>
    <font>
      <b val="true"/>
      <u val="single"/>
      <sz val="16"/>
      <color rgb="FF0000FF"/>
      <name val="Calibri"/>
      <family val="2"/>
    </font>
    <font>
      <b val="true"/>
      <i val="true"/>
      <sz val="14"/>
      <color rgb="FF77933C"/>
      <name val="Calibri"/>
      <family val="2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b val="true"/>
      <i val="true"/>
      <sz val="11"/>
      <color rgb="FFFF0000"/>
      <name val="Calibri"/>
      <family val="2"/>
    </font>
    <font>
      <b val="true"/>
      <sz val="14"/>
      <color rgb="FF984807"/>
      <name val="Calibri"/>
      <family val="2"/>
    </font>
    <font>
      <i val="true"/>
      <u val="single"/>
      <sz val="11"/>
      <color rgb="FF000000"/>
      <name val="Calibri"/>
      <family val="2"/>
    </font>
    <font>
      <i val="true"/>
      <u val="single"/>
      <sz val="11"/>
      <color rgb="FFFF0000"/>
      <name val="Calibri"/>
      <family val="2"/>
    </font>
    <font>
      <b val="true"/>
      <i val="true"/>
      <sz val="11"/>
      <color rgb="FF000000"/>
      <name val="Calibri"/>
      <family val="2"/>
    </font>
    <font>
      <i val="true"/>
      <sz val="11"/>
      <name val="Calibri"/>
      <family val="2"/>
    </font>
    <font>
      <i val="true"/>
      <sz val="11"/>
      <color rgb="FFFF0000"/>
      <name val="Calibri"/>
      <family val="2"/>
    </font>
    <font>
      <b val="true"/>
      <sz val="12"/>
      <color rgb="FF000000"/>
      <name val="Calibri"/>
      <family val="2"/>
    </font>
    <font>
      <b val="true"/>
      <i val="true"/>
      <u val="single"/>
      <sz val="11"/>
      <color rgb="FFFF0000"/>
      <name val="Calibri"/>
      <family val="2"/>
    </font>
    <font>
      <b val="true"/>
      <sz val="11"/>
      <name val="Calibri"/>
      <family val="2"/>
    </font>
    <font>
      <sz val="16"/>
      <color rgb="FF0000FF"/>
      <name val="Calibri"/>
      <family val="2"/>
    </font>
    <font>
      <b val="true"/>
      <sz val="11"/>
      <color rgb="FFFFFFFF"/>
      <name val="Calibri"/>
      <family val="2"/>
    </font>
    <font>
      <b val="true"/>
      <sz val="14"/>
      <color rgb="FF000000"/>
      <name val="Calibri"/>
      <family val="2"/>
    </font>
    <font>
      <b val="true"/>
      <u val="single"/>
      <sz val="14"/>
      <color rgb="FFFF0000"/>
      <name val="Calibri"/>
      <family val="2"/>
    </font>
    <font>
      <i val="true"/>
      <sz val="10"/>
      <name val="Calibri"/>
      <family val="2"/>
    </font>
    <font>
      <b val="true"/>
      <u val="single"/>
      <sz val="20"/>
      <color rgb="FFFFFFFF"/>
      <name val="Calibri"/>
      <family val="2"/>
    </font>
    <font>
      <i val="true"/>
      <sz val="10"/>
      <color rgb="FF000000"/>
      <name val="Calibri"/>
      <family val="2"/>
    </font>
    <font>
      <i val="true"/>
      <u val="single"/>
      <sz val="10"/>
      <color rgb="FF000000"/>
      <name val="Calibri"/>
      <family val="2"/>
    </font>
    <font>
      <b val="true"/>
      <i val="true"/>
      <sz val="11"/>
      <color rgb="FFC00000"/>
      <name val="Calibri"/>
      <family val="2"/>
    </font>
    <font>
      <sz val="11"/>
      <color rgb="FFC00000"/>
      <name val="Calibri"/>
      <family val="2"/>
    </font>
    <font>
      <b val="true"/>
      <sz val="11"/>
      <color rgb="FFFF0000"/>
      <name val="Calibri"/>
      <family val="2"/>
    </font>
    <font>
      <b val="true"/>
      <sz val="11"/>
      <color rgb="FFC00000"/>
      <name val="Calibri"/>
      <family val="2"/>
    </font>
    <font>
      <b val="true"/>
      <i val="true"/>
      <sz val="11"/>
      <color rgb="FF8EB4E3"/>
      <name val="Calibri"/>
      <family val="2"/>
    </font>
    <font>
      <b val="true"/>
      <u val="single"/>
      <sz val="26"/>
      <color rgb="FFFFFFFF"/>
      <name val="Calibri"/>
      <family val="2"/>
    </font>
    <font>
      <b val="true"/>
      <sz val="12"/>
      <color rgb="FF984807"/>
      <name val="Calibri"/>
      <family val="2"/>
    </font>
    <font>
      <b val="true"/>
      <sz val="20"/>
      <color rgb="FF984807"/>
      <name val="Calibri"/>
      <family val="2"/>
    </font>
    <font>
      <b val="true"/>
      <u val="single"/>
      <sz val="20"/>
      <color rgb="FF984807"/>
      <name val="Calibri"/>
      <family val="2"/>
    </font>
    <font>
      <b val="true"/>
      <i val="true"/>
      <sz val="12"/>
      <color rgb="FF77933C"/>
      <name val="Calibri"/>
      <family val="2"/>
    </font>
    <font>
      <b val="true"/>
      <sz val="12"/>
      <color rgb="FF77933C"/>
      <name val="Calibri"/>
      <family val="2"/>
    </font>
    <font>
      <sz val="10"/>
      <color rgb="FF000000"/>
      <name val="Calibri"/>
      <family val="2"/>
    </font>
    <font>
      <b val="true"/>
      <sz val="20"/>
      <color rgb="FF254061"/>
      <name val="Calibri"/>
      <family val="2"/>
    </font>
    <font>
      <b val="true"/>
      <sz val="18"/>
      <color rgb="FF254061"/>
      <name val="Calibri"/>
      <family val="2"/>
    </font>
    <font>
      <b val="true"/>
      <sz val="16"/>
      <color rgb="FF254061"/>
      <name val="Calibri"/>
      <family val="2"/>
    </font>
    <font>
      <b val="true"/>
      <i val="true"/>
      <sz val="18"/>
      <color rgb="FF000000"/>
      <name val="Calibri"/>
      <family val="2"/>
    </font>
    <font>
      <b val="true"/>
      <i val="true"/>
      <sz val="10"/>
      <color rgb="FF000000"/>
      <name val="Calibri"/>
      <family val="2"/>
    </font>
    <font>
      <sz val="9"/>
      <color rgb="FF000000"/>
      <name val="Calibri"/>
      <family val="2"/>
    </font>
    <font>
      <i val="true"/>
      <sz val="9"/>
      <color rgb="FF000000"/>
      <name val="Calibri"/>
      <family val="2"/>
    </font>
    <font>
      <b val="true"/>
      <sz val="34"/>
      <color rgb="FF254061"/>
      <name val="Calibri"/>
      <family val="2"/>
    </font>
    <font>
      <b val="true"/>
      <sz val="26"/>
      <color rgb="FF000000"/>
      <name val="Calibri"/>
      <family val="2"/>
    </font>
    <font>
      <b val="true"/>
      <sz val="16"/>
      <color rgb="FF000000"/>
      <name val="Calibri"/>
      <family val="2"/>
    </font>
    <font>
      <b val="true"/>
      <sz val="20"/>
      <color rgb="FF376092"/>
      <name val="Calibri"/>
      <family val="2"/>
    </font>
    <font>
      <sz val="10"/>
      <name val="Tahoma"/>
      <family val="2"/>
    </font>
    <font>
      <b val="true"/>
      <i val="true"/>
      <sz val="16"/>
      <name val="Calibri"/>
      <family val="2"/>
    </font>
    <font>
      <b val="true"/>
      <sz val="10"/>
      <name val="Calibri"/>
      <family val="2"/>
    </font>
    <font>
      <b val="true"/>
      <sz val="10"/>
      <name val="Tahoma"/>
      <family val="2"/>
    </font>
    <font>
      <sz val="11"/>
      <color rgb="FFFFFFFF"/>
      <name val="Calibri"/>
      <family val="2"/>
    </font>
    <font>
      <i val="true"/>
      <sz val="10"/>
      <color rgb="FFFFFFFF"/>
      <name val="Calibri"/>
      <family val="2"/>
    </font>
    <font>
      <i val="true"/>
      <sz val="11"/>
      <color rgb="FFFFFFFF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6EFCE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C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77933C"/>
      </patternFill>
    </fill>
    <fill>
      <patternFill patternType="solid">
        <fgColor rgb="FFDDDDDD"/>
        <bgColor rgb="FFD9D9D9"/>
      </patternFill>
    </fill>
    <fill>
      <patternFill patternType="solid">
        <fgColor rgb="FFC3D69B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E46C0A"/>
        <bgColor rgb="FFFF9900"/>
      </patternFill>
    </fill>
    <fill>
      <patternFill patternType="solid">
        <fgColor rgb="FFD9D9D9"/>
        <bgColor rgb="FFDDDDDD"/>
      </patternFill>
    </fill>
    <fill>
      <patternFill patternType="solid">
        <fgColor rgb="FFC00000"/>
        <bgColor rgb="FFCC0000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thin"/>
      <top/>
      <bottom style="thin"/>
      <diagonal/>
    </border>
  </borders>
  <cellStyleXfs count="39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7" fillId="2" borderId="1" applyFont="true" applyBorder="true" applyAlignment="true" applyProtection="false">
      <alignment horizontal="general" vertical="bottom" textRotation="0" wrapText="false" indent="0" shrinkToFit="false"/>
    </xf>
    <xf numFmtId="165" fontId="8" fillId="0" borderId="0" applyFont="true" applyBorder="false" applyAlignment="true" applyProtection="false">
      <alignment horizontal="general" vertical="bottom" textRotation="0" wrapText="false" indent="0" shrinkToFit="false"/>
    </xf>
    <xf numFmtId="165" fontId="9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10" fillId="3" borderId="0" applyFont="true" applyBorder="false" applyAlignment="true" applyProtection="false">
      <alignment horizontal="general" vertical="bottom" textRotation="0" wrapText="false" indent="0" shrinkToFit="false"/>
    </xf>
    <xf numFmtId="165" fontId="11" fillId="2" borderId="0" applyFont="true" applyBorder="false" applyAlignment="true" applyProtection="false">
      <alignment horizontal="general" vertical="bottom" textRotation="0" wrapText="false" indent="0" shrinkToFit="false"/>
    </xf>
    <xf numFmtId="165" fontId="12" fillId="4" borderId="0" applyFont="true" applyBorder="false" applyAlignment="true" applyProtection="false">
      <alignment horizontal="general" vertical="bottom" textRotation="0" wrapText="false" indent="0" shrinkToFit="false"/>
    </xf>
    <xf numFmtId="165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5" borderId="0" applyFont="true" applyBorder="false" applyAlignment="true" applyProtection="false">
      <alignment horizontal="general" vertical="bottom" textRotation="0" wrapText="false" indent="0" shrinkToFit="false"/>
    </xf>
    <xf numFmtId="165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15" fillId="6" borderId="0" applyFont="true" applyBorder="false" applyAlignment="true" applyProtection="false">
      <alignment horizontal="general" vertical="bottom" textRotation="0" wrapText="false" indent="0" shrinkToFit="false"/>
    </xf>
    <xf numFmtId="165" fontId="15" fillId="7" borderId="0" applyFont="true" applyBorder="false" applyAlignment="true" applyProtection="false">
      <alignment horizontal="general" vertical="bottom" textRotation="0" wrapText="false" indent="0" shrinkToFit="false"/>
    </xf>
    <xf numFmtId="165" fontId="14" fillId="8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9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5" fontId="22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6" fontId="0" fillId="9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5" fontId="18" fillId="9" borderId="0" xfId="2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7" fontId="0" fillId="9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bottom" textRotation="0" wrapText="false" indent="6" shrinkToFit="false"/>
      <protection locked="true" hidden="false"/>
    </xf>
    <xf numFmtId="165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8" fontId="0" fillId="9" borderId="0" xfId="38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22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28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21" fillId="0" borderId="2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9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9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32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70" fontId="3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2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33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31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5" fontId="3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9" borderId="0" xfId="0" applyFont="true" applyBorder="false" applyAlignment="true" applyProtection="true">
      <alignment horizontal="left" vertical="bottom" textRotation="0" wrapText="false" indent="2" shrinkToFit="false"/>
      <protection locked="false" hidden="false"/>
    </xf>
    <xf numFmtId="171" fontId="22" fillId="9" borderId="6" xfId="19" applyFont="true" applyBorder="true" applyAlignment="true" applyProtection="true">
      <alignment horizontal="left" vertical="bottom" textRotation="0" wrapText="false" indent="7" shrinkToFit="false"/>
      <protection locked="false" hidden="false"/>
    </xf>
    <xf numFmtId="165" fontId="22" fillId="9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70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70" fontId="0" fillId="9" borderId="7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0" fillId="9" borderId="8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0" fillId="9" borderId="6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9" borderId="7" xfId="38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9" borderId="8" xfId="38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9" borderId="6" xfId="38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1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5" fontId="29" fillId="1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8" fontId="0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9" borderId="7" xfId="15" applyFont="true" applyBorder="true" applyAlignment="true" applyProtection="true">
      <alignment horizontal="left" vertical="bottom" textRotation="0" wrapText="false" indent="2" shrinkToFit="false"/>
      <protection locked="false" hidden="false"/>
    </xf>
    <xf numFmtId="165" fontId="3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3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5" fontId="0" fillId="9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7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9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75" fontId="21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9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30" fillId="0" borderId="9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22" fillId="0" borderId="0" xfId="0" applyFont="true" applyBorder="true" applyAlignment="true" applyProtection="false">
      <alignment horizontal="left" vertical="bottom" textRotation="0" wrapText="true" indent="9" shrinkToFit="false"/>
      <protection locked="true" hidden="false"/>
    </xf>
    <xf numFmtId="165" fontId="3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0" fillId="9" borderId="1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8" fillId="11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9" borderId="1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3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21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75" fontId="0" fillId="9" borderId="7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0" fillId="9" borderId="8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9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1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65" fontId="44" fillId="0" borderId="0" xfId="0" applyFont="true" applyBorder="false" applyAlignment="true" applyProtection="false">
      <alignment horizontal="right" vertical="bottom" textRotation="0" wrapText="false" indent="2" shrinkToFit="false"/>
      <protection locked="true" hidden="false"/>
    </xf>
    <xf numFmtId="170" fontId="21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1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4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2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2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6" fillId="11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0" fillId="0" borderId="0" xfId="0" applyFont="true" applyBorder="false" applyAlignment="true" applyProtection="false">
      <alignment horizontal="left" vertical="bottom" textRotation="0" wrapText="false" indent="4" shrinkToFit="false"/>
      <protection locked="true" hidden="false"/>
    </xf>
    <xf numFmtId="165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2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6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8" fillId="0" borderId="1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9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4" fillId="12" borderId="3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12" borderId="18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12" borderId="5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1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1" fillId="12" borderId="10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4" fillId="0" borderId="23" xfId="3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4" fillId="0" borderId="24" xfId="38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5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9" fillId="0" borderId="26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5" fontId="5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9" fillId="0" borderId="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9" fillId="0" borderId="27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1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1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2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8" fontId="21" fillId="0" borderId="2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2" fillId="0" borderId="26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75" fontId="52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2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26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8" fontId="22" fillId="0" borderId="2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27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2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52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0" borderId="2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2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1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1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52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2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2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14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0" borderId="24" xfId="38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0" fontId="39" fillId="0" borderId="26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8" fontId="39" fillId="0" borderId="35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26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2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2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2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4" fillId="12" borderId="1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14" fillId="12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2" fillId="0" borderId="2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75" fontId="52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5" fontId="52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52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14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8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2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4" fillId="12" borderId="1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12" borderId="5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12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1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2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2" fillId="0" borderId="3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2" fillId="0" borderId="3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2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4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35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12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12" borderId="1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14" fillId="12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9" fillId="0" borderId="26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5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0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2" fillId="0" borderId="3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2" fillId="0" borderId="3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3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0" borderId="3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5" fontId="52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39" fillId="0" borderId="3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39" fillId="0" borderId="3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12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12" borderId="2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12" borderId="4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2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2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33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2" fillId="0" borderId="34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14" fillId="0" borderId="3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0" borderId="0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70" fontId="3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2" fillId="0" borderId="2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left" vertical="bottom" textRotation="0" wrapText="false" indent="6" shrinkToFit="false"/>
      <protection locked="true" hidden="false"/>
    </xf>
    <xf numFmtId="165" fontId="52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9" fillId="0" borderId="0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70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2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76" fontId="1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14" fillId="0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2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5" fontId="3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2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21" fillId="12" borderId="1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2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5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52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3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39" fillId="0" borderId="3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1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52" fillId="0" borderId="3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52" fillId="0" borderId="2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52" fillId="0" borderId="2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4" fillId="1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4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4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39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2" fillId="0" borderId="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2" fillId="0" borderId="27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2" fillId="0" borderId="3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5" fontId="5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4" fillId="0" borderId="3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7" fillId="0" borderId="4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6" fillId="1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7" fillId="1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7" fillId="1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66" fillId="12" borderId="1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6" fillId="12" borderId="1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66" fillId="12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2" fillId="0" borderId="2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6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32" fillId="0" borderId="2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4" fillId="0" borderId="4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5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" fillId="0" borderId="3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15" fillId="0" borderId="3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5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3" fillId="0" borderId="4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0" fillId="0" borderId="26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71" fontId="6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9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0" fillId="0" borderId="2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2" fillId="0" borderId="3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70" fontId="14" fillId="0" borderId="3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3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4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4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0" borderId="4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4" fillId="12" borderId="4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12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" fillId="12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70" fontId="1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4" fillId="10" borderId="8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10" borderId="27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2" fillId="0" borderId="2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75" fontId="52" fillId="0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2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2" fillId="0" borderId="26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5" fontId="14" fillId="0" borderId="3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14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4" fillId="0" borderId="4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4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4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2" fillId="0" borderId="0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70" fontId="52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1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1" fillId="0" borderId="5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52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52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false">
      <alignment horizontal="left" vertical="bottom" textRotation="0" wrapText="false" indent="6" shrinkToFit="false"/>
      <protection locked="true" hidden="false"/>
    </xf>
    <xf numFmtId="165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5" fontId="5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1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1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2" fillId="0" borderId="32" xfId="0" applyFont="true" applyBorder="true" applyAlignment="true" applyProtection="false">
      <alignment horizontal="left" vertical="bottom" textRotation="0" wrapText="false" indent="6" shrinkToFit="false"/>
      <protection locked="true" hidden="false"/>
    </xf>
    <xf numFmtId="168" fontId="52" fillId="0" borderId="33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34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2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39" fillId="0" borderId="0" xfId="3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4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Hyperlink" xfId="27" builtinId="53" customBuiltin="true"/>
    <cellStyle name="Status" xfId="28" builtinId="53" customBuiltin="true"/>
    <cellStyle name="Good" xfId="29" builtinId="53" customBuiltin="true"/>
    <cellStyle name="Neutral" xfId="30" builtinId="53" customBuiltin="true"/>
    <cellStyle name="Bad" xfId="31" builtinId="53" customBuiltin="true"/>
    <cellStyle name="Warning" xfId="32" builtinId="53" customBuiltin="true"/>
    <cellStyle name="Error" xfId="33" builtinId="53" customBuiltin="true"/>
    <cellStyle name="Accent" xfId="34" builtinId="53" customBuiltin="true"/>
    <cellStyle name="Accent 1" xfId="35" builtinId="53" customBuiltin="true"/>
    <cellStyle name="Accent 2" xfId="36" builtinId="53" customBuiltin="true"/>
    <cellStyle name="Accent 3" xfId="37" builtinId="53" customBuiltin="true"/>
    <cellStyle name="*unknown*" xfId="20" builtinId="8" customBuiltin="false"/>
    <cellStyle name="Excel Built-in Comma [0]" xfId="38" builtinId="53" customBuiltin="true"/>
  </cellStyles>
  <dxfs count="4">
    <dxf>
      <font>
        <name val="Calibri"/>
        <family val="2"/>
        <color rgb="FF000000"/>
      </font>
      <numFmt numFmtId="164" formatCode="0\ %"/>
    </dxf>
    <dxf>
      <font>
        <name val="Calibri"/>
        <family val="2"/>
        <color rgb="FF000000"/>
      </font>
      <numFmt numFmtId="164" formatCode="0\ %"/>
    </dxf>
    <dxf>
      <font>
        <name val="Calibri"/>
        <family val="2"/>
        <color rgb="FF000000"/>
      </font>
      <numFmt numFmtId="164" formatCode="0\ %"/>
    </dxf>
    <dxf>
      <font>
        <name val="Calibri"/>
        <family val="2"/>
        <color rgb="FF000000"/>
      </font>
      <numFmt numFmtId="164" formatCode="0\ %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C3D69B"/>
      <rgbColor rgb="FF808080"/>
      <rgbColor rgb="FF9999FF"/>
      <rgbColor rgb="FFCC0000"/>
      <rgbColor rgb="FFFFFFCC"/>
      <rgbColor rgb="FFC6EFC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C00000"/>
      <rgbColor rgb="FF008080"/>
      <rgbColor rgb="FF0000EE"/>
      <rgbColor rgb="FF00CCFF"/>
      <rgbColor rgb="FFDDDDDD"/>
      <rgbColor rgb="FFCCFFCC"/>
      <rgbColor rgb="FFFFFF99"/>
      <rgbColor rgb="FF8EB4E3"/>
      <rgbColor rgb="FFFFC7CE"/>
      <rgbColor rgb="FFCC99FF"/>
      <rgbColor rgb="FFFFCCCC"/>
      <rgbColor rgb="FF3366FF"/>
      <rgbColor rgb="FF33CCCC"/>
      <rgbColor rgb="FF99CC00"/>
      <rgbColor rgb="FFFFCC00"/>
      <rgbColor rgb="FFFF9900"/>
      <rgbColor rgb="FFE46C0A"/>
      <rgbColor rgb="FF376092"/>
      <rgbColor rgb="FF77933C"/>
      <rgbColor rgb="FF003366"/>
      <rgbColor rgb="FF339966"/>
      <rgbColor rgb="FF006100"/>
      <rgbColor rgb="FF333300"/>
      <rgbColor rgb="FF984807"/>
      <rgbColor rgb="FF993366"/>
      <rgbColor rgb="FF25406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61"/>
  <sheetViews>
    <sheetView showFormulas="false" showGridLines="false" showRowColHeaders="true" showZeros="true" rightToLeft="false" tabSelected="true" showOutlineSymbols="true" defaultGridColor="true" view="normal" topLeftCell="A131" colorId="64" zoomScale="93" zoomScaleNormal="93" zoomScalePageLayoutView="100" workbookViewId="0">
      <selection pane="topLeft" activeCell="D114" activeCellId="0" sqref="D114"/>
    </sheetView>
  </sheetViews>
  <sheetFormatPr defaultRowHeight="15" zeroHeight="true" outlineLevelRow="0" outlineLevelCol="0"/>
  <cols>
    <col collapsed="false" customWidth="true" hidden="false" outlineLevel="0" max="1" min="1" style="0" width="40"/>
    <col collapsed="false" customWidth="true" hidden="false" outlineLevel="0" max="4" min="2" style="0" width="19.85"/>
    <col collapsed="false" customWidth="false" hidden="false" outlineLevel="0" max="5" min="5" style="0" width="11.43"/>
    <col collapsed="false" customWidth="true" hidden="false" outlineLevel="0" max="6" min="6" style="0" width="34.14"/>
    <col collapsed="false" customWidth="true" hidden="false" outlineLevel="0" max="8" min="7" style="0" width="17.14"/>
    <col collapsed="false" customWidth="true" hidden="false" outlineLevel="0" max="9" min="9" style="0" width="18.71"/>
    <col collapsed="false" customWidth="true" hidden="true" outlineLevel="0" max="10" min="10" style="0" width="28.29"/>
    <col collapsed="false" customWidth="false" hidden="true" outlineLevel="0" max="1025" min="11" style="0" width="11.43"/>
  </cols>
  <sheetData>
    <row r="1" customFormat="false" ht="23.25" hidden="false" customHeight="false" outlineLevel="0" collapsed="false">
      <c r="A1" s="1" t="s">
        <v>0</v>
      </c>
    </row>
    <row r="2" customFormat="false" ht="21" hidden="false" customHeight="false" outlineLevel="0" collapsed="false">
      <c r="A2" s="2" t="s">
        <v>1</v>
      </c>
    </row>
    <row r="3" customFormat="false" ht="15" hidden="false" customHeight="true" outlineLevel="0" collapsed="false">
      <c r="G3" s="3"/>
      <c r="H3" s="3"/>
      <c r="J3" s="0" t="s">
        <v>2</v>
      </c>
      <c r="K3" s="0" t="s">
        <v>3</v>
      </c>
      <c r="L3" s="0" t="s">
        <v>4</v>
      </c>
      <c r="N3" s="0" t="s">
        <v>5</v>
      </c>
    </row>
    <row r="4" customFormat="false" ht="18.75" hidden="false" customHeight="true" outlineLevel="0" collapsed="false">
      <c r="A4" s="4" t="s">
        <v>6</v>
      </c>
      <c r="G4" s="3"/>
      <c r="H4" s="3"/>
      <c r="J4" s="0" t="s">
        <v>7</v>
      </c>
      <c r="K4" s="0" t="s">
        <v>8</v>
      </c>
      <c r="L4" s="0" t="s">
        <v>9</v>
      </c>
      <c r="N4" s="0" t="s">
        <v>10</v>
      </c>
    </row>
    <row r="5" customFormat="false" ht="15" hidden="false" customHeight="true" outlineLevel="0" collapsed="false">
      <c r="G5" s="3"/>
      <c r="H5" s="3"/>
      <c r="J5" s="0" t="s">
        <v>11</v>
      </c>
      <c r="L5" s="0" t="s">
        <v>12</v>
      </c>
    </row>
    <row r="6" customFormat="false" ht="15" hidden="false" customHeight="true" outlineLevel="0" collapsed="false">
      <c r="A6" s="5" t="s">
        <v>13</v>
      </c>
      <c r="B6" s="6"/>
      <c r="C6" s="6"/>
      <c r="G6" s="3"/>
      <c r="H6" s="3"/>
      <c r="J6" s="0" t="s">
        <v>14</v>
      </c>
    </row>
    <row r="7" customFormat="false" ht="15" hidden="false" customHeight="true" outlineLevel="0" collapsed="false">
      <c r="A7" s="5" t="s">
        <v>15</v>
      </c>
      <c r="B7" s="6"/>
      <c r="C7" s="6"/>
      <c r="D7" s="7" t="s">
        <v>16</v>
      </c>
      <c r="G7" s="3"/>
      <c r="H7" s="3"/>
      <c r="J7" s="0" t="s">
        <v>17</v>
      </c>
    </row>
    <row r="8" customFormat="false" ht="15" hidden="false" customHeight="true" outlineLevel="0" collapsed="false">
      <c r="A8" s="5" t="s">
        <v>18</v>
      </c>
      <c r="B8" s="6"/>
      <c r="C8" s="6"/>
      <c r="D8" s="7" t="s">
        <v>19</v>
      </c>
      <c r="G8" s="3"/>
      <c r="H8" s="3"/>
      <c r="J8" s="0" t="s">
        <v>20</v>
      </c>
    </row>
    <row r="9" customFormat="false" ht="15" hidden="false" customHeight="true" outlineLevel="0" collapsed="false">
      <c r="A9" s="5" t="s">
        <v>21</v>
      </c>
      <c r="B9" s="8"/>
      <c r="C9" s="8"/>
      <c r="G9" s="3"/>
      <c r="H9" s="3"/>
    </row>
    <row r="10" customFormat="false" ht="15" hidden="false" customHeight="true" outlineLevel="0" collapsed="false">
      <c r="A10" s="5" t="s">
        <v>22</v>
      </c>
      <c r="B10" s="9"/>
      <c r="C10" s="9"/>
      <c r="G10" s="3"/>
      <c r="H10" s="3"/>
    </row>
    <row r="11" customFormat="false" ht="15" hidden="false" customHeight="true" outlineLevel="0" collapsed="false">
      <c r="A11" s="5" t="s">
        <v>23</v>
      </c>
      <c r="B11" s="6" t="s">
        <v>24</v>
      </c>
      <c r="C11" s="6"/>
      <c r="G11" s="3"/>
      <c r="H11" s="3"/>
      <c r="J11" s="0" t="s">
        <v>2</v>
      </c>
      <c r="K11" s="0" t="s">
        <v>25</v>
      </c>
    </row>
    <row r="12" customFormat="false" ht="15.75" hidden="false" customHeight="true" outlineLevel="0" collapsed="false">
      <c r="A12" s="10"/>
      <c r="B12" s="11"/>
      <c r="C12" s="11"/>
      <c r="G12" s="3"/>
      <c r="H12" s="3"/>
      <c r="J12" s="0" t="s">
        <v>7</v>
      </c>
      <c r="K12" s="0" t="s">
        <v>25</v>
      </c>
    </row>
    <row r="13" customFormat="false" ht="15" hidden="false" customHeight="false" outlineLevel="0" collapsed="false">
      <c r="A13" s="5" t="s">
        <v>26</v>
      </c>
      <c r="B13" s="12" t="s">
        <v>9</v>
      </c>
      <c r="C13" s="12"/>
      <c r="D13" s="12"/>
      <c r="E13" s="7" t="s">
        <v>19</v>
      </c>
      <c r="J13" s="0" t="s">
        <v>11</v>
      </c>
      <c r="K13" s="0" t="s">
        <v>27</v>
      </c>
    </row>
    <row r="14" customFormat="false" ht="27.75" hidden="false" customHeight="true" outlineLevel="0" collapsed="false">
      <c r="A14" s="13" t="s">
        <v>28</v>
      </c>
      <c r="J14" s="0" t="s">
        <v>14</v>
      </c>
      <c r="K14" s="0" t="s">
        <v>27</v>
      </c>
    </row>
    <row r="15" customFormat="false" ht="15" hidden="false" customHeight="false" outlineLevel="0" collapsed="false">
      <c r="A15" s="14" t="s">
        <v>29</v>
      </c>
      <c r="J15" s="0" t="s">
        <v>17</v>
      </c>
      <c r="K15" s="0" t="s">
        <v>27</v>
      </c>
    </row>
    <row r="16" customFormat="false" ht="15" hidden="false" customHeight="false" outlineLevel="0" collapsed="false">
      <c r="B16" s="15" t="s">
        <v>30</v>
      </c>
      <c r="J16" s="0" t="s">
        <v>20</v>
      </c>
      <c r="K16" s="0" t="s">
        <v>27</v>
      </c>
    </row>
    <row r="17" customFormat="false" ht="15" hidden="false" customHeight="true" outlineLevel="0" collapsed="false">
      <c r="A17" s="16" t="s">
        <v>31</v>
      </c>
      <c r="B17" s="17"/>
      <c r="C17" s="18" t="s">
        <v>32</v>
      </c>
      <c r="G17" s="3"/>
      <c r="H17" s="3"/>
    </row>
    <row r="18" customFormat="false" ht="15" hidden="false" customHeight="true" outlineLevel="0" collapsed="false">
      <c r="A18" s="16" t="s">
        <v>33</v>
      </c>
      <c r="B18" s="17"/>
      <c r="C18" s="18" t="s">
        <v>34</v>
      </c>
      <c r="G18" s="3"/>
      <c r="H18" s="3"/>
    </row>
    <row r="19" customFormat="false" ht="15" hidden="false" customHeight="true" outlineLevel="0" collapsed="false">
      <c r="A19" s="16" t="s">
        <v>35</v>
      </c>
      <c r="B19" s="17"/>
      <c r="C19" s="18"/>
      <c r="G19" s="3"/>
      <c r="H19" s="3"/>
    </row>
    <row r="20" customFormat="false" ht="15" hidden="false" customHeight="true" outlineLevel="0" collapsed="false">
      <c r="A20" s="16" t="s">
        <v>36</v>
      </c>
      <c r="B20" s="17"/>
      <c r="C20" s="18" t="s">
        <v>37</v>
      </c>
      <c r="G20" s="3"/>
      <c r="H20" s="3"/>
    </row>
    <row r="21" customFormat="false" ht="15" hidden="false" customHeight="true" outlineLevel="0" collapsed="false">
      <c r="A21" s="16" t="s">
        <v>38</v>
      </c>
      <c r="B21" s="17"/>
      <c r="C21" s="18" t="s">
        <v>39</v>
      </c>
      <c r="G21" s="3"/>
      <c r="H21" s="3"/>
    </row>
    <row r="22" customFormat="false" ht="15" hidden="false" customHeight="true" outlineLevel="0" collapsed="false">
      <c r="A22" s="16" t="s">
        <v>40</v>
      </c>
      <c r="B22" s="17"/>
      <c r="C22" s="18" t="s">
        <v>41</v>
      </c>
      <c r="G22" s="3"/>
      <c r="H22" s="3"/>
    </row>
    <row r="23" customFormat="false" ht="15" hidden="false" customHeight="true" outlineLevel="0" collapsed="false">
      <c r="A23" s="16" t="s">
        <v>42</v>
      </c>
      <c r="B23" s="17"/>
      <c r="C23" s="18"/>
      <c r="G23" s="3"/>
      <c r="H23" s="3"/>
    </row>
    <row r="24" customFormat="false" ht="15" hidden="false" customHeight="true" outlineLevel="0" collapsed="false">
      <c r="A24" s="16" t="s">
        <v>43</v>
      </c>
      <c r="B24" s="17"/>
      <c r="C24" s="18"/>
      <c r="G24" s="3"/>
      <c r="H24" s="3"/>
    </row>
    <row r="25" customFormat="false" ht="15" hidden="false" customHeight="true" outlineLevel="0" collapsed="false">
      <c r="A25" s="16" t="s">
        <v>44</v>
      </c>
      <c r="B25" s="17"/>
      <c r="C25" s="18" t="s">
        <v>45</v>
      </c>
      <c r="G25" s="3"/>
      <c r="H25" s="3"/>
    </row>
    <row r="26" customFormat="false" ht="15.75" hidden="false" customHeight="true" outlineLevel="0" collapsed="false">
      <c r="A26" s="16" t="s">
        <v>46</v>
      </c>
      <c r="B26" s="17"/>
      <c r="C26" s="18" t="s">
        <v>47</v>
      </c>
      <c r="G26" s="3"/>
      <c r="H26" s="3"/>
    </row>
    <row r="27" customFormat="false" ht="15" hidden="false" customHeight="false" outlineLevel="0" collapsed="false">
      <c r="A27" s="16" t="s">
        <v>48</v>
      </c>
      <c r="B27" s="17"/>
      <c r="C27" s="18" t="s">
        <v>49</v>
      </c>
    </row>
    <row r="28" customFormat="false" ht="15" hidden="false" customHeight="false" outlineLevel="0" collapsed="false">
      <c r="A28" s="16" t="s">
        <v>50</v>
      </c>
      <c r="B28" s="17"/>
      <c r="C28" s="18" t="s">
        <v>51</v>
      </c>
    </row>
    <row r="29" customFormat="false" ht="15" hidden="false" customHeight="false" outlineLevel="0" collapsed="false">
      <c r="A29" s="16" t="s">
        <v>52</v>
      </c>
      <c r="B29" s="17"/>
      <c r="C29" s="18" t="s">
        <v>53</v>
      </c>
    </row>
    <row r="30" customFormat="false" ht="15" hidden="false" customHeight="false" outlineLevel="0" collapsed="false">
      <c r="A30" s="16" t="s">
        <v>54</v>
      </c>
      <c r="B30" s="17"/>
      <c r="C30" s="18" t="s">
        <v>55</v>
      </c>
    </row>
    <row r="31" customFormat="false" ht="15" hidden="false" customHeight="false" outlineLevel="0" collapsed="false">
      <c r="A31" s="16" t="s">
        <v>56</v>
      </c>
      <c r="B31" s="17"/>
      <c r="C31" s="18" t="s">
        <v>57</v>
      </c>
    </row>
    <row r="32" customFormat="false" ht="15" hidden="false" customHeight="false" outlineLevel="0" collapsed="false">
      <c r="A32" s="16" t="s">
        <v>58</v>
      </c>
      <c r="B32" s="17"/>
      <c r="C32" s="18" t="s">
        <v>59</v>
      </c>
    </row>
    <row r="33" customFormat="false" ht="15.75" hidden="false" customHeight="false" outlineLevel="0" collapsed="false">
      <c r="A33" s="16" t="s">
        <v>60</v>
      </c>
      <c r="B33" s="17"/>
      <c r="C33" s="19" t="s">
        <v>61</v>
      </c>
    </row>
    <row r="34" customFormat="false" ht="15.75" hidden="false" customHeight="false" outlineLevel="0" collapsed="false">
      <c r="A34" s="20" t="s">
        <v>62</v>
      </c>
      <c r="B34" s="21" t="n">
        <f aca="false">SUM(B17:B33)</f>
        <v>0</v>
      </c>
      <c r="C34" s="22"/>
    </row>
    <row r="35" customFormat="false" ht="15" hidden="false" customHeight="false" outlineLevel="0" collapsed="false">
      <c r="C35" s="22"/>
    </row>
    <row r="36" customFormat="false" ht="15.75" hidden="false" customHeight="false" outlineLevel="0" collapsed="false">
      <c r="A36" s="23" t="s">
        <v>63</v>
      </c>
      <c r="C36" s="24" t="n">
        <v>5</v>
      </c>
      <c r="D36" s="25" t="s">
        <v>64</v>
      </c>
    </row>
    <row r="37" customFormat="false" ht="15" hidden="false" customHeight="false" outlineLevel="0" collapsed="false">
      <c r="C37" s="22"/>
    </row>
    <row r="38" customFormat="false" ht="15" hidden="true" customHeight="false" outlineLevel="0" collapsed="false">
      <c r="B38" s="26" t="s">
        <v>65</v>
      </c>
      <c r="C38" s="27" t="s">
        <v>66</v>
      </c>
      <c r="D38" s="27" t="s">
        <v>67</v>
      </c>
      <c r="E38" s="28" t="s">
        <v>68</v>
      </c>
      <c r="F38" s="27" t="s">
        <v>69</v>
      </c>
      <c r="G38" s="27" t="s">
        <v>70</v>
      </c>
      <c r="H38" s="27" t="s">
        <v>71</v>
      </c>
      <c r="I38" s="27" t="s">
        <v>72</v>
      </c>
      <c r="J38" s="27" t="s">
        <v>73</v>
      </c>
      <c r="K38" s="27" t="s">
        <v>74</v>
      </c>
      <c r="L38" s="27" t="s">
        <v>75</v>
      </c>
      <c r="M38" s="27" t="s">
        <v>62</v>
      </c>
    </row>
    <row r="39" customFormat="false" ht="15" hidden="true" customHeight="false" outlineLevel="0" collapsed="false">
      <c r="B39" s="29" t="n">
        <f aca="false">SUM(B17,B19,B21,B25:B31)</f>
        <v>0</v>
      </c>
      <c r="C39" s="30" t="n">
        <f aca="false">IF(ISERROR($B39/$C$36),0,$B39/$C$36)</f>
        <v>0</v>
      </c>
      <c r="D39" s="30" t="n">
        <f aca="false">IF($B39&gt;(SUM(C39:$C39)),IF(ISERROR($B39/$C$36),"",$B39/$C$36),0)</f>
        <v>0</v>
      </c>
      <c r="E39" s="30" t="n">
        <f aca="false">IF($B39&gt;(SUM($C39:D39)),IF(ISERROR($B39/$C$36),"",$B39/$C$36),0)</f>
        <v>0</v>
      </c>
      <c r="F39" s="30" t="n">
        <f aca="false">IF($B39&gt;(SUM($C39:E39)),IF(ISERROR($B39/$C$36),"",$B39/$C$36),0)</f>
        <v>0</v>
      </c>
      <c r="G39" s="30" t="n">
        <f aca="false">IF($B39&gt;(SUM($C39:F39)),IF(ISERROR($B39/$C$36),"",$B39/$C$36),0)</f>
        <v>0</v>
      </c>
      <c r="H39" s="30" t="n">
        <f aca="false">IF($B39&gt;(SUM($C39:G39)),IF(ISERROR($B39/$C$36),"",$B39/$C$36),0)</f>
        <v>0</v>
      </c>
      <c r="I39" s="30" t="n">
        <f aca="false">IF($B39&gt;(SUM($C39:H39)),IF(ISERROR($B39/$C$36),"",$B39/$C$36),0)</f>
        <v>0</v>
      </c>
      <c r="J39" s="30" t="n">
        <f aca="false">IF($B39&gt;(SUM($C39:I39)),IF(ISERROR($B39/$C$36),"",$B39/$C$36),0)</f>
        <v>0</v>
      </c>
      <c r="K39" s="30" t="n">
        <f aca="false">IF($B39&gt;(SUM($C39:J39)),IF(ISERROR($B39/$C$36),"",$B39/$C$36),0)</f>
        <v>0</v>
      </c>
      <c r="L39" s="30" t="n">
        <f aca="false">IF($B39&gt;(SUM($C39:K39)),IF(ISERROR($B39/$C$36),"",$B39/$C$36),0)</f>
        <v>0</v>
      </c>
      <c r="M39" s="31" t="n">
        <f aca="false">SUM(C39:L39)</f>
        <v>0</v>
      </c>
    </row>
    <row r="40" customFormat="false" ht="15" hidden="true" customHeight="false" outlineLevel="0" collapsed="false">
      <c r="A40" s="0" t="str">
        <f aca="false">A17</f>
        <v>Frais d’établissement </v>
      </c>
      <c r="B40" s="32" t="n">
        <f aca="false">B17</f>
        <v>0</v>
      </c>
      <c r="C40" s="27" t="n">
        <f aca="false">IF(ISERROR($B40/$C$36),0,$B40/$C$36)</f>
        <v>0</v>
      </c>
      <c r="D40" s="27" t="n">
        <f aca="false">IF($B40&gt;(SUM(C40:$C40)),IF(ISERROR($B40/$C$36),"",$B40/$C$36),0)</f>
        <v>0</v>
      </c>
      <c r="E40" s="27" t="n">
        <f aca="false">IF($B40&gt;(SUM($C40:D40)),IF(ISERROR($B40/$C$36),"",$B40/$C$36),0)</f>
        <v>0</v>
      </c>
      <c r="F40" s="27" t="n">
        <f aca="false">IF($B40&gt;(SUM($C40:E40)),IF(ISERROR($B40/$C$36),"",$B40/$C$36),0)</f>
        <v>0</v>
      </c>
      <c r="G40" s="27" t="n">
        <f aca="false">IF($B40&gt;(SUM($C40:F40)),IF(ISERROR($B40/$C$36),"",$B40/$C$36),0)</f>
        <v>0</v>
      </c>
      <c r="H40" s="27" t="n">
        <f aca="false">IF($B40&gt;(SUM($C40:G40)),IF(ISERROR($B40/$C$36),"",$B40/$C$36),0)</f>
        <v>0</v>
      </c>
      <c r="I40" s="27" t="n">
        <f aca="false">IF($B40&gt;(SUM($C40:H40)),IF(ISERROR($B40/$C$36),"",$B40/$C$36),0)</f>
        <v>0</v>
      </c>
      <c r="J40" s="27" t="n">
        <f aca="false">IF($B40&gt;(SUM($C40:I40)),IF(ISERROR($B40/$C$36),"",$B40/$C$36),0)</f>
        <v>0</v>
      </c>
      <c r="K40" s="27" t="n">
        <f aca="false">IF($B40&gt;(SUM($C40:J40)),IF(ISERROR($B40/$C$36),"",$B40/$C$36),0)</f>
        <v>0</v>
      </c>
      <c r="L40" s="27" t="n">
        <f aca="false">IF($B40&gt;(SUM($C40:K40)),IF(ISERROR($B40/$C$36),"",$B40/$C$36),0)</f>
        <v>0</v>
      </c>
      <c r="M40" s="27" t="n">
        <f aca="false">SUM(C40:L40)</f>
        <v>0</v>
      </c>
    </row>
    <row r="41" customFormat="false" ht="15" hidden="true" customHeight="false" outlineLevel="0" collapsed="false">
      <c r="B41" s="32"/>
      <c r="C41" s="27"/>
      <c r="D41" s="27"/>
      <c r="E41" s="27"/>
      <c r="F41" s="27"/>
      <c r="G41" s="27"/>
      <c r="H41" s="27"/>
      <c r="I41" s="27"/>
      <c r="J41" s="27" t="n">
        <f aca="false">IF($B41&gt;(SUM($C41:I41)),IF(ISERROR($B41/$C$36),"",$B41/$C$36),0)</f>
        <v>0</v>
      </c>
      <c r="K41" s="27" t="n">
        <f aca="false">IF($B41&gt;(SUM($C41:J41)),IF(ISERROR($B41/$C$36),"",$B41/$C$36),0)</f>
        <v>0</v>
      </c>
      <c r="L41" s="27" t="n">
        <f aca="false">IF($B41&gt;(SUM($C41:K41)),IF(ISERROR($B41/$C$36),"",$B41/$C$36),0)</f>
        <v>0</v>
      </c>
      <c r="M41" s="27" t="n">
        <f aca="false">SUM(C41:L41)</f>
        <v>0</v>
      </c>
    </row>
    <row r="42" customFormat="false" ht="15" hidden="true" customHeight="false" outlineLevel="0" collapsed="false">
      <c r="A42" s="0" t="str">
        <f aca="false">A19</f>
        <v>Logiciels, formations</v>
      </c>
      <c r="B42" s="32" t="n">
        <f aca="false">B19</f>
        <v>0</v>
      </c>
      <c r="C42" s="27" t="n">
        <f aca="false">IF(ISERROR($B42/$C$36),0,$B42/$C$36)</f>
        <v>0</v>
      </c>
      <c r="D42" s="27" t="n">
        <f aca="false">IF($B42&gt;(SUM(C42:$C42)),IF(ISERROR($B42/$C$36),"",$B42/$C$36),0)</f>
        <v>0</v>
      </c>
      <c r="E42" s="27" t="n">
        <f aca="false">IF($B42&gt;(SUM($C42:D42)),IF(ISERROR($B42/$C$36),"",$B42/$C$36),0)</f>
        <v>0</v>
      </c>
      <c r="F42" s="27" t="n">
        <f aca="false">IF($B42&gt;(SUM($C42:E42)),IF(ISERROR($B42/$C$36),"",$B42/$C$36),0)</f>
        <v>0</v>
      </c>
      <c r="G42" s="27" t="n">
        <f aca="false">IF($B42&gt;(SUM($C42:F42)),IF(ISERROR($B42/$C$36),"",$B42/$C$36),0)</f>
        <v>0</v>
      </c>
      <c r="H42" s="27" t="n">
        <f aca="false">IF($B42&gt;(SUM($C42:G42)),IF(ISERROR($B42/$C$36),"",$B42/$C$36),0)</f>
        <v>0</v>
      </c>
      <c r="I42" s="27" t="n">
        <f aca="false">IF($B42&gt;(SUM($C42:H42)),IF(ISERROR($B42/$C$36),"",$B42/$C$36),0)</f>
        <v>0</v>
      </c>
      <c r="J42" s="27" t="n">
        <f aca="false">IF($B42&gt;(SUM($C42:I42)),IF(ISERROR($B42/$C$36),"",$B42/$C$36),0)</f>
        <v>0</v>
      </c>
      <c r="K42" s="27" t="n">
        <f aca="false">IF($B42&gt;(SUM($C42:J42)),IF(ISERROR($B42/$C$36),"",$B42/$C$36),0)</f>
        <v>0</v>
      </c>
      <c r="L42" s="27" t="n">
        <f aca="false">IF($B42&gt;(SUM($C42:K42)),IF(ISERROR($B42/$C$36),"",$B42/$C$36),0)</f>
        <v>0</v>
      </c>
      <c r="M42" s="27" t="n">
        <f aca="false">SUM(C42:L42)</f>
        <v>0</v>
      </c>
    </row>
    <row r="43" customFormat="false" ht="15" hidden="true" customHeight="false" outlineLevel="0" collapsed="false">
      <c r="B43" s="32"/>
      <c r="C43" s="27"/>
      <c r="D43" s="27"/>
      <c r="E43" s="27"/>
      <c r="F43" s="27"/>
      <c r="G43" s="27"/>
      <c r="H43" s="27"/>
      <c r="I43" s="27"/>
      <c r="J43" s="27" t="n">
        <f aca="false">IF($B43&gt;(SUM($C43:I43)),IF(ISERROR($B43/$C$36),"",$B43/$C$36),0)</f>
        <v>0</v>
      </c>
      <c r="K43" s="27" t="n">
        <f aca="false">IF($B43&gt;(SUM($C43:J43)),IF(ISERROR($B43/$C$36),"",$B43/$C$36),0)</f>
        <v>0</v>
      </c>
      <c r="L43" s="27" t="n">
        <f aca="false">IF($B43&gt;(SUM($C43:K43)),IF(ISERROR($B43/$C$36),"",$B43/$C$36),0)</f>
        <v>0</v>
      </c>
      <c r="M43" s="27" t="n">
        <f aca="false">SUM(C43:L43)</f>
        <v>0</v>
      </c>
    </row>
    <row r="44" customFormat="false" ht="15" hidden="true" customHeight="false" outlineLevel="0" collapsed="false">
      <c r="A44" s="0" t="str">
        <f aca="false">A21</f>
        <v>Droits d’entrée</v>
      </c>
      <c r="B44" s="32" t="n">
        <f aca="false">B21</f>
        <v>0</v>
      </c>
      <c r="C44" s="27" t="n">
        <f aca="false">IF(ISERROR($B44/$C$36),0,$B44/$C$36)</f>
        <v>0</v>
      </c>
      <c r="D44" s="27" t="n">
        <f aca="false">IF($B44&gt;(SUM(C44:$C44)),IF(ISERROR($B44/$C$36),"",$B44/$C$36),0)</f>
        <v>0</v>
      </c>
      <c r="E44" s="27" t="n">
        <f aca="false">IF($B44&gt;(SUM($C44:D44)),IF(ISERROR($B44/$C$36),"",$B44/$C$36),0)</f>
        <v>0</v>
      </c>
      <c r="F44" s="27" t="n">
        <f aca="false">IF($B44&gt;(SUM($C44:E44)),IF(ISERROR($B44/$C$36),"",$B44/$C$36),0)</f>
        <v>0</v>
      </c>
      <c r="G44" s="27" t="n">
        <f aca="false">IF($B44&gt;(SUM($C44:F44)),IF(ISERROR($B44/$C$36),"",$B44/$C$36),0)</f>
        <v>0</v>
      </c>
      <c r="H44" s="27" t="n">
        <f aca="false">IF($B44&gt;(SUM($C44:G44)),IF(ISERROR($B44/$C$36),"",$B44/$C$36),0)</f>
        <v>0</v>
      </c>
      <c r="I44" s="27" t="n">
        <f aca="false">IF($B44&gt;(SUM($C44:H44)),IF(ISERROR($B44/$C$36),"",$B44/$C$36),0)</f>
        <v>0</v>
      </c>
      <c r="J44" s="27" t="n">
        <f aca="false">IF($B44&gt;(SUM($C44:I44)),IF(ISERROR($B44/$C$36),"",$B44/$C$36),0)</f>
        <v>0</v>
      </c>
      <c r="K44" s="27" t="n">
        <f aca="false">IF($B44&gt;(SUM($C44:J44)),IF(ISERROR($B44/$C$36),"",$B44/$C$36),0)</f>
        <v>0</v>
      </c>
      <c r="L44" s="27" t="n">
        <f aca="false">IF($B44&gt;(SUM($C44:K44)),IF(ISERROR($B44/$C$36),"",$B44/$C$36),0)</f>
        <v>0</v>
      </c>
      <c r="M44" s="27" t="n">
        <f aca="false">SUM(C44:L44)</f>
        <v>0</v>
      </c>
    </row>
    <row r="45" customFormat="false" ht="15" hidden="true" customHeight="false" outlineLevel="0" collapsed="false">
      <c r="B45" s="32"/>
      <c r="C45" s="27"/>
      <c r="D45" s="27"/>
      <c r="E45" s="27"/>
      <c r="F45" s="27"/>
      <c r="G45" s="27"/>
      <c r="H45" s="27"/>
      <c r="I45" s="27"/>
      <c r="J45" s="27" t="n">
        <f aca="false">IF($B45&gt;(SUM($C45:I45)),IF(ISERROR($B45/$C$36),"",$B45/$C$36),0)</f>
        <v>0</v>
      </c>
      <c r="K45" s="27" t="n">
        <f aca="false">IF($B45&gt;(SUM($C45:J45)),IF(ISERROR($B45/$C$36),"",$B45/$C$36),0)</f>
        <v>0</v>
      </c>
      <c r="L45" s="27" t="n">
        <f aca="false">IF($B45&gt;(SUM($C45:K45)),IF(ISERROR($B45/$C$36),"",$B45/$C$36),0)</f>
        <v>0</v>
      </c>
      <c r="M45" s="27" t="n">
        <f aca="false">SUM(C45:L45)</f>
        <v>0</v>
      </c>
    </row>
    <row r="46" customFormat="false" ht="15" hidden="true" customHeight="false" outlineLevel="0" collapsed="false">
      <c r="B46" s="32"/>
      <c r="C46" s="27"/>
      <c r="D46" s="27"/>
      <c r="E46" s="27"/>
      <c r="F46" s="27"/>
      <c r="G46" s="27"/>
      <c r="H46" s="27"/>
      <c r="I46" s="27"/>
      <c r="J46" s="27" t="n">
        <f aca="false">IF($B46&gt;(SUM($C46:I46)),IF(ISERROR($B46/$C$36),"",$B46/$C$36),0)</f>
        <v>0</v>
      </c>
      <c r="K46" s="27" t="n">
        <f aca="false">IF($B46&gt;(SUM($C46:J46)),IF(ISERROR($B46/$C$36),"",$B46/$C$36),0)</f>
        <v>0</v>
      </c>
      <c r="L46" s="27" t="n">
        <f aca="false">IF($B46&gt;(SUM($C46:K46)),IF(ISERROR($B46/$C$36),"",$B46/$C$36),0)</f>
        <v>0</v>
      </c>
      <c r="M46" s="27" t="n">
        <f aca="false">SUM(C46:L46)</f>
        <v>0</v>
      </c>
    </row>
    <row r="47" customFormat="false" ht="15" hidden="true" customHeight="false" outlineLevel="0" collapsed="false">
      <c r="B47" s="32"/>
      <c r="C47" s="27"/>
      <c r="D47" s="27"/>
      <c r="E47" s="27"/>
      <c r="F47" s="27"/>
      <c r="G47" s="27"/>
      <c r="H47" s="27"/>
      <c r="I47" s="27"/>
      <c r="J47" s="27" t="n">
        <f aca="false">IF($B47&gt;(SUM($C47:I47)),IF(ISERROR($B47/$C$36),"",$B47/$C$36),0)</f>
        <v>0</v>
      </c>
      <c r="K47" s="27" t="n">
        <f aca="false">IF($B47&gt;(SUM($C47:J47)),IF(ISERROR($B47/$C$36),"",$B47/$C$36),0)</f>
        <v>0</v>
      </c>
      <c r="L47" s="27" t="n">
        <f aca="false">IF($B47&gt;(SUM($C47:K47)),IF(ISERROR($B47/$C$36),"",$B47/$C$36),0)</f>
        <v>0</v>
      </c>
      <c r="M47" s="27" t="n">
        <f aca="false">SUM(C47:L47)</f>
        <v>0</v>
      </c>
    </row>
    <row r="48" customFormat="false" ht="15" hidden="true" customHeight="false" outlineLevel="0" collapsed="false">
      <c r="A48" s="0" t="str">
        <f aca="false">A25</f>
        <v>Frais de dossier</v>
      </c>
      <c r="B48" s="32" t="n">
        <f aca="false">B25</f>
        <v>0</v>
      </c>
      <c r="C48" s="27" t="n">
        <f aca="false">IF(ISERROR($B48/$C$36),0,$B48/$C$36)</f>
        <v>0</v>
      </c>
      <c r="D48" s="27" t="n">
        <f aca="false">IF($B48&gt;(SUM(C48:$C48)),IF(ISERROR($B48/$C$36),"",$B48/$C$36),0)</f>
        <v>0</v>
      </c>
      <c r="E48" s="27" t="n">
        <f aca="false">IF($B48&gt;(SUM($C48:D48)),IF(ISERROR($B48/$C$36),"",$B48/$C$36),0)</f>
        <v>0</v>
      </c>
      <c r="F48" s="27" t="n">
        <f aca="false">IF($B48&gt;(SUM($C48:E48)),IF(ISERROR($B48/$C$36),"",$B48/$C$36),0)</f>
        <v>0</v>
      </c>
      <c r="G48" s="27" t="n">
        <f aca="false">IF($B48&gt;(SUM($C48:F48)),IF(ISERROR($B48/$C$36),"",$B48/$C$36),0)</f>
        <v>0</v>
      </c>
      <c r="H48" s="27" t="n">
        <f aca="false">IF($B48&gt;(SUM($C48:G48)),IF(ISERROR($B48/$C$36),"",$B48/$C$36),0)</f>
        <v>0</v>
      </c>
      <c r="I48" s="27" t="n">
        <f aca="false">IF($B48&gt;(SUM($C48:H48)),IF(ISERROR($B48/$C$36),"",$B48/$C$36),0)</f>
        <v>0</v>
      </c>
      <c r="J48" s="27" t="n">
        <f aca="false">IF($B48&gt;(SUM($C48:I48)),IF(ISERROR($B48/$C$36),"",$B48/$C$36),0)</f>
        <v>0</v>
      </c>
      <c r="K48" s="27" t="n">
        <f aca="false">IF($B48&gt;(SUM($C48:J48)),IF(ISERROR($B48/$C$36),"",$B48/$C$36),0)</f>
        <v>0</v>
      </c>
      <c r="L48" s="27" t="n">
        <f aca="false">IF($B48&gt;(SUM($C48:K48)),IF(ISERROR($B48/$C$36),"",$B48/$C$36),0)</f>
        <v>0</v>
      </c>
      <c r="M48" s="27" t="n">
        <f aca="false">SUM(C48:L48)</f>
        <v>0</v>
      </c>
    </row>
    <row r="49" customFormat="false" ht="15" hidden="true" customHeight="false" outlineLevel="0" collapsed="false">
      <c r="A49" s="0" t="str">
        <f aca="false">A26</f>
        <v>Frais de notaire ou d’avocat</v>
      </c>
      <c r="B49" s="32" t="n">
        <f aca="false">B26</f>
        <v>0</v>
      </c>
      <c r="C49" s="27" t="n">
        <f aca="false">IF(ISERROR($B49/$C$36),0,$B49/$C$36)</f>
        <v>0</v>
      </c>
      <c r="D49" s="27" t="n">
        <f aca="false">IF($B49&gt;(SUM(C49:$C49)),IF(ISERROR($B49/$C$36),"",$B49/$C$36),0)</f>
        <v>0</v>
      </c>
      <c r="E49" s="27" t="n">
        <f aca="false">IF($B49&gt;(SUM($C49:D49)),IF(ISERROR($B49/$C$36),"",$B49/$C$36),0)</f>
        <v>0</v>
      </c>
      <c r="F49" s="27" t="n">
        <f aca="false">IF($B49&gt;(SUM($C49:E49)),IF(ISERROR($B49/$C$36),"",$B49/$C$36),0)</f>
        <v>0</v>
      </c>
      <c r="G49" s="27" t="n">
        <f aca="false">IF($B49&gt;(SUM($C49:F49)),IF(ISERROR($B49/$C$36),"",$B49/$C$36),0)</f>
        <v>0</v>
      </c>
      <c r="H49" s="27" t="n">
        <f aca="false">IF($B49&gt;(SUM($C49:G49)),IF(ISERROR($B49/$C$36),"",$B49/$C$36),0)</f>
        <v>0</v>
      </c>
      <c r="I49" s="27" t="n">
        <f aca="false">IF($B49&gt;(SUM($C49:H49)),IF(ISERROR($B49/$C$36),"",$B49/$C$36),0)</f>
        <v>0</v>
      </c>
      <c r="J49" s="27" t="n">
        <f aca="false">IF($B49&gt;(SUM($C49:I49)),IF(ISERROR($B49/$C$36),"",$B49/$C$36),0)</f>
        <v>0</v>
      </c>
      <c r="K49" s="27" t="n">
        <f aca="false">IF($B49&gt;(SUM($C49:J49)),IF(ISERROR($B49/$C$36),"",$B49/$C$36),0)</f>
        <v>0</v>
      </c>
      <c r="L49" s="27" t="n">
        <f aca="false">IF($B49&gt;(SUM($C49:K49)),IF(ISERROR($B49/$C$36),"",$B49/$C$36),0)</f>
        <v>0</v>
      </c>
      <c r="M49" s="27" t="n">
        <f aca="false">SUM(C49:L49)</f>
        <v>0</v>
      </c>
    </row>
    <row r="50" customFormat="false" ht="15" hidden="true" customHeight="false" outlineLevel="0" collapsed="false">
      <c r="A50" s="0" t="str">
        <f aca="false">A27</f>
        <v>Enseigne et éléments de communication</v>
      </c>
      <c r="B50" s="32" t="n">
        <f aca="false">B27</f>
        <v>0</v>
      </c>
      <c r="C50" s="27" t="n">
        <f aca="false">IF(ISERROR($B50/$C$36),0,$B50/$C$36)</f>
        <v>0</v>
      </c>
      <c r="D50" s="27" t="n">
        <f aca="false">IF($B50&gt;(SUM(C50:$C50)),IF(ISERROR($B50/$C$36),"",$B50/$C$36),0)</f>
        <v>0</v>
      </c>
      <c r="E50" s="27" t="n">
        <f aca="false">IF($B50&gt;(SUM($C50:D50)),IF(ISERROR($B50/$C$36),"",$B50/$C$36),0)</f>
        <v>0</v>
      </c>
      <c r="F50" s="27" t="n">
        <f aca="false">IF($B50&gt;(SUM($C50:E50)),IF(ISERROR($B50/$C$36),"",$B50/$C$36),0)</f>
        <v>0</v>
      </c>
      <c r="G50" s="27" t="n">
        <f aca="false">IF($B50&gt;(SUM($C50:F50)),IF(ISERROR($B50/$C$36),"",$B50/$C$36),0)</f>
        <v>0</v>
      </c>
      <c r="H50" s="27" t="n">
        <f aca="false">IF($B50&gt;(SUM($C50:G50)),IF(ISERROR($B50/$C$36),"",$B50/$C$36),0)</f>
        <v>0</v>
      </c>
      <c r="I50" s="27" t="n">
        <f aca="false">IF($B50&gt;(SUM($C50:H50)),IF(ISERROR($B50/$C$36),"",$B50/$C$36),0)</f>
        <v>0</v>
      </c>
      <c r="J50" s="27" t="n">
        <f aca="false">IF($B50&gt;(SUM($C50:I50)),IF(ISERROR($B50/$C$36),"",$B50/$C$36),0)</f>
        <v>0</v>
      </c>
      <c r="K50" s="27" t="n">
        <f aca="false">IF($B50&gt;(SUM($C50:J50)),IF(ISERROR($B50/$C$36),"",$B50/$C$36),0)</f>
        <v>0</v>
      </c>
      <c r="L50" s="27" t="n">
        <f aca="false">IF($B50&gt;(SUM($C50:K50)),IF(ISERROR($B50/$C$36),"",$B50/$C$36),0)</f>
        <v>0</v>
      </c>
      <c r="M50" s="27" t="n">
        <f aca="false">SUM(C50:L50)</f>
        <v>0</v>
      </c>
    </row>
    <row r="51" customFormat="false" ht="15" hidden="true" customHeight="false" outlineLevel="0" collapsed="false">
      <c r="A51" s="0" t="str">
        <f aca="false">A28</f>
        <v>Achat immobilier</v>
      </c>
      <c r="B51" s="32" t="n">
        <f aca="false">B28</f>
        <v>0</v>
      </c>
      <c r="C51" s="27" t="n">
        <f aca="false">IF(ISERROR($B51/$C$36),0,$B51/$C$36)</f>
        <v>0</v>
      </c>
      <c r="D51" s="27" t="n">
        <f aca="false">IF($B51&gt;(SUM(C51:$C51)),IF(ISERROR($B51/$C$36),"",$B51/$C$36),0)</f>
        <v>0</v>
      </c>
      <c r="E51" s="27" t="n">
        <f aca="false">IF($B51&gt;(SUM($C51:D51)),IF(ISERROR($B51/$C$36),"",$B51/$C$36),0)</f>
        <v>0</v>
      </c>
      <c r="F51" s="27" t="n">
        <f aca="false">IF($B51&gt;(SUM($C51:E51)),IF(ISERROR($B51/$C$36),"",$B51/$C$36),0)</f>
        <v>0</v>
      </c>
      <c r="G51" s="27" t="n">
        <f aca="false">IF($B51&gt;(SUM($C51:F51)),IF(ISERROR($B51/$C$36),"",$B51/$C$36),0)</f>
        <v>0</v>
      </c>
      <c r="H51" s="27" t="n">
        <f aca="false">IF($B51&gt;(SUM($C51:G51)),IF(ISERROR($B51/$C$36),"",$B51/$C$36),0)</f>
        <v>0</v>
      </c>
      <c r="I51" s="27" t="n">
        <f aca="false">IF($B51&gt;(SUM($C51:H51)),IF(ISERROR($B51/$C$36),"",$B51/$C$36),0)</f>
        <v>0</v>
      </c>
      <c r="J51" s="27" t="n">
        <f aca="false">IF($B51&gt;(SUM($C51:I51)),IF(ISERROR($B51/$C$36),"",$B51/$C$36),0)</f>
        <v>0</v>
      </c>
      <c r="K51" s="27" t="n">
        <f aca="false">IF($B51&gt;(SUM($C51:J51)),IF(ISERROR($B51/$C$36),"",$B51/$C$36),0)</f>
        <v>0</v>
      </c>
      <c r="L51" s="27" t="n">
        <f aca="false">IF($B51&gt;(SUM($C51:K51)),IF(ISERROR($B51/$C$36),"",$B51/$C$36),0)</f>
        <v>0</v>
      </c>
      <c r="M51" s="27" t="n">
        <f aca="false">SUM(C51:L51)</f>
        <v>0</v>
      </c>
    </row>
    <row r="52" customFormat="false" ht="15" hidden="true" customHeight="false" outlineLevel="0" collapsed="false">
      <c r="A52" s="0" t="str">
        <f aca="false">A29</f>
        <v>Travaux et aménagements</v>
      </c>
      <c r="B52" s="32" t="n">
        <f aca="false">B29</f>
        <v>0</v>
      </c>
      <c r="C52" s="27" t="n">
        <f aca="false">IF(ISERROR($B52/$C$36),0,$B52/$C$36)</f>
        <v>0</v>
      </c>
      <c r="D52" s="27" t="n">
        <f aca="false">IF($B52&gt;(SUM(C52:$C52)),IF(ISERROR($B52/$C$36),"",$B52/$C$36),0)</f>
        <v>0</v>
      </c>
      <c r="E52" s="27" t="n">
        <f aca="false">IF($B52&gt;(SUM($C52:D52)),IF(ISERROR($B52/$C$36),"",$B52/$C$36),0)</f>
        <v>0</v>
      </c>
      <c r="F52" s="27" t="n">
        <f aca="false">IF($B52&gt;(SUM($C52:E52)),IF(ISERROR($B52/$C$36),"",$B52/$C$36),0)</f>
        <v>0</v>
      </c>
      <c r="G52" s="27" t="n">
        <f aca="false">IF($B52&gt;(SUM($C52:F52)),IF(ISERROR($B52/$C$36),"",$B52/$C$36),0)</f>
        <v>0</v>
      </c>
      <c r="H52" s="27" t="n">
        <f aca="false">IF($B52&gt;(SUM($C52:G52)),IF(ISERROR($B52/$C$36),"",$B52/$C$36),0)</f>
        <v>0</v>
      </c>
      <c r="I52" s="27" t="n">
        <f aca="false">IF($B52&gt;(SUM($C52:H52)),IF(ISERROR($B52/$C$36),"",$B52/$C$36),0)</f>
        <v>0</v>
      </c>
      <c r="J52" s="27" t="n">
        <f aca="false">IF($B52&gt;(SUM($C52:I52)),IF(ISERROR($B52/$C$36),"",$B52/$C$36),0)</f>
        <v>0</v>
      </c>
      <c r="K52" s="27" t="n">
        <f aca="false">IF($B52&gt;(SUM($C52:J52)),IF(ISERROR($B52/$C$36),"",$B52/$C$36),0)</f>
        <v>0</v>
      </c>
      <c r="L52" s="27" t="n">
        <f aca="false">IF($B52&gt;(SUM($C52:K52)),IF(ISERROR($B52/$C$36),"",$B52/$C$36),0)</f>
        <v>0</v>
      </c>
      <c r="M52" s="27" t="n">
        <f aca="false">SUM(C52:L52)</f>
        <v>0</v>
      </c>
    </row>
    <row r="53" customFormat="false" ht="15" hidden="true" customHeight="false" outlineLevel="0" collapsed="false">
      <c r="A53" s="0" t="str">
        <f aca="false">A30</f>
        <v>Matériel</v>
      </c>
      <c r="B53" s="32" t="n">
        <f aca="false">B30</f>
        <v>0</v>
      </c>
      <c r="C53" s="27" t="n">
        <f aca="false">IF(ISERROR($B53/$C$36),0,$B53/$C$36)</f>
        <v>0</v>
      </c>
      <c r="D53" s="27" t="n">
        <f aca="false">IF($B53&gt;(SUM(C53:$C53)),IF(ISERROR($B53/$C$36),"",$B53/$C$36),0)</f>
        <v>0</v>
      </c>
      <c r="E53" s="27" t="n">
        <f aca="false">IF($B53&gt;(SUM($C53:D53)),IF(ISERROR($B53/$C$36),"",$B53/$C$36),0)</f>
        <v>0</v>
      </c>
      <c r="F53" s="27" t="n">
        <f aca="false">IF($B53&gt;(SUM($C53:E53)),IF(ISERROR($B53/$C$36),"",$B53/$C$36),0)</f>
        <v>0</v>
      </c>
      <c r="G53" s="27" t="n">
        <f aca="false">IF($B53&gt;(SUM($C53:F53)),IF(ISERROR($B53/$C$36),"",$B53/$C$36),0)</f>
        <v>0</v>
      </c>
      <c r="H53" s="27" t="n">
        <f aca="false">IF($B53&gt;(SUM($C53:G53)),IF(ISERROR($B53/$C$36),"",$B53/$C$36),0)</f>
        <v>0</v>
      </c>
      <c r="I53" s="27" t="n">
        <f aca="false">IF($B53&gt;(SUM($C53:H53)),IF(ISERROR($B53/$C$36),"",$B53/$C$36),0)</f>
        <v>0</v>
      </c>
      <c r="J53" s="27" t="n">
        <f aca="false">IF($B53&gt;(SUM($C53:I53)),IF(ISERROR($B53/$C$36),"",$B53/$C$36),0)</f>
        <v>0</v>
      </c>
      <c r="K53" s="27" t="n">
        <f aca="false">IF($B53&gt;(SUM($C53:J53)),IF(ISERROR($B53/$C$36),"",$B53/$C$36),0)</f>
        <v>0</v>
      </c>
      <c r="L53" s="27" t="n">
        <f aca="false">IF($B53&gt;(SUM($C53:K53)),IF(ISERROR($B53/$C$36),"",$B53/$C$36),0)</f>
        <v>0</v>
      </c>
      <c r="M53" s="27" t="n">
        <f aca="false">SUM(C53:L53)</f>
        <v>0</v>
      </c>
    </row>
    <row r="54" customFormat="false" ht="15" hidden="true" customHeight="false" outlineLevel="0" collapsed="false">
      <c r="A54" s="0" t="str">
        <f aca="false">A31</f>
        <v>Matériel de bureau</v>
      </c>
      <c r="B54" s="32" t="n">
        <f aca="false">B31</f>
        <v>0</v>
      </c>
      <c r="C54" s="27" t="n">
        <f aca="false">IF(ISERROR($B54/$C$36),0,$B54/$C$36)</f>
        <v>0</v>
      </c>
      <c r="D54" s="27" t="n">
        <f aca="false">IF($B54&gt;(SUM(C54:$C54)),IF(ISERROR($B54/$C$36),"",$B54/$C$36),0)</f>
        <v>0</v>
      </c>
      <c r="E54" s="27" t="n">
        <f aca="false">IF($B54&gt;(SUM($C54:D54)),IF(ISERROR($B54/$C$36),"",$B54/$C$36),0)</f>
        <v>0</v>
      </c>
      <c r="F54" s="27" t="n">
        <f aca="false">IF($B54&gt;(SUM($C54:E54)),IF(ISERROR($B54/$C$36),"",$B54/$C$36),0)</f>
        <v>0</v>
      </c>
      <c r="G54" s="27" t="n">
        <f aca="false">IF($B54&gt;(SUM($C54:F54)),IF(ISERROR($B54/$C$36),"",$B54/$C$36),0)</f>
        <v>0</v>
      </c>
      <c r="H54" s="27" t="n">
        <f aca="false">IF($B54&gt;(SUM($C54:G54)),IF(ISERROR($B54/$C$36),"",$B54/$C$36),0)</f>
        <v>0</v>
      </c>
      <c r="I54" s="27" t="n">
        <f aca="false">IF($B54&gt;(SUM($C54:H54)),IF(ISERROR($B54/$C$36),"",$B54/$C$36),0)</f>
        <v>0</v>
      </c>
      <c r="J54" s="27" t="n">
        <f aca="false">IF($B54&gt;(SUM($C54:I54)),IF(ISERROR($B54/$C$36),"",$B54/$C$36),0)</f>
        <v>0</v>
      </c>
      <c r="K54" s="27" t="n">
        <f aca="false">IF($B54&gt;(SUM($C54:J54)),IF(ISERROR($B54/$C$36),"",$B54/$C$36),0)</f>
        <v>0</v>
      </c>
      <c r="L54" s="27" t="n">
        <f aca="false">IF($B54&gt;(SUM($C54:K54)),IF(ISERROR($B54/$C$36),"",$B54/$C$36),0)</f>
        <v>0</v>
      </c>
      <c r="M54" s="27" t="n">
        <f aca="false">SUM(C54:L54)</f>
        <v>0</v>
      </c>
    </row>
    <row r="55" customFormat="false" ht="15" hidden="true" customHeight="false" outlineLevel="0" collapsed="false">
      <c r="A55" s="33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</row>
    <row r="56" customFormat="false" ht="18.75" hidden="false" customHeight="false" outlineLevel="0" collapsed="false">
      <c r="A56" s="13" t="s">
        <v>76</v>
      </c>
    </row>
    <row r="57" customFormat="false" ht="15" hidden="false" customHeight="false" outlineLevel="0" collapsed="false">
      <c r="A57" s="14"/>
    </row>
    <row r="58" customFormat="false" ht="15" hidden="false" customHeight="false" outlineLevel="0" collapsed="false">
      <c r="B58" s="15" t="s">
        <v>30</v>
      </c>
    </row>
    <row r="59" customFormat="false" ht="15" hidden="false" customHeight="true" outlineLevel="0" collapsed="false">
      <c r="A59" s="16" t="s">
        <v>77</v>
      </c>
      <c r="B59" s="17"/>
      <c r="C59" s="34"/>
      <c r="G59" s="35"/>
      <c r="H59" s="35"/>
    </row>
    <row r="60" customFormat="false" ht="15" hidden="false" customHeight="true" outlineLevel="0" collapsed="false">
      <c r="A60" s="16" t="s">
        <v>78</v>
      </c>
      <c r="B60" s="17"/>
      <c r="C60" s="36"/>
      <c r="G60" s="35"/>
      <c r="H60" s="35"/>
    </row>
    <row r="61" customFormat="false" ht="15" hidden="false" customHeight="true" outlineLevel="0" collapsed="false">
      <c r="A61" s="16" t="s">
        <v>79</v>
      </c>
      <c r="B61" s="17"/>
      <c r="C61" s="37" t="s">
        <v>80</v>
      </c>
      <c r="D61" s="38" t="s">
        <v>81</v>
      </c>
      <c r="G61" s="35"/>
      <c r="H61" s="35"/>
    </row>
    <row r="62" customFormat="false" ht="15" hidden="false" customHeight="true" outlineLevel="0" collapsed="false">
      <c r="A62" s="39" t="s">
        <v>82</v>
      </c>
      <c r="B62" s="17"/>
      <c r="C62" s="40"/>
      <c r="D62" s="41"/>
      <c r="E62" s="42"/>
      <c r="F62" s="43"/>
      <c r="G62" s="35"/>
      <c r="H62" s="35"/>
    </row>
    <row r="63" customFormat="false" ht="15" hidden="false" customHeight="true" outlineLevel="0" collapsed="false">
      <c r="A63" s="39" t="s">
        <v>83</v>
      </c>
      <c r="B63" s="17"/>
      <c r="C63" s="40"/>
      <c r="D63" s="41"/>
      <c r="G63" s="35"/>
      <c r="H63" s="35"/>
    </row>
    <row r="64" customFormat="false" ht="15" hidden="false" customHeight="true" outlineLevel="0" collapsed="false">
      <c r="A64" s="39" t="s">
        <v>84</v>
      </c>
      <c r="B64" s="17"/>
      <c r="C64" s="40"/>
      <c r="D64" s="41"/>
      <c r="G64" s="35"/>
      <c r="H64" s="35"/>
    </row>
    <row r="65" customFormat="false" ht="15" hidden="false" customHeight="true" outlineLevel="0" collapsed="false">
      <c r="A65" s="39" t="s">
        <v>85</v>
      </c>
      <c r="B65" s="17"/>
      <c r="C65" s="36"/>
      <c r="G65" s="35"/>
      <c r="H65" s="35"/>
    </row>
    <row r="66" customFormat="false" ht="15" hidden="false" customHeight="true" outlineLevel="0" collapsed="false">
      <c r="A66" s="39" t="s">
        <v>86</v>
      </c>
      <c r="B66" s="17"/>
      <c r="C66" s="36"/>
      <c r="G66" s="35"/>
      <c r="H66" s="35"/>
    </row>
    <row r="67" customFormat="false" ht="15.75" hidden="false" customHeight="true" outlineLevel="0" collapsed="false">
      <c r="A67" s="39" t="s">
        <v>86</v>
      </c>
      <c r="B67" s="17"/>
      <c r="C67" s="36"/>
      <c r="G67" s="35"/>
      <c r="H67" s="35"/>
    </row>
    <row r="68" customFormat="false" ht="15.75" hidden="false" customHeight="true" outlineLevel="0" collapsed="false">
      <c r="A68" s="20" t="s">
        <v>62</v>
      </c>
      <c r="B68" s="21" t="n">
        <f aca="false">SUM(B59:B67)</f>
        <v>0</v>
      </c>
      <c r="C68" s="44" t="str">
        <f aca="false">IF(B68=B34,"","Le total doit être égal au total du tableau précédent, veuillez modifier les chiffres")</f>
        <v/>
      </c>
      <c r="G68" s="35"/>
      <c r="H68" s="35"/>
    </row>
    <row r="69" customFormat="false" ht="15" hidden="false" customHeight="false" outlineLevel="0" collapsed="false">
      <c r="A69" s="20"/>
      <c r="B69" s="45"/>
      <c r="C69" s="44"/>
    </row>
    <row r="70" customFormat="false" ht="15" hidden="true" customHeight="false" outlineLevel="0" collapsed="false">
      <c r="A70" s="5" t="s">
        <v>87</v>
      </c>
      <c r="B70" s="20" t="s">
        <v>88</v>
      </c>
      <c r="C70" s="46" t="s">
        <v>89</v>
      </c>
      <c r="D70" s="47" t="s">
        <v>90</v>
      </c>
      <c r="E70" s="20" t="s">
        <v>91</v>
      </c>
      <c r="F70" s="20" t="s">
        <v>92</v>
      </c>
      <c r="G70" s="48" t="s">
        <v>93</v>
      </c>
      <c r="H70" s="48" t="s">
        <v>94</v>
      </c>
      <c r="I70" s="48" t="s">
        <v>95</v>
      </c>
      <c r="J70" s="48" t="s">
        <v>96</v>
      </c>
      <c r="K70" s="48" t="s">
        <v>97</v>
      </c>
      <c r="L70" s="48" t="s">
        <v>98</v>
      </c>
    </row>
    <row r="71" customFormat="false" ht="15" hidden="true" customHeight="false" outlineLevel="0" collapsed="false">
      <c r="A71" s="0" t="s">
        <v>99</v>
      </c>
      <c r="B71" s="49" t="n">
        <f aca="false">IF(ISERROR((PMT(C62/12,D62,B62))*-1),0,(PMT(C62/12,D62,B62))*-1)</f>
        <v>0</v>
      </c>
      <c r="C71" s="45" t="n">
        <f aca="false">B71*D62</f>
        <v>0</v>
      </c>
      <c r="D71" s="47" t="n">
        <f aca="false">IF(ISERROR(B62/D62),0,B62/D62)</f>
        <v>0</v>
      </c>
      <c r="E71" s="50" t="n">
        <f aca="false">B71-D71</f>
        <v>0</v>
      </c>
      <c r="F71" s="49" t="n">
        <f aca="false">E71*D62</f>
        <v>0</v>
      </c>
      <c r="G71" s="51" t="n">
        <f aca="false">IF($D62&gt;12,$E71*12,$E71*$D62)</f>
        <v>0</v>
      </c>
      <c r="H71" s="51" t="n">
        <f aca="false">IF($D62-12&lt;0,0,IF($D62&gt;24,$E71*12,($D62-12)*$E71))</f>
        <v>0</v>
      </c>
      <c r="I71" s="51" t="n">
        <f aca="false">IF($D62-24&lt;0,0,IF($D62&gt;36,$E71*12,($D62-24)*$E71))</f>
        <v>0</v>
      </c>
      <c r="J71" s="51" t="n">
        <f aca="false">IF($D62&gt;12,$D71*12,$D71*$D62)</f>
        <v>0</v>
      </c>
      <c r="K71" s="51" t="n">
        <f aca="false">IF($D62-12&lt;0,0,IF($D62&gt;24,$D71*12,($D62-12)*$D71))</f>
        <v>0</v>
      </c>
      <c r="L71" s="51" t="n">
        <f aca="false">IF($D62-24&lt;0,0,IF($D62&gt;36,$D71*12,($D62-24)*$D71))</f>
        <v>0</v>
      </c>
    </row>
    <row r="72" customFormat="false" ht="15" hidden="true" customHeight="false" outlineLevel="0" collapsed="false">
      <c r="A72" s="0" t="s">
        <v>100</v>
      </c>
      <c r="B72" s="49" t="n">
        <f aca="false">IF(ISERROR((PMT(C63/12,D63,B63))*-1),0,(PMT(C63/12,D63,B63))*-1)</f>
        <v>0</v>
      </c>
      <c r="C72" s="45" t="n">
        <f aca="false">B72*D63</f>
        <v>0</v>
      </c>
      <c r="D72" s="47" t="n">
        <f aca="false">IF(ISERROR(B63/D63),0,B63/D63)</f>
        <v>0</v>
      </c>
      <c r="E72" s="50" t="n">
        <f aca="false">B72-D72</f>
        <v>0</v>
      </c>
      <c r="F72" s="49" t="n">
        <f aca="false">E72*D63</f>
        <v>0</v>
      </c>
      <c r="G72" s="51" t="n">
        <f aca="false">IF($D63&gt;12,$E72*12,$E72*$D63)</f>
        <v>0</v>
      </c>
      <c r="H72" s="51" t="n">
        <f aca="false">IF($D63-12&lt;0,0,IF($D63&gt;24,$E72*12,($D63-12)*$E72))</f>
        <v>0</v>
      </c>
      <c r="I72" s="51" t="n">
        <f aca="false">IF($D63-24&lt;0,0,IF($D63&gt;36,$E72*12,($D63-24)*$E72))</f>
        <v>0</v>
      </c>
      <c r="J72" s="51" t="n">
        <f aca="false">IF($D63&gt;12,$D72*12,$D72*$D63)</f>
        <v>0</v>
      </c>
      <c r="K72" s="51" t="n">
        <f aca="false">IF($D63-12&lt;0,0,IF($D63&gt;24,$D72*12,($D63-12)*$D72))</f>
        <v>0</v>
      </c>
      <c r="L72" s="51" t="n">
        <f aca="false">IF($D63-24&lt;0,0,IF($D63&gt;36,$D72*12,($D63-24)*$D72))</f>
        <v>0</v>
      </c>
    </row>
    <row r="73" customFormat="false" ht="15" hidden="true" customHeight="false" outlineLevel="0" collapsed="false">
      <c r="A73" s="0" t="s">
        <v>101</v>
      </c>
      <c r="B73" s="49" t="n">
        <f aca="false">IF(ISERROR((PMT(C64/12,D64,B64))*-1),0,(PMT(C64/12,D64,B64))*-1)</f>
        <v>0</v>
      </c>
      <c r="C73" s="45" t="n">
        <f aca="false">B73*D64</f>
        <v>0</v>
      </c>
      <c r="D73" s="47" t="n">
        <f aca="false">IF(ISERROR(B64/D64),0,B64/D64)</f>
        <v>0</v>
      </c>
      <c r="E73" s="50" t="n">
        <f aca="false">B73-D73</f>
        <v>0</v>
      </c>
      <c r="F73" s="49" t="n">
        <f aca="false">E73*D64</f>
        <v>0</v>
      </c>
      <c r="G73" s="51" t="n">
        <f aca="false">IF($D64&gt;12,$E73*12,$E73*$D64)</f>
        <v>0</v>
      </c>
      <c r="H73" s="51" t="n">
        <f aca="false">IF($D64-12&lt;0,0,IF($D64&gt;24,$E73*12,($D64-12)*$E73))</f>
        <v>0</v>
      </c>
      <c r="I73" s="51" t="n">
        <f aca="false">IF($D64-24&lt;0,0,IF($D64&gt;36,$E73*12,($D64-24)*$E73))</f>
        <v>0</v>
      </c>
      <c r="J73" s="51" t="n">
        <f aca="false">IF($D64&gt;12,$D73*12,$D73*$D64)</f>
        <v>0</v>
      </c>
      <c r="K73" s="51" t="n">
        <f aca="false">IF($D64-12&lt;0,0,IF($D64&gt;24,$D73*12,($D64-12)*$D73))</f>
        <v>0</v>
      </c>
      <c r="L73" s="51" t="n">
        <f aca="false">IF($D64-24&lt;0,0,IF($D64&gt;36,$D73*12,($D64-24)*$D73))</f>
        <v>0</v>
      </c>
    </row>
    <row r="74" customFormat="false" ht="29.25" hidden="false" customHeight="true" outlineLevel="0" collapsed="false">
      <c r="A74" s="13" t="s">
        <v>102</v>
      </c>
      <c r="H74" s="52"/>
      <c r="I74" s="53" t="n">
        <f aca="false">SUM(I71:I73)</f>
        <v>0</v>
      </c>
      <c r="J74" s="54" t="n">
        <f aca="false">SUM(J71:J73)</f>
        <v>0</v>
      </c>
      <c r="K74" s="54" t="n">
        <f aca="false">SUM(K71:K73)</f>
        <v>0</v>
      </c>
      <c r="L74" s="54" t="n">
        <f aca="false">SUM(L71:L73)</f>
        <v>0</v>
      </c>
    </row>
    <row r="75" customFormat="false" ht="15" hidden="false" customHeight="false" outlineLevel="0" collapsed="false">
      <c r="A75" s="14" t="s">
        <v>103</v>
      </c>
    </row>
    <row r="77" customFormat="false" ht="15" hidden="false" customHeight="false" outlineLevel="0" collapsed="false">
      <c r="B77" s="55" t="s">
        <v>104</v>
      </c>
      <c r="C77" s="55" t="s">
        <v>105</v>
      </c>
      <c r="D77" s="55" t="s">
        <v>106</v>
      </c>
    </row>
    <row r="78" customFormat="false" ht="15" hidden="false" customHeight="false" outlineLevel="0" collapsed="false">
      <c r="A78" s="16" t="s">
        <v>107</v>
      </c>
      <c r="B78" s="56" t="n">
        <v>1500000</v>
      </c>
      <c r="C78" s="57" t="n">
        <v>350000</v>
      </c>
      <c r="D78" s="58" t="n">
        <v>350000</v>
      </c>
    </row>
    <row r="79" customFormat="false" ht="15" hidden="false" customHeight="true" outlineLevel="0" collapsed="false">
      <c r="A79" s="16" t="s">
        <v>108</v>
      </c>
      <c r="B79" s="59" t="n">
        <v>200000</v>
      </c>
      <c r="C79" s="60" t="n">
        <f aca="false">B79*10%*12</f>
        <v>240000</v>
      </c>
      <c r="D79" s="61" t="n">
        <f aca="false">B79*20%*12</f>
        <v>480000</v>
      </c>
      <c r="G79" s="35"/>
      <c r="H79" s="35"/>
    </row>
    <row r="80" customFormat="false" ht="15" hidden="false" customHeight="true" outlineLevel="0" collapsed="false">
      <c r="A80" s="16" t="s">
        <v>109</v>
      </c>
      <c r="B80" s="59" t="n">
        <v>540000</v>
      </c>
      <c r="C80" s="60" t="n">
        <f aca="false">B80*10%*12</f>
        <v>648000</v>
      </c>
      <c r="D80" s="61" t="n">
        <f aca="false">B80*20%*12</f>
        <v>1296000</v>
      </c>
      <c r="G80" s="35"/>
      <c r="H80" s="35"/>
    </row>
    <row r="81" customFormat="false" ht="15" hidden="false" customHeight="true" outlineLevel="0" collapsed="false">
      <c r="A81" s="16" t="s">
        <v>110</v>
      </c>
      <c r="B81" s="59" t="n">
        <v>0</v>
      </c>
      <c r="C81" s="60" t="n">
        <f aca="false">B81*10%*12</f>
        <v>0</v>
      </c>
      <c r="D81" s="61" t="n">
        <f aca="false">B81*20%*12</f>
        <v>0</v>
      </c>
      <c r="G81" s="35"/>
      <c r="H81" s="35"/>
    </row>
    <row r="82" customFormat="false" ht="15" hidden="false" customHeight="true" outlineLevel="0" collapsed="false">
      <c r="A82" s="16" t="s">
        <v>111</v>
      </c>
      <c r="B82" s="59" t="n">
        <v>5000000</v>
      </c>
      <c r="C82" s="60" t="n">
        <f aca="false">B82*10%*12</f>
        <v>6000000</v>
      </c>
      <c r="D82" s="61" t="n">
        <f aca="false">B82*20%*12</f>
        <v>12000000</v>
      </c>
      <c r="G82" s="35"/>
      <c r="H82" s="35"/>
    </row>
    <row r="83" customFormat="false" ht="15" hidden="false" customHeight="true" outlineLevel="0" collapsed="false">
      <c r="A83" s="16" t="s">
        <v>112</v>
      </c>
      <c r="B83" s="59" t="n">
        <v>300000</v>
      </c>
      <c r="C83" s="60" t="n">
        <f aca="false">B83*10%*12</f>
        <v>360000</v>
      </c>
      <c r="D83" s="61" t="n">
        <f aca="false">B83*20%*12</f>
        <v>720000</v>
      </c>
      <c r="G83" s="35"/>
      <c r="H83" s="35"/>
    </row>
    <row r="84" customFormat="false" ht="15" hidden="false" customHeight="true" outlineLevel="0" collapsed="false">
      <c r="A84" s="16" t="s">
        <v>113</v>
      </c>
      <c r="B84" s="59" t="n">
        <v>0</v>
      </c>
      <c r="C84" s="60" t="n">
        <f aca="false">B84*10%*12</f>
        <v>0</v>
      </c>
      <c r="D84" s="61" t="n">
        <f aca="false">B84*20%*12</f>
        <v>0</v>
      </c>
      <c r="E84" s="18"/>
      <c r="G84" s="35"/>
      <c r="H84" s="35"/>
    </row>
    <row r="85" customFormat="false" ht="15" hidden="false" customHeight="true" outlineLevel="0" collapsed="false">
      <c r="A85" s="16" t="s">
        <v>114</v>
      </c>
      <c r="B85" s="59" t="n">
        <v>1000000</v>
      </c>
      <c r="C85" s="60" t="n">
        <f aca="false">B85*10%*12</f>
        <v>1200000</v>
      </c>
      <c r="D85" s="61" t="n">
        <f aca="false">B85*20%*12</f>
        <v>2400000</v>
      </c>
      <c r="E85" s="18"/>
      <c r="G85" s="35"/>
      <c r="H85" s="35"/>
    </row>
    <row r="86" customFormat="false" ht="15" hidden="false" customHeight="true" outlineLevel="0" collapsed="false">
      <c r="A86" s="16" t="s">
        <v>115</v>
      </c>
      <c r="B86" s="59" t="n">
        <v>200000</v>
      </c>
      <c r="C86" s="60" t="n">
        <f aca="false">B86*10%*12</f>
        <v>240000</v>
      </c>
      <c r="D86" s="61" t="n">
        <f aca="false">B86*20%*12</f>
        <v>480000</v>
      </c>
      <c r="E86" s="18"/>
      <c r="G86" s="35"/>
      <c r="H86" s="35"/>
    </row>
    <row r="87" customFormat="false" ht="15" hidden="false" customHeight="true" outlineLevel="0" collapsed="false">
      <c r="A87" s="16" t="s">
        <v>116</v>
      </c>
      <c r="B87" s="59" t="n">
        <v>500000</v>
      </c>
      <c r="C87" s="60" t="n">
        <f aca="false">B87*10%*12</f>
        <v>600000</v>
      </c>
      <c r="D87" s="61" t="n">
        <f aca="false">B87*20%*12</f>
        <v>1200000</v>
      </c>
      <c r="E87" s="18"/>
      <c r="G87" s="35"/>
      <c r="H87" s="35"/>
    </row>
    <row r="88" customFormat="false" ht="15.75" hidden="false" customHeight="true" outlineLevel="0" collapsed="false">
      <c r="A88" s="16" t="s">
        <v>117</v>
      </c>
      <c r="B88" s="59" t="n">
        <v>500000</v>
      </c>
      <c r="C88" s="60" t="n">
        <f aca="false">B88*10%*12</f>
        <v>600000</v>
      </c>
      <c r="D88" s="61" t="n">
        <f aca="false">B88*20%*12</f>
        <v>1200000</v>
      </c>
      <c r="E88" s="18"/>
      <c r="G88" s="35"/>
      <c r="H88" s="35"/>
    </row>
    <row r="89" customFormat="false" ht="15" hidden="false" customHeight="false" outlineLevel="0" collapsed="false">
      <c r="A89" s="16" t="s">
        <v>118</v>
      </c>
      <c r="B89" s="59" t="n">
        <v>3600000</v>
      </c>
      <c r="C89" s="60" t="n">
        <f aca="false">B89*10%*12</f>
        <v>4320000</v>
      </c>
      <c r="D89" s="61" t="n">
        <f aca="false">B89*20%*12</f>
        <v>8640000</v>
      </c>
      <c r="E89" s="18"/>
    </row>
    <row r="90" customFormat="false" ht="15" hidden="false" customHeight="false" outlineLevel="0" collapsed="false">
      <c r="A90" s="16" t="s">
        <v>119</v>
      </c>
      <c r="B90" s="59" t="n">
        <v>2000000</v>
      </c>
      <c r="C90" s="60" t="n">
        <f aca="false">B90*10%*12</f>
        <v>2400000</v>
      </c>
      <c r="D90" s="61" t="n">
        <f aca="false">B90*20%*12</f>
        <v>4800000</v>
      </c>
      <c r="E90" s="18"/>
    </row>
    <row r="91" customFormat="false" ht="15" hidden="false" customHeight="false" outlineLevel="0" collapsed="false">
      <c r="A91" s="16" t="s">
        <v>120</v>
      </c>
      <c r="B91" s="59" t="n">
        <v>500000</v>
      </c>
      <c r="C91" s="60" t="n">
        <f aca="false">B91*10%*12</f>
        <v>600000</v>
      </c>
      <c r="D91" s="61" t="n">
        <f aca="false">C91+C91*10%</f>
        <v>660000</v>
      </c>
      <c r="E91" s="18"/>
    </row>
    <row r="92" customFormat="false" ht="15" hidden="false" customHeight="false" outlineLevel="0" collapsed="false">
      <c r="A92" s="62" t="s">
        <v>121</v>
      </c>
      <c r="B92" s="59"/>
      <c r="C92" s="60"/>
      <c r="D92" s="61" t="n">
        <f aca="false">(I116+I116*I119)*9.5%</f>
        <v>0</v>
      </c>
      <c r="E92" s="63"/>
    </row>
    <row r="93" customFormat="false" ht="15" hidden="false" customHeight="false" outlineLevel="0" collapsed="false">
      <c r="A93" s="64" t="s">
        <v>122</v>
      </c>
      <c r="B93" s="65"/>
      <c r="C93" s="65"/>
      <c r="D93" s="65"/>
    </row>
    <row r="94" customFormat="false" ht="15" hidden="false" customHeight="false" outlineLevel="0" collapsed="false">
      <c r="A94" s="66" t="s">
        <v>123</v>
      </c>
      <c r="B94" s="59"/>
      <c r="C94" s="60"/>
      <c r="D94" s="61"/>
    </row>
    <row r="95" customFormat="false" ht="15" hidden="false" customHeight="false" outlineLevel="0" collapsed="false">
      <c r="A95" s="66" t="s">
        <v>124</v>
      </c>
      <c r="B95" s="59"/>
      <c r="C95" s="60"/>
      <c r="D95" s="61"/>
    </row>
    <row r="96" customFormat="false" ht="15" hidden="false" customHeight="false" outlineLevel="0" collapsed="false">
      <c r="A96" s="66" t="s">
        <v>125</v>
      </c>
      <c r="B96" s="59"/>
      <c r="C96" s="60"/>
      <c r="D96" s="61"/>
    </row>
    <row r="97" customFormat="false" ht="6" hidden="false" customHeight="true" outlineLevel="0" collapsed="false">
      <c r="B97" s="65"/>
      <c r="C97" s="65"/>
      <c r="D97" s="65"/>
    </row>
    <row r="98" customFormat="false" ht="15.75" hidden="false" customHeight="false" outlineLevel="0" collapsed="false">
      <c r="A98" s="20" t="s">
        <v>62</v>
      </c>
      <c r="B98" s="21" t="n">
        <f aca="false">SUM(B78:B96)</f>
        <v>15840000</v>
      </c>
      <c r="C98" s="21" t="n">
        <f aca="false">SUM(C78:C96)</f>
        <v>17558000</v>
      </c>
      <c r="D98" s="21" t="n">
        <f aca="false">SUM(D78:D96)</f>
        <v>34226000</v>
      </c>
    </row>
    <row r="99" customFormat="false" ht="15" hidden="false" customHeight="false" outlineLevel="0" collapsed="false"/>
    <row r="100" customFormat="false" ht="18.75" hidden="false" customHeight="false" outlineLevel="0" collapsed="false">
      <c r="A100" s="13" t="s">
        <v>126</v>
      </c>
    </row>
    <row r="101" customFormat="false" ht="15" hidden="false" customHeight="false" outlineLevel="0" collapsed="false">
      <c r="A101" s="14" t="s">
        <v>127</v>
      </c>
    </row>
    <row r="103" customFormat="false" ht="30" hidden="false" customHeight="false" outlineLevel="0" collapsed="false">
      <c r="A103" s="67" t="s">
        <v>128</v>
      </c>
      <c r="B103" s="68" t="s">
        <v>129</v>
      </c>
      <c r="C103" s="68" t="s">
        <v>130</v>
      </c>
      <c r="D103" s="68" t="s">
        <v>131</v>
      </c>
      <c r="F103" s="69" t="s">
        <v>128</v>
      </c>
      <c r="G103" s="68" t="s">
        <v>129</v>
      </c>
      <c r="H103" s="68" t="s">
        <v>130</v>
      </c>
      <c r="I103" s="68" t="s">
        <v>131</v>
      </c>
    </row>
    <row r="104" customFormat="false" ht="13.8" hidden="false" customHeight="false" outlineLevel="0" collapsed="false">
      <c r="A104" s="70" t="s">
        <v>132</v>
      </c>
      <c r="B104" s="71" t="n">
        <v>26</v>
      </c>
      <c r="C104" s="17" t="n">
        <v>50000</v>
      </c>
      <c r="D104" s="72" t="n">
        <f aca="false">B104*C104</f>
        <v>1300000</v>
      </c>
      <c r="F104" s="73" t="s">
        <v>132</v>
      </c>
      <c r="G104" s="71"/>
      <c r="H104" s="17"/>
      <c r="I104" s="65" t="n">
        <f aca="false">G104*H104</f>
        <v>0</v>
      </c>
    </row>
    <row r="105" customFormat="false" ht="13.8" hidden="false" customHeight="false" outlineLevel="0" collapsed="false">
      <c r="A105" s="70" t="s">
        <v>133</v>
      </c>
      <c r="B105" s="71" t="n">
        <v>26</v>
      </c>
      <c r="C105" s="17" t="n">
        <v>100000</v>
      </c>
      <c r="D105" s="72" t="n">
        <f aca="false">B105*C105</f>
        <v>2600000</v>
      </c>
      <c r="F105" s="73" t="s">
        <v>133</v>
      </c>
      <c r="G105" s="71"/>
      <c r="H105" s="17"/>
      <c r="I105" s="65" t="n">
        <f aca="false">G105*H105</f>
        <v>0</v>
      </c>
    </row>
    <row r="106" customFormat="false" ht="13.8" hidden="false" customHeight="false" outlineLevel="0" collapsed="false">
      <c r="A106" s="70" t="s">
        <v>134</v>
      </c>
      <c r="B106" s="71" t="n">
        <v>26</v>
      </c>
      <c r="C106" s="17" t="n">
        <v>150000</v>
      </c>
      <c r="D106" s="72" t="n">
        <f aca="false">B106*C106</f>
        <v>3900000</v>
      </c>
      <c r="F106" s="73" t="s">
        <v>134</v>
      </c>
      <c r="G106" s="71"/>
      <c r="H106" s="17"/>
      <c r="I106" s="65" t="n">
        <f aca="false">G106*H106</f>
        <v>0</v>
      </c>
    </row>
    <row r="107" customFormat="false" ht="13.8" hidden="false" customHeight="false" outlineLevel="0" collapsed="false">
      <c r="A107" s="70" t="s">
        <v>135</v>
      </c>
      <c r="B107" s="71" t="n">
        <v>26</v>
      </c>
      <c r="C107" s="17" t="n">
        <v>300000</v>
      </c>
      <c r="D107" s="72" t="n">
        <f aca="false">B107*C107</f>
        <v>7800000</v>
      </c>
      <c r="F107" s="73" t="s">
        <v>135</v>
      </c>
      <c r="G107" s="71"/>
      <c r="H107" s="17"/>
      <c r="I107" s="65" t="n">
        <f aca="false">G107*H107</f>
        <v>0</v>
      </c>
    </row>
    <row r="108" customFormat="false" ht="13.8" hidden="false" customHeight="false" outlineLevel="0" collapsed="false">
      <c r="A108" s="70" t="s">
        <v>136</v>
      </c>
      <c r="B108" s="71" t="n">
        <v>26</v>
      </c>
      <c r="C108" s="17" t="n">
        <v>350000</v>
      </c>
      <c r="D108" s="72" t="n">
        <f aca="false">B108*C108</f>
        <v>9100000</v>
      </c>
      <c r="F108" s="73" t="s">
        <v>136</v>
      </c>
      <c r="G108" s="71"/>
      <c r="H108" s="17"/>
      <c r="I108" s="65" t="n">
        <f aca="false">G108*H108</f>
        <v>0</v>
      </c>
    </row>
    <row r="109" customFormat="false" ht="13.8" hidden="false" customHeight="false" outlineLevel="0" collapsed="false">
      <c r="A109" s="70" t="s">
        <v>137</v>
      </c>
      <c r="B109" s="71" t="n">
        <v>26</v>
      </c>
      <c r="C109" s="17" t="n">
        <v>400000</v>
      </c>
      <c r="D109" s="72" t="n">
        <f aca="false">B109*C109</f>
        <v>10400000</v>
      </c>
      <c r="F109" s="73" t="s">
        <v>137</v>
      </c>
      <c r="G109" s="71"/>
      <c r="H109" s="17"/>
      <c r="I109" s="65" t="n">
        <f aca="false">G109*H109</f>
        <v>0</v>
      </c>
    </row>
    <row r="110" customFormat="false" ht="13.8" hidden="false" customHeight="false" outlineLevel="0" collapsed="false">
      <c r="A110" s="70" t="s">
        <v>138</v>
      </c>
      <c r="B110" s="71" t="n">
        <v>26</v>
      </c>
      <c r="C110" s="17" t="n">
        <v>450000</v>
      </c>
      <c r="D110" s="72" t="n">
        <f aca="false">B110*C110</f>
        <v>11700000</v>
      </c>
      <c r="F110" s="73" t="s">
        <v>138</v>
      </c>
      <c r="G110" s="71"/>
      <c r="H110" s="17"/>
      <c r="I110" s="65" t="n">
        <f aca="false">G110*H110</f>
        <v>0</v>
      </c>
    </row>
    <row r="111" customFormat="false" ht="13.8" hidden="false" customHeight="false" outlineLevel="0" collapsed="false">
      <c r="A111" s="70" t="s">
        <v>139</v>
      </c>
      <c r="B111" s="71" t="n">
        <v>26</v>
      </c>
      <c r="C111" s="17" t="n">
        <v>500000</v>
      </c>
      <c r="D111" s="72" t="n">
        <f aca="false">B111*C111</f>
        <v>13000000</v>
      </c>
      <c r="F111" s="73" t="s">
        <v>139</v>
      </c>
      <c r="G111" s="71"/>
      <c r="H111" s="17"/>
      <c r="I111" s="65" t="n">
        <f aca="false">G111*H111</f>
        <v>0</v>
      </c>
    </row>
    <row r="112" customFormat="false" ht="13.8" hidden="false" customHeight="false" outlineLevel="0" collapsed="false">
      <c r="A112" s="70" t="s">
        <v>140</v>
      </c>
      <c r="B112" s="71" t="n">
        <v>26</v>
      </c>
      <c r="C112" s="17" t="n">
        <v>550000</v>
      </c>
      <c r="D112" s="72" t="n">
        <f aca="false">B112*C112</f>
        <v>14300000</v>
      </c>
      <c r="F112" s="73" t="s">
        <v>140</v>
      </c>
      <c r="G112" s="71"/>
      <c r="H112" s="17"/>
      <c r="I112" s="65" t="n">
        <f aca="false">G112*H112</f>
        <v>0</v>
      </c>
    </row>
    <row r="113" customFormat="false" ht="13.8" hidden="false" customHeight="false" outlineLevel="0" collapsed="false">
      <c r="A113" s="70" t="s">
        <v>141</v>
      </c>
      <c r="B113" s="71" t="n">
        <v>26</v>
      </c>
      <c r="C113" s="17" t="n">
        <v>600000</v>
      </c>
      <c r="D113" s="72" t="n">
        <f aca="false">B113*C113</f>
        <v>15600000</v>
      </c>
      <c r="F113" s="73" t="s">
        <v>141</v>
      </c>
      <c r="G113" s="71"/>
      <c r="H113" s="17"/>
      <c r="I113" s="65" t="n">
        <f aca="false">G113*H113</f>
        <v>0</v>
      </c>
    </row>
    <row r="114" customFormat="false" ht="13.8" hidden="false" customHeight="false" outlineLevel="0" collapsed="false">
      <c r="A114" s="70" t="s">
        <v>142</v>
      </c>
      <c r="B114" s="71" t="n">
        <v>26</v>
      </c>
      <c r="C114" s="17" t="n">
        <v>650000</v>
      </c>
      <c r="D114" s="72" t="n">
        <f aca="false">B114*C114</f>
        <v>16900000</v>
      </c>
      <c r="F114" s="73" t="s">
        <v>142</v>
      </c>
      <c r="G114" s="71"/>
      <c r="H114" s="17"/>
      <c r="I114" s="65" t="n">
        <f aca="false">G114*H114</f>
        <v>0</v>
      </c>
    </row>
    <row r="115" customFormat="false" ht="13.8" hidden="false" customHeight="false" outlineLevel="0" collapsed="false">
      <c r="A115" s="70" t="s">
        <v>143</v>
      </c>
      <c r="B115" s="71" t="n">
        <v>26</v>
      </c>
      <c r="C115" s="17" t="n">
        <v>750000</v>
      </c>
      <c r="D115" s="72" t="n">
        <f aca="false">B115*C115</f>
        <v>19500000</v>
      </c>
      <c r="F115" s="73" t="s">
        <v>143</v>
      </c>
      <c r="G115" s="71"/>
      <c r="H115" s="17"/>
      <c r="I115" s="65" t="n">
        <f aca="false">G115*H115</f>
        <v>0</v>
      </c>
    </row>
    <row r="116" customFormat="false" ht="15.75" hidden="false" customHeight="false" outlineLevel="0" collapsed="false">
      <c r="A116" s="74" t="s">
        <v>62</v>
      </c>
      <c r="D116" s="75" t="n">
        <f aca="false">SUM(D104:D115)</f>
        <v>126100000</v>
      </c>
      <c r="F116" s="76" t="s">
        <v>62</v>
      </c>
      <c r="H116" s="65"/>
      <c r="I116" s="21" t="n">
        <f aca="false">SUM(I104:I115)</f>
        <v>0</v>
      </c>
    </row>
    <row r="117" customFormat="false" ht="15" hidden="false" customHeight="false" outlineLevel="0" collapsed="false">
      <c r="F117" s="77"/>
    </row>
    <row r="118" customFormat="false" ht="15.75" hidden="false" customHeight="false" outlineLevel="0" collapsed="false">
      <c r="A118" s="23" t="s">
        <v>144</v>
      </c>
      <c r="D118" s="78" t="n">
        <v>0.2</v>
      </c>
      <c r="F118" s="79" t="s">
        <v>145</v>
      </c>
      <c r="I118" s="78" t="n">
        <v>0.1</v>
      </c>
    </row>
    <row r="119" customFormat="false" ht="15.75" hidden="false" customHeight="false" outlineLevel="0" collapsed="false">
      <c r="A119" s="23" t="s">
        <v>146</v>
      </c>
      <c r="D119" s="78" t="n">
        <v>0.3</v>
      </c>
      <c r="F119" s="79" t="s">
        <v>147</v>
      </c>
      <c r="I119" s="78" t="n">
        <v>0.2</v>
      </c>
    </row>
    <row r="120" customFormat="false" ht="15" hidden="false" customHeight="false" outlineLevel="0" collapsed="false"/>
    <row r="121" customFormat="false" ht="18.75" hidden="false" customHeight="false" outlineLevel="0" collapsed="false">
      <c r="A121" s="13" t="s">
        <v>148</v>
      </c>
    </row>
    <row r="122" customFormat="false" ht="47.25" hidden="false" customHeight="true" outlineLevel="0" collapsed="false">
      <c r="A122" s="80" t="s">
        <v>149</v>
      </c>
      <c r="B122" s="80"/>
      <c r="C122" s="80"/>
      <c r="D122" s="80"/>
    </row>
    <row r="123" customFormat="false" ht="15" hidden="false" customHeight="false" outlineLevel="0" collapsed="false"/>
    <row r="124" customFormat="false" ht="15.75" hidden="false" customHeight="false" outlineLevel="0" collapsed="false">
      <c r="A124" s="81" t="s">
        <v>150</v>
      </c>
      <c r="D124" s="82" t="n">
        <v>0</v>
      </c>
      <c r="E124" s="83" t="s">
        <v>151</v>
      </c>
    </row>
    <row r="125" customFormat="false" ht="15" hidden="false" customHeight="false" outlineLevel="0" collapsed="false"/>
    <row r="126" customFormat="false" ht="19.5" hidden="false" customHeight="false" outlineLevel="0" collapsed="false">
      <c r="A126" s="13" t="s">
        <v>152</v>
      </c>
    </row>
    <row r="127" customFormat="false" ht="18.75" hidden="false" customHeight="true" outlineLevel="0" collapsed="false">
      <c r="A127" s="13"/>
      <c r="G127" s="84"/>
      <c r="H127" s="84"/>
    </row>
    <row r="128" customFormat="false" ht="14.25" hidden="false" customHeight="true" outlineLevel="0" collapsed="false">
      <c r="B128" s="85"/>
      <c r="C128" s="85" t="s">
        <v>153</v>
      </c>
      <c r="D128" s="86" t="n">
        <v>30</v>
      </c>
      <c r="E128" s="83" t="s">
        <v>154</v>
      </c>
      <c r="G128" s="84"/>
      <c r="H128" s="84"/>
    </row>
    <row r="129" customFormat="false" ht="15.75" hidden="false" customHeight="true" outlineLevel="0" collapsed="false">
      <c r="A129" s="87"/>
      <c r="C129" s="85" t="s">
        <v>155</v>
      </c>
      <c r="D129" s="86" t="n">
        <v>30</v>
      </c>
      <c r="E129" s="83" t="s">
        <v>156</v>
      </c>
      <c r="G129" s="84"/>
      <c r="H129" s="84"/>
    </row>
    <row r="130" customFormat="false" ht="15" hidden="false" customHeight="true" outlineLevel="0" collapsed="false">
      <c r="G130" s="84"/>
      <c r="H130" s="84"/>
    </row>
    <row r="131" customFormat="false" ht="18.75" hidden="false" customHeight="true" outlineLevel="0" collapsed="false">
      <c r="A131" s="13" t="s">
        <v>157</v>
      </c>
      <c r="G131" s="84"/>
      <c r="H131" s="84"/>
    </row>
    <row r="132" customFormat="false" ht="15" hidden="false" customHeight="true" outlineLevel="0" collapsed="false">
      <c r="G132" s="84"/>
      <c r="H132" s="84"/>
    </row>
    <row r="133" customFormat="false" ht="15" hidden="false" customHeight="true" outlineLevel="0" collapsed="false">
      <c r="B133" s="88" t="s">
        <v>66</v>
      </c>
      <c r="C133" s="88" t="s">
        <v>67</v>
      </c>
      <c r="D133" s="88" t="s">
        <v>68</v>
      </c>
      <c r="G133" s="84"/>
      <c r="H133" s="84"/>
    </row>
    <row r="134" customFormat="false" ht="15" hidden="false" customHeight="true" outlineLevel="0" collapsed="false">
      <c r="A134" s="0" t="s">
        <v>158</v>
      </c>
      <c r="B134" s="89"/>
      <c r="C134" s="90" t="n">
        <f aca="false">B134+B134*10%</f>
        <v>0</v>
      </c>
      <c r="D134" s="90" t="n">
        <f aca="false">C134+C134*10%</f>
        <v>0</v>
      </c>
      <c r="E134" s="91" t="s">
        <v>159</v>
      </c>
      <c r="G134" s="84"/>
      <c r="H134" s="84"/>
    </row>
    <row r="135" customFormat="false" ht="15" hidden="false" customHeight="true" outlineLevel="0" collapsed="false">
      <c r="A135" s="0" t="s">
        <v>160</v>
      </c>
      <c r="B135" s="89"/>
      <c r="C135" s="90" t="n">
        <f aca="false">B135+B135*10%</f>
        <v>0</v>
      </c>
      <c r="D135" s="90" t="n">
        <f aca="false">C135+C135*10%</f>
        <v>0</v>
      </c>
      <c r="E135" s="91" t="s">
        <v>159</v>
      </c>
      <c r="G135" s="84"/>
      <c r="H135" s="84"/>
    </row>
    <row r="136" customFormat="false" ht="15" hidden="false" customHeight="true" outlineLevel="0" collapsed="false">
      <c r="G136" s="84"/>
      <c r="H136" s="84"/>
    </row>
    <row r="137" customFormat="false" ht="15.75" hidden="false" customHeight="true" outlineLevel="0" collapsed="false">
      <c r="A137" s="87" t="s">
        <v>161</v>
      </c>
      <c r="C137" s="92" t="s">
        <v>8</v>
      </c>
      <c r="D137" s="25" t="s">
        <v>162</v>
      </c>
    </row>
    <row r="138" customFormat="false" ht="15" hidden="false" customHeight="true" outlineLevel="0" collapsed="false">
      <c r="G138" s="93" t="s">
        <v>163</v>
      </c>
      <c r="H138" s="94"/>
    </row>
    <row r="139" customFormat="false" ht="15" hidden="true" customHeight="true" outlineLevel="0" collapsed="false">
      <c r="A139" s="5" t="s">
        <v>164</v>
      </c>
      <c r="B139" s="88" t="s">
        <v>66</v>
      </c>
      <c r="C139" s="88" t="s">
        <v>67</v>
      </c>
      <c r="D139" s="88" t="s">
        <v>68</v>
      </c>
      <c r="F139" s="5" t="s">
        <v>165</v>
      </c>
      <c r="G139" s="95" t="s">
        <v>66</v>
      </c>
      <c r="H139" s="96" t="s">
        <v>67</v>
      </c>
      <c r="I139" s="88" t="s">
        <v>68</v>
      </c>
    </row>
    <row r="140" customFormat="false" ht="15" hidden="true" customHeight="true" outlineLevel="0" collapsed="false">
      <c r="A140" s="0" t="s">
        <v>166</v>
      </c>
      <c r="B140" s="97" t="n">
        <f aca="false">B134*0.74</f>
        <v>0</v>
      </c>
      <c r="C140" s="97" t="n">
        <f aca="false">C134*0.74</f>
        <v>0</v>
      </c>
      <c r="D140" s="97" t="n">
        <f aca="false">D134*0.74</f>
        <v>0</v>
      </c>
      <c r="F140" s="0" t="s">
        <v>166</v>
      </c>
      <c r="G140" s="98" t="n">
        <f aca="false">B134*0.74</f>
        <v>0</v>
      </c>
      <c r="H140" s="99" t="n">
        <f aca="false">C134*0.74</f>
        <v>0</v>
      </c>
      <c r="I140" s="97" t="n">
        <f aca="false">D134*0.74</f>
        <v>0</v>
      </c>
    </row>
    <row r="141" customFormat="false" ht="15" hidden="true" customHeight="true" outlineLevel="0" collapsed="false">
      <c r="A141" s="0" t="s">
        <v>2</v>
      </c>
      <c r="B141" s="100" t="n">
        <f aca="false">+'Plan financier à imprimer'!AG11*13.4%</f>
        <v>16897400</v>
      </c>
      <c r="C141" s="100" t="n">
        <f aca="false">+'Plan financier à imprimer'!AH11*13.4%</f>
        <v>20276880</v>
      </c>
      <c r="D141" s="100" t="n">
        <f aca="false">+'Plan financier à imprimer'!AI11*13.4%</f>
        <v>26359944</v>
      </c>
      <c r="E141" s="101" t="s">
        <v>167</v>
      </c>
      <c r="F141" s="0" t="s">
        <v>2</v>
      </c>
      <c r="G141" s="98" t="n">
        <f aca="false">+'Plan financier à imprimer'!AG11*3.4%</f>
        <v>4287400</v>
      </c>
      <c r="H141" s="102" t="n">
        <f aca="false">+'Plan financier à imprimer'!AH11*6.7%</f>
        <v>10138440</v>
      </c>
      <c r="I141" s="100" t="n">
        <f aca="false">+'Plan financier à imprimer'!AI11*10.1%</f>
        <v>19868316</v>
      </c>
    </row>
    <row r="142" customFormat="false" ht="15" hidden="true" customHeight="true" outlineLevel="0" collapsed="false">
      <c r="A142" s="0" t="s">
        <v>2</v>
      </c>
      <c r="B142" s="100" t="n">
        <f aca="false">+'Plan financier à imprimer'!AG12*23.1%</f>
        <v>0</v>
      </c>
      <c r="C142" s="100" t="n">
        <f aca="false">+'Plan financier à imprimer'!AH12*23.1%</f>
        <v>0</v>
      </c>
      <c r="D142" s="100" t="n">
        <f aca="false">+'Plan financier à imprimer'!AI12*23.1%</f>
        <v>0</v>
      </c>
      <c r="E142" s="101" t="s">
        <v>168</v>
      </c>
      <c r="F142" s="0" t="s">
        <v>2</v>
      </c>
      <c r="G142" s="98" t="n">
        <f aca="false">+'Plan financier à imprimer'!AG12*5.8%</f>
        <v>0</v>
      </c>
      <c r="H142" s="102" t="n">
        <f aca="false">+'Plan financier à imprimer'!AH12*11.6%</f>
        <v>0</v>
      </c>
      <c r="I142" s="100" t="n">
        <f aca="false">+'Plan financier à imprimer'!AI12*17.4%</f>
        <v>0</v>
      </c>
    </row>
    <row r="143" customFormat="false" ht="15" hidden="true" customHeight="true" outlineLevel="0" collapsed="false">
      <c r="A143" s="0" t="s">
        <v>7</v>
      </c>
      <c r="B143" s="100" t="n">
        <f aca="false">IF('Plan financier à imprimer'!AG52*32%&lt;1103,1103,'Plan financier à imprimer'!AG52*32%)</f>
        <v>36403200</v>
      </c>
      <c r="C143" s="100" t="n">
        <f aca="false">IF('Plan financier à imprimer'!AH52*32%&lt;1103,1103,'Plan financier à imprimer'!AH52*32%)</f>
        <v>43683840</v>
      </c>
      <c r="D143" s="100" t="n">
        <f aca="false">IF('Plan financier à imprimer'!AI52*32%&lt;1103,1103,'Plan financier à imprimer'!AI52*32%)</f>
        <v>53644800</v>
      </c>
      <c r="F143" s="0" t="s">
        <v>7</v>
      </c>
      <c r="G143" s="98" t="n">
        <v>1120</v>
      </c>
      <c r="H143" s="103" t="n">
        <f aca="false">IF('Plan financier à imprimer'!AH52*32%&lt;1103,1103,'Plan financier à imprimer'!AH52*32%)</f>
        <v>43683840</v>
      </c>
      <c r="I143" s="104" t="n">
        <f aca="false">IF('Plan financier à imprimer'!AI52*32%&lt;1103,1103,'Plan financier à imprimer'!AI52*32%)</f>
        <v>53644800</v>
      </c>
    </row>
    <row r="144" customFormat="false" ht="15.75" hidden="true" customHeight="true" outlineLevel="0" collapsed="false">
      <c r="A144" s="0" t="s">
        <v>11</v>
      </c>
      <c r="B144" s="100" t="n">
        <f aca="false">IF(B135*47%&lt;1103,1103,B135*47%)</f>
        <v>1103</v>
      </c>
      <c r="C144" s="100" t="n">
        <f aca="false">IF(C135*47%&lt;1103,1103,C135*47%)</f>
        <v>1103</v>
      </c>
      <c r="D144" s="100" t="n">
        <f aca="false">IF(D135*47%&lt;1103,1103,D135*47%)</f>
        <v>1103</v>
      </c>
      <c r="F144" s="0" t="s">
        <v>11</v>
      </c>
      <c r="G144" s="98" t="n">
        <v>1120</v>
      </c>
      <c r="H144" s="103" t="n">
        <f aca="false">IF(C135*47%&lt;1103,1103,C135*47%)</f>
        <v>1103</v>
      </c>
      <c r="I144" s="104" t="n">
        <f aca="false">IF(D135*47%&lt;1103,1103,D135*47%)</f>
        <v>1103</v>
      </c>
    </row>
    <row r="145" customFormat="false" ht="15" hidden="true" customHeight="false" outlineLevel="0" collapsed="false">
      <c r="A145" s="0" t="s">
        <v>14</v>
      </c>
      <c r="B145" s="100" t="n">
        <f aca="false">IF(B135*47%&lt;1103,1103,B135*47%)</f>
        <v>1103</v>
      </c>
      <c r="C145" s="100" t="n">
        <f aca="false">IF(C135*47%&lt;1103,1103,C135*47%)</f>
        <v>1103</v>
      </c>
      <c r="D145" s="100" t="n">
        <f aca="false">IF(D135*47%&lt;1103,1103,D135*47%)</f>
        <v>1103</v>
      </c>
      <c r="F145" s="0" t="s">
        <v>14</v>
      </c>
      <c r="G145" s="98" t="n">
        <v>1120</v>
      </c>
      <c r="H145" s="103" t="n">
        <f aca="false">IF(C135*47%&lt;1103,1103,C135*47%)</f>
        <v>1103</v>
      </c>
      <c r="I145" s="104" t="n">
        <f aca="false">IF(D135*47%&lt;1103,1103,D135*47%)</f>
        <v>1103</v>
      </c>
    </row>
    <row r="146" customFormat="false" ht="15" hidden="true" customHeight="false" outlineLevel="0" collapsed="false">
      <c r="A146" s="0" t="s">
        <v>17</v>
      </c>
      <c r="B146" s="100" t="n">
        <f aca="false">B135*70%</f>
        <v>0</v>
      </c>
      <c r="C146" s="100" t="n">
        <f aca="false">C135*70%</f>
        <v>0</v>
      </c>
      <c r="D146" s="100" t="n">
        <f aca="false">D135*70%</f>
        <v>0</v>
      </c>
      <c r="F146" s="0" t="s">
        <v>17</v>
      </c>
      <c r="G146" s="98" t="n">
        <f aca="false">B135*33.85%</f>
        <v>0</v>
      </c>
      <c r="H146" s="98" t="n">
        <f aca="false">C135*70%</f>
        <v>0</v>
      </c>
      <c r="I146" s="98" t="n">
        <f aca="false">D135*70%</f>
        <v>0</v>
      </c>
    </row>
    <row r="147" customFormat="false" ht="15" hidden="true" customHeight="false" outlineLevel="0" collapsed="false">
      <c r="A147" s="0" t="s">
        <v>20</v>
      </c>
      <c r="B147" s="100" t="n">
        <f aca="false">B135*70%</f>
        <v>0</v>
      </c>
      <c r="C147" s="100" t="n">
        <f aca="false">C135*70%</f>
        <v>0</v>
      </c>
      <c r="D147" s="100" t="n">
        <f aca="false">D135*70%</f>
        <v>0</v>
      </c>
      <c r="F147" s="0" t="s">
        <v>20</v>
      </c>
      <c r="G147" s="98" t="n">
        <f aca="false">B135*33.85%</f>
        <v>0</v>
      </c>
      <c r="H147" s="98" t="n">
        <f aca="false">C135*70%</f>
        <v>0</v>
      </c>
      <c r="I147" s="98" t="n">
        <f aca="false">D135*70%</f>
        <v>0</v>
      </c>
    </row>
    <row r="148" customFormat="false" ht="15" hidden="true" customHeight="false" outlineLevel="0" collapsed="false">
      <c r="A148" s="5" t="s">
        <v>169</v>
      </c>
      <c r="B148" s="97" t="n">
        <f aca="false">SUMIF($A$141:$A$147,$B$8,B141:B147)</f>
        <v>0</v>
      </c>
      <c r="C148" s="97" t="n">
        <f aca="false">SUMIF($A$141:$A$147,$B$8,C141:C147)</f>
        <v>0</v>
      </c>
      <c r="D148" s="97" t="n">
        <f aca="false">SUMIF($A$141:$A$147,$B$8,D141:D147)</f>
        <v>0</v>
      </c>
      <c r="F148" s="5" t="s">
        <v>169</v>
      </c>
      <c r="G148" s="98" t="n">
        <f aca="false">SUMIF($A$141:$A$147,$B$8,G141:G147)</f>
        <v>0</v>
      </c>
      <c r="H148" s="99" t="n">
        <f aca="false">SUMIF($A$141:$A$147,$B$8,H141:H147)</f>
        <v>0</v>
      </c>
      <c r="I148" s="99" t="n">
        <f aca="false">SUMIF($A$141:$A$147,$B$8,I141:I147)</f>
        <v>0</v>
      </c>
    </row>
    <row r="149" customFormat="false" ht="15.75" hidden="false" customHeight="false" outlineLevel="0" collapsed="false">
      <c r="B149" s="105"/>
      <c r="C149" s="105"/>
      <c r="D149" s="105"/>
      <c r="G149" s="93" t="s">
        <v>170</v>
      </c>
      <c r="H149" s="94"/>
    </row>
    <row r="150" customFormat="false" ht="18.75" hidden="false" customHeight="true" outlineLevel="0" collapsed="false">
      <c r="A150" s="13" t="s">
        <v>171</v>
      </c>
      <c r="B150" s="106"/>
      <c r="C150" s="106"/>
      <c r="D150" s="106"/>
      <c r="G150" s="107"/>
      <c r="H150" s="107"/>
    </row>
    <row r="151" customFormat="false" ht="15.75" hidden="false" customHeight="true" outlineLevel="0" collapsed="false">
      <c r="D151" s="15" t="s">
        <v>172</v>
      </c>
      <c r="G151" s="107"/>
      <c r="H151" s="107"/>
    </row>
    <row r="152" customFormat="false" ht="16.5" hidden="false" customHeight="true" outlineLevel="0" collapsed="false">
      <c r="A152" s="87" t="s">
        <v>173</v>
      </c>
      <c r="D152" s="108" t="str">
        <f aca="false">IF(ISERROR(+IF('Plan financier à imprimer'!BA20&gt;0,"Rentable","Non rentable")),"",+IF('Plan financier à imprimer'!BA20&gt;0,"Rentable","Non rentable"))</f>
        <v>Rentable</v>
      </c>
      <c r="E152" s="109" t="str">
        <f aca="false">IF(D152="Non rentable","  Veuillez améliorer vos chiffres !","")</f>
        <v/>
      </c>
      <c r="G152" s="107"/>
      <c r="H152" s="107"/>
    </row>
    <row r="153" customFormat="false" ht="15" hidden="false" customHeight="true" outlineLevel="0" collapsed="false">
      <c r="E153" s="110"/>
      <c r="G153" s="107"/>
      <c r="H153" s="107"/>
    </row>
    <row r="154" customFormat="false" ht="18.75" hidden="false" customHeight="true" outlineLevel="0" collapsed="false">
      <c r="A154" s="13" t="s">
        <v>174</v>
      </c>
      <c r="E154" s="110"/>
      <c r="G154" s="107"/>
      <c r="H154" s="107"/>
    </row>
    <row r="155" customFormat="false" ht="15.75" hidden="false" customHeight="true" outlineLevel="0" collapsed="false">
      <c r="D155" s="15" t="s">
        <v>172</v>
      </c>
      <c r="E155" s="110"/>
      <c r="G155" s="107"/>
      <c r="H155" s="107"/>
    </row>
    <row r="156" customFormat="false" ht="16.5" hidden="false" customHeight="true" outlineLevel="0" collapsed="false">
      <c r="A156" s="87" t="s">
        <v>175</v>
      </c>
      <c r="D156" s="108" t="str">
        <f aca="false">IF(ISERROR(IF('Plan financier à imprimer'!CF40&lt;0,"Trop faible","Adéquate")),"",+IF('Plan financier à imprimer'!CF40&lt;0,"Trop faible","Adéquate"))</f>
        <v>Adéquate</v>
      </c>
      <c r="E156" s="109" t="str">
        <f aca="false">IF(D156="Trop faible","  Prévoyez plus de trésorerie de départ !","")</f>
        <v/>
      </c>
      <c r="G156" s="107"/>
      <c r="H156" s="107"/>
    </row>
    <row r="157" customFormat="false" ht="15" hidden="false" customHeight="true" outlineLevel="0" collapsed="false">
      <c r="E157" s="110"/>
      <c r="G157" s="107"/>
      <c r="H157" s="107"/>
    </row>
    <row r="158" customFormat="false" ht="26.25" hidden="false" customHeight="false" outlineLevel="0" collapsed="false">
      <c r="A158" s="111" t="s">
        <v>176</v>
      </c>
      <c r="G158" s="107"/>
      <c r="H158" s="107"/>
    </row>
    <row r="159" customFormat="false" ht="15.75" hidden="false" customHeight="true" outlineLevel="0" collapsed="false">
      <c r="G159" s="107"/>
      <c r="H159" s="107"/>
    </row>
    <row r="160" customFormat="false" ht="15.75" hidden="false" customHeight="false" outlineLevel="0" collapsed="false">
      <c r="A160" s="112" t="s">
        <v>177</v>
      </c>
    </row>
    <row r="161" customFormat="false" ht="15" hidden="false" customHeight="false" outlineLevel="0" collapsed="false"/>
  </sheetData>
  <mergeCells count="11">
    <mergeCell ref="B6:C6"/>
    <mergeCell ref="B7:C7"/>
    <mergeCell ref="B8:C8"/>
    <mergeCell ref="B9:C9"/>
    <mergeCell ref="B10:C10"/>
    <mergeCell ref="B11:C11"/>
    <mergeCell ref="B12:C12"/>
    <mergeCell ref="B13:D13"/>
    <mergeCell ref="A122:D122"/>
    <mergeCell ref="G127:H136"/>
    <mergeCell ref="G150:H159"/>
  </mergeCells>
  <conditionalFormatting sqref="D152">
    <cfRule type="cellIs" priority="2" operator="equal" aboveAverage="0" equalAverage="0" bottom="0" percent="0" rank="0" text="" dxfId="0">
      <formula>"Non rentable"</formula>
    </cfRule>
    <cfRule type="containsText" priority="3" operator="containsText" aboveAverage="0" equalAverage="0" bottom="0" percent="0" rank="0" text="Rentable" dxfId="1"/>
  </conditionalFormatting>
  <conditionalFormatting sqref="D156">
    <cfRule type="cellIs" priority="4" operator="equal" aboveAverage="0" equalAverage="0" bottom="0" percent="0" rank="0" text="" dxfId="2">
      <formula>"Trop faible"</formula>
    </cfRule>
    <cfRule type="cellIs" priority="5" operator="equal" aboveAverage="0" equalAverage="0" bottom="0" percent="0" rank="0" text="" dxfId="3">
      <formula>"Adéquate"</formula>
    </cfRule>
  </conditionalFormatting>
  <dataValidations count="4">
    <dataValidation allowBlank="true" operator="equal" showDropDown="false" showErrorMessage="true" showInputMessage="true" sqref="B8" type="list">
      <formula1>$J$3:$J$9</formula1>
      <formula2>0</formula2>
    </dataValidation>
    <dataValidation allowBlank="true" operator="between" showDropDown="false" showErrorMessage="true" showInputMessage="true" sqref="B12" type="date">
      <formula1>40179</formula1>
      <formula2>72686</formula2>
    </dataValidation>
    <dataValidation allowBlank="true" operator="equal" showDropDown="false" showErrorMessage="true" showInputMessage="true" sqref="B13:D13" type="list">
      <formula1>$L$3:$L$5</formula1>
      <formula2>0</formula2>
    </dataValidation>
    <dataValidation allowBlank="true" operator="equal" showDropDown="false" showErrorMessage="true" showInputMessage="true" sqref="C137" type="list">
      <formula1>$K$3:$K$4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2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G52"/>
  <sheetViews>
    <sheetView showFormulas="false" showGridLines="false" showRowColHeaders="true" showZeros="true" rightToLeft="false" tabSelected="false" showOutlineSymbols="true" defaultGridColor="true" view="normal" topLeftCell="BM22" colorId="64" zoomScale="100" zoomScaleNormal="100" zoomScalePageLayoutView="100" workbookViewId="0">
      <selection pane="topLeft" activeCell="CA40" activeCellId="0" sqref="CA40"/>
    </sheetView>
  </sheetViews>
  <sheetFormatPr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8" min="2" style="0" width="10.53"/>
    <col collapsed="false" customWidth="true" hidden="false" outlineLevel="0" max="10" min="9" style="0" width="3.43"/>
    <col collapsed="false" customWidth="false" hidden="false" outlineLevel="0" max="15" min="11" style="0" width="11.43"/>
    <col collapsed="false" customWidth="true" hidden="false" outlineLevel="0" max="16" min="16" style="0" width="10.53"/>
    <col collapsed="false" customWidth="true" hidden="false" outlineLevel="0" max="17" min="17" style="65" width="16.43"/>
    <col collapsed="false" customWidth="true" hidden="false" outlineLevel="0" max="18" min="18" style="0" width="3"/>
    <col collapsed="false" customWidth="true" hidden="false" outlineLevel="0" max="19" min="19" style="0" width="3.43"/>
    <col collapsed="false" customWidth="false" hidden="false" outlineLevel="0" max="23" min="20" style="113" width="11.43"/>
    <col collapsed="false" customWidth="true" hidden="false" outlineLevel="0" max="26" min="24" style="113" width="15.57"/>
    <col collapsed="false" customWidth="true" hidden="false" outlineLevel="0" max="27" min="27" style="0" width="3"/>
    <col collapsed="false" customWidth="true" hidden="false" outlineLevel="0" max="28" min="28" style="0" width="3.43"/>
    <col collapsed="false" customWidth="false" hidden="false" outlineLevel="0" max="32" min="29" style="113" width="11.43"/>
    <col collapsed="false" customWidth="true" hidden="false" outlineLevel="0" max="35" min="33" style="114" width="16.85"/>
    <col collapsed="false" customWidth="true" hidden="false" outlineLevel="0" max="36" min="36" style="0" width="3"/>
    <col collapsed="false" customWidth="true" hidden="false" outlineLevel="0" max="37" min="37" style="0" width="3.43"/>
    <col collapsed="false" customWidth="false" hidden="false" outlineLevel="0" max="40" min="38" style="113" width="11.43"/>
    <col collapsed="false" customWidth="true" hidden="false" outlineLevel="0" max="41" min="41" style="113" width="13.43"/>
    <col collapsed="false" customWidth="true" hidden="false" outlineLevel="0" max="42" min="42" style="113" width="7"/>
    <col collapsed="false" customWidth="true" hidden="false" outlineLevel="0" max="43" min="43" style="113" width="13.43"/>
    <col collapsed="false" customWidth="true" hidden="false" outlineLevel="0" max="44" min="44" style="113" width="7"/>
    <col collapsed="false" customWidth="true" hidden="false" outlineLevel="0" max="45" min="45" style="113" width="13.43"/>
    <col collapsed="false" customWidth="true" hidden="false" outlineLevel="0" max="46" min="46" style="113" width="7"/>
    <col collapsed="false" customWidth="true" hidden="false" outlineLevel="0" max="47" min="47" style="0" width="2.86"/>
    <col collapsed="false" customWidth="true" hidden="false" outlineLevel="0" max="48" min="48" style="0" width="3.43"/>
    <col collapsed="false" customWidth="false" hidden="false" outlineLevel="0" max="52" min="49" style="113" width="11.43"/>
    <col collapsed="false" customWidth="true" hidden="false" outlineLevel="0" max="53" min="53" style="113" width="13.57"/>
    <col collapsed="false" customWidth="true" hidden="false" outlineLevel="0" max="54" min="54" style="113" width="13.85"/>
    <col collapsed="false" customWidth="true" hidden="false" outlineLevel="0" max="55" min="55" style="113" width="13.43"/>
    <col collapsed="false" customWidth="true" hidden="false" outlineLevel="0" max="56" min="56" style="0" width="3"/>
    <col collapsed="false" customWidth="true" hidden="false" outlineLevel="0" max="57" min="57" style="0" width="3.43"/>
    <col collapsed="false" customWidth="false" hidden="false" outlineLevel="0" max="61" min="58" style="113" width="11.43"/>
    <col collapsed="false" customWidth="true" hidden="false" outlineLevel="0" max="64" min="62" style="113" width="12.85"/>
    <col collapsed="false" customWidth="true" hidden="false" outlineLevel="0" max="65" min="65" style="0" width="3"/>
    <col collapsed="false" customWidth="true" hidden="false" outlineLevel="0" max="66" min="66" style="0" width="3.43"/>
    <col collapsed="false" customWidth="false" hidden="false" outlineLevel="0" max="69" min="67" style="113" width="11.43"/>
    <col collapsed="false" customWidth="true" hidden="false" outlineLevel="0" max="74" min="70" style="113" width="12.43"/>
    <col collapsed="false" customWidth="true" hidden="false" outlineLevel="0" max="75" min="75" style="0" width="3"/>
    <col collapsed="false" customWidth="true" hidden="false" outlineLevel="0" max="76" min="76" style="0" width="3.86"/>
    <col collapsed="false" customWidth="true" hidden="false" outlineLevel="0" max="83" min="77" style="113" width="12.43"/>
    <col collapsed="false" customWidth="true" hidden="false" outlineLevel="0" max="84" min="84" style="113" width="13.14"/>
    <col collapsed="false" customWidth="true" hidden="false" outlineLevel="0" max="85" min="85" style="113" width="2.43"/>
    <col collapsed="false" customWidth="true" hidden="false" outlineLevel="0" max="1025" min="86" style="0" width="10.53"/>
  </cols>
  <sheetData>
    <row r="1" customFormat="false" ht="27.75" hidden="false" customHeight="true" outlineLevel="0" collapsed="false"/>
    <row r="2" customFormat="false" ht="15" hidden="false" customHeight="true" outlineLevel="0" collapsed="false">
      <c r="B2" s="115"/>
      <c r="C2" s="116"/>
      <c r="D2" s="116"/>
      <c r="E2" s="116"/>
      <c r="F2" s="116"/>
      <c r="G2" s="116"/>
      <c r="H2" s="117"/>
      <c r="K2" s="118" t="s">
        <v>178</v>
      </c>
      <c r="L2" s="118"/>
      <c r="M2" s="118"/>
      <c r="N2" s="118"/>
      <c r="O2" s="118"/>
      <c r="P2" s="118"/>
      <c r="Q2" s="118"/>
      <c r="T2" s="118" t="s">
        <v>179</v>
      </c>
      <c r="U2" s="118"/>
      <c r="V2" s="118"/>
      <c r="W2" s="118"/>
      <c r="X2" s="118"/>
      <c r="Y2" s="118"/>
      <c r="Z2" s="118"/>
      <c r="AC2" s="118" t="s">
        <v>180</v>
      </c>
      <c r="AD2" s="118"/>
      <c r="AE2" s="118"/>
      <c r="AF2" s="118"/>
      <c r="AG2" s="118"/>
      <c r="AH2" s="118"/>
      <c r="AI2" s="118"/>
      <c r="AL2" s="118" t="s">
        <v>181</v>
      </c>
      <c r="AM2" s="118"/>
      <c r="AN2" s="118"/>
      <c r="AO2" s="118"/>
      <c r="AP2" s="118"/>
      <c r="AQ2" s="118"/>
      <c r="AR2" s="118"/>
      <c r="AS2" s="118"/>
      <c r="AT2" s="118"/>
      <c r="AW2" s="119" t="s">
        <v>182</v>
      </c>
      <c r="AX2" s="119"/>
      <c r="AY2" s="119"/>
      <c r="AZ2" s="119"/>
      <c r="BA2" s="119"/>
      <c r="BB2" s="119"/>
      <c r="BC2" s="119"/>
      <c r="BF2" s="119" t="s">
        <v>183</v>
      </c>
      <c r="BG2" s="119"/>
      <c r="BH2" s="119"/>
      <c r="BI2" s="119"/>
      <c r="BJ2" s="119"/>
      <c r="BK2" s="119"/>
      <c r="BL2" s="119"/>
      <c r="BO2" s="120" t="s">
        <v>184</v>
      </c>
      <c r="BP2" s="120"/>
      <c r="BQ2" s="120"/>
      <c r="BR2" s="120"/>
      <c r="BS2" s="120"/>
      <c r="BT2" s="120"/>
      <c r="BU2" s="120"/>
      <c r="BV2" s="120"/>
      <c r="BY2" s="120" t="s">
        <v>185</v>
      </c>
      <c r="BZ2" s="120"/>
      <c r="CA2" s="120"/>
      <c r="CB2" s="120"/>
      <c r="CC2" s="120"/>
      <c r="CD2" s="120"/>
      <c r="CE2" s="120"/>
      <c r="CF2" s="120"/>
    </row>
    <row r="3" customFormat="false" ht="15" hidden="false" customHeight="true" outlineLevel="0" collapsed="false">
      <c r="B3" s="77"/>
      <c r="C3" s="121"/>
      <c r="D3" s="121"/>
      <c r="E3" s="122"/>
      <c r="F3" s="123"/>
      <c r="G3" s="123"/>
      <c r="H3" s="124"/>
      <c r="K3" s="118"/>
      <c r="L3" s="118"/>
      <c r="M3" s="118"/>
      <c r="N3" s="118"/>
      <c r="O3" s="118"/>
      <c r="P3" s="118"/>
      <c r="Q3" s="118"/>
      <c r="T3" s="118"/>
      <c r="U3" s="118"/>
      <c r="V3" s="118"/>
      <c r="W3" s="118"/>
      <c r="X3" s="118"/>
      <c r="Y3" s="118"/>
      <c r="Z3" s="118"/>
      <c r="AC3" s="118"/>
      <c r="AD3" s="118"/>
      <c r="AE3" s="118"/>
      <c r="AF3" s="118"/>
      <c r="AG3" s="118"/>
      <c r="AH3" s="118"/>
      <c r="AI3" s="118"/>
      <c r="AL3" s="118"/>
      <c r="AM3" s="118"/>
      <c r="AN3" s="118"/>
      <c r="AO3" s="118"/>
      <c r="AP3" s="118"/>
      <c r="AQ3" s="118"/>
      <c r="AR3" s="118"/>
      <c r="AS3" s="118"/>
      <c r="AT3" s="118"/>
      <c r="AW3" s="119"/>
      <c r="AX3" s="119"/>
      <c r="AY3" s="119"/>
      <c r="AZ3" s="119"/>
      <c r="BA3" s="119"/>
      <c r="BB3" s="119"/>
      <c r="BC3" s="119"/>
      <c r="BF3" s="119"/>
      <c r="BG3" s="119"/>
      <c r="BH3" s="119"/>
      <c r="BI3" s="119"/>
      <c r="BJ3" s="119"/>
      <c r="BK3" s="119"/>
      <c r="BL3" s="119"/>
      <c r="BO3" s="120"/>
      <c r="BP3" s="120"/>
      <c r="BQ3" s="120"/>
      <c r="BR3" s="120"/>
      <c r="BS3" s="120"/>
      <c r="BT3" s="120"/>
      <c r="BU3" s="120"/>
      <c r="BV3" s="120"/>
      <c r="BY3" s="120"/>
      <c r="BZ3" s="120"/>
      <c r="CA3" s="120"/>
      <c r="CB3" s="120"/>
      <c r="CC3" s="120"/>
      <c r="CD3" s="120"/>
      <c r="CE3" s="120"/>
      <c r="CF3" s="120"/>
    </row>
    <row r="4" customFormat="false" ht="15" hidden="false" customHeight="true" outlineLevel="0" collapsed="false">
      <c r="B4" s="77"/>
      <c r="C4" s="121"/>
      <c r="D4" s="121"/>
      <c r="E4" s="122"/>
      <c r="F4" s="123"/>
      <c r="G4" s="123"/>
      <c r="H4" s="124"/>
      <c r="K4" s="118"/>
      <c r="L4" s="118"/>
      <c r="M4" s="118"/>
      <c r="N4" s="118"/>
      <c r="O4" s="118"/>
      <c r="P4" s="118"/>
      <c r="Q4" s="118"/>
      <c r="T4" s="118"/>
      <c r="U4" s="118"/>
      <c r="V4" s="118"/>
      <c r="W4" s="118"/>
      <c r="X4" s="118"/>
      <c r="Y4" s="118"/>
      <c r="Z4" s="118"/>
      <c r="AC4" s="118"/>
      <c r="AD4" s="118"/>
      <c r="AE4" s="118"/>
      <c r="AF4" s="118"/>
      <c r="AG4" s="118"/>
      <c r="AH4" s="118"/>
      <c r="AI4" s="118"/>
      <c r="AL4" s="118"/>
      <c r="AM4" s="118"/>
      <c r="AN4" s="118"/>
      <c r="AO4" s="118"/>
      <c r="AP4" s="118"/>
      <c r="AQ4" s="118"/>
      <c r="AR4" s="118"/>
      <c r="AS4" s="118"/>
      <c r="AT4" s="118"/>
      <c r="AW4" s="119"/>
      <c r="AX4" s="119"/>
      <c r="AY4" s="119"/>
      <c r="AZ4" s="119"/>
      <c r="BA4" s="119"/>
      <c r="BB4" s="119"/>
      <c r="BC4" s="119"/>
      <c r="BF4" s="119"/>
      <c r="BG4" s="119"/>
      <c r="BH4" s="119"/>
      <c r="BI4" s="119"/>
      <c r="BJ4" s="119"/>
      <c r="BK4" s="119"/>
      <c r="BL4" s="119"/>
      <c r="BO4" s="120"/>
      <c r="BP4" s="120"/>
      <c r="BQ4" s="120"/>
      <c r="BR4" s="120"/>
      <c r="BS4" s="120"/>
      <c r="BT4" s="120"/>
      <c r="BU4" s="120"/>
      <c r="BV4" s="120"/>
      <c r="BY4" s="120"/>
      <c r="BZ4" s="120"/>
      <c r="CA4" s="120"/>
      <c r="CB4" s="120"/>
      <c r="CC4" s="120"/>
      <c r="CD4" s="120"/>
      <c r="CE4" s="120"/>
      <c r="CF4" s="120"/>
    </row>
    <row r="5" customFormat="false" ht="15" hidden="false" customHeight="true" outlineLevel="0" collapsed="false">
      <c r="B5" s="77"/>
      <c r="C5" s="121"/>
      <c r="D5" s="121"/>
      <c r="E5" s="122"/>
      <c r="F5" s="123"/>
      <c r="G5" s="123"/>
      <c r="H5" s="124"/>
    </row>
    <row r="6" customFormat="false" ht="15" hidden="false" customHeight="true" outlineLevel="0" collapsed="false">
      <c r="B6" s="77"/>
      <c r="C6" s="121"/>
      <c r="E6" s="125"/>
      <c r="F6" s="125"/>
      <c r="G6" s="125"/>
      <c r="H6" s="124"/>
      <c r="K6" s="5" t="s">
        <v>186</v>
      </c>
      <c r="M6" s="25" t="str">
        <f aca="false">IF(ISBLANK('Données à saisir'!$B7),"",('Données à saisir'!$B7))</f>
        <v/>
      </c>
      <c r="T6" s="126" t="s">
        <v>186</v>
      </c>
      <c r="V6" s="91" t="str">
        <f aca="false">IF(ISBLANK('Données à saisir'!$B7),"",('Données à saisir'!$B7))</f>
        <v/>
      </c>
      <c r="AC6" s="126" t="s">
        <v>186</v>
      </c>
      <c r="AE6" s="91" t="str">
        <f aca="false">IF(ISBLANK('Données à saisir'!$B7),"",('Données à saisir'!$B7))</f>
        <v/>
      </c>
      <c r="AL6" s="126" t="s">
        <v>186</v>
      </c>
      <c r="AN6" s="91" t="str">
        <f aca="false">IF(ISBLANK('Données à saisir'!$B7),"",('Données à saisir'!$B7))</f>
        <v/>
      </c>
      <c r="AW6" s="126" t="s">
        <v>186</v>
      </c>
      <c r="AY6" s="91" t="str">
        <f aca="false">IF(ISBLANK('Données à saisir'!$B7),"",('Données à saisir'!$B7))</f>
        <v/>
      </c>
      <c r="BF6" s="126" t="s">
        <v>186</v>
      </c>
      <c r="BH6" s="91" t="str">
        <f aca="false">IF(ISBLANK('Données à saisir'!$B7),"",('Données à saisir'!$B7))</f>
        <v/>
      </c>
      <c r="BO6" s="126" t="s">
        <v>186</v>
      </c>
      <c r="BQ6" s="91" t="str">
        <f aca="false">IF(ISBLANK('Données à saisir'!$B7),"",('Données à saisir'!$B7))</f>
        <v/>
      </c>
      <c r="BV6" s="127" t="s">
        <v>187</v>
      </c>
      <c r="BY6" s="126" t="s">
        <v>186</v>
      </c>
      <c r="CA6" s="91" t="str">
        <f aca="false">IF(ISBLANK('Données à saisir'!$B7),"",('Données à saisir'!$B7))</f>
        <v/>
      </c>
      <c r="CF6" s="127" t="s">
        <v>187</v>
      </c>
    </row>
    <row r="7" customFormat="false" ht="15" hidden="false" customHeight="true" outlineLevel="0" collapsed="false">
      <c r="B7" s="77"/>
      <c r="C7" s="121"/>
      <c r="D7" s="121"/>
      <c r="E7" s="125"/>
      <c r="F7" s="125"/>
      <c r="G7" s="125"/>
      <c r="H7" s="124"/>
      <c r="K7" s="5" t="s">
        <v>188</v>
      </c>
      <c r="M7" s="25" t="str">
        <f aca="false">IF(ISBLANK('Données à saisir'!$B6),"",('Données à saisir'!$B6))</f>
        <v/>
      </c>
      <c r="T7" s="126" t="s">
        <v>188</v>
      </c>
      <c r="V7" s="91" t="str">
        <f aca="false">IF(ISBLANK('Données à saisir'!$B6),"",('Données à saisir'!$B6))</f>
        <v/>
      </c>
      <c r="AC7" s="126" t="s">
        <v>188</v>
      </c>
      <c r="AE7" s="91" t="str">
        <f aca="false">IF(ISBLANK('Données à saisir'!$B6),"",('Données à saisir'!$B6))</f>
        <v/>
      </c>
      <c r="AL7" s="126" t="s">
        <v>188</v>
      </c>
      <c r="AN7" s="91" t="str">
        <f aca="false">IF(ISBLANK('Données à saisir'!$B6),"",('Données à saisir'!$B6))</f>
        <v/>
      </c>
      <c r="AW7" s="126" t="s">
        <v>188</v>
      </c>
      <c r="AY7" s="91" t="str">
        <f aca="false">IF(ISBLANK('Données à saisir'!$B6),"",('Données à saisir'!$B6))</f>
        <v/>
      </c>
      <c r="BF7" s="126" t="s">
        <v>188</v>
      </c>
      <c r="BH7" s="91" t="str">
        <f aca="false">IF(ISBLANK('Données à saisir'!$B6),"",('Données à saisir'!$B6))</f>
        <v/>
      </c>
      <c r="BO7" s="126" t="s">
        <v>188</v>
      </c>
      <c r="BQ7" s="91" t="str">
        <f aca="false">IF(ISBLANK('Données à saisir'!$B6),"",('Données à saisir'!$B6))</f>
        <v/>
      </c>
      <c r="BY7" s="126" t="s">
        <v>188</v>
      </c>
      <c r="CA7" s="91" t="str">
        <f aca="false">IF(ISBLANK('Données à saisir'!$B6),"",('Données à saisir'!$B6))</f>
        <v/>
      </c>
    </row>
    <row r="8" customFormat="false" ht="15" hidden="false" customHeight="true" outlineLevel="0" collapsed="false">
      <c r="B8" s="128"/>
      <c r="C8" s="129"/>
      <c r="D8" s="129"/>
      <c r="E8" s="130"/>
      <c r="F8" s="129"/>
      <c r="G8" s="129"/>
      <c r="H8" s="131"/>
      <c r="T8" s="126" t="s">
        <v>189</v>
      </c>
      <c r="V8" s="113" t="s">
        <v>190</v>
      </c>
      <c r="AG8" s="132" t="s">
        <v>66</v>
      </c>
      <c r="AH8" s="133" t="s">
        <v>67</v>
      </c>
      <c r="AI8" s="134" t="s">
        <v>68</v>
      </c>
    </row>
    <row r="9" customFormat="false" ht="15" hidden="false" customHeight="true" outlineLevel="0" collapsed="false">
      <c r="K9" s="135" t="s">
        <v>191</v>
      </c>
      <c r="L9" s="135"/>
      <c r="M9" s="135"/>
      <c r="N9" s="135"/>
      <c r="O9" s="135"/>
      <c r="P9" s="135"/>
      <c r="Q9" s="136" t="s">
        <v>192</v>
      </c>
      <c r="U9" s="126"/>
      <c r="AC9" s="137"/>
      <c r="AG9" s="132"/>
      <c r="AH9" s="133"/>
      <c r="AI9" s="134"/>
      <c r="BA9" s="138" t="s">
        <v>66</v>
      </c>
      <c r="BB9" s="139" t="s">
        <v>67</v>
      </c>
      <c r="BC9" s="140" t="s">
        <v>68</v>
      </c>
    </row>
    <row r="10" customFormat="false" ht="15" hidden="false" customHeight="true" outlineLevel="0" collapsed="false">
      <c r="K10" s="135"/>
      <c r="L10" s="135"/>
      <c r="M10" s="135"/>
      <c r="N10" s="135"/>
      <c r="O10" s="135"/>
      <c r="P10" s="135"/>
      <c r="Q10" s="136"/>
      <c r="U10" s="126"/>
      <c r="AC10" s="141" t="s">
        <v>193</v>
      </c>
      <c r="AD10" s="142"/>
      <c r="AE10" s="142"/>
      <c r="AF10" s="142"/>
      <c r="AG10" s="143" t="n">
        <f aca="false">SUM(AG11:AG12)</f>
        <v>126100000</v>
      </c>
      <c r="AH10" s="143" t="n">
        <f aca="false">SUM(AH11:AH12)</f>
        <v>151320000</v>
      </c>
      <c r="AI10" s="144" t="n">
        <f aca="false">SUM(AI11:AI12)</f>
        <v>196716000</v>
      </c>
      <c r="AW10" s="137"/>
      <c r="BA10" s="138"/>
      <c r="BB10" s="139"/>
      <c r="BC10" s="140"/>
    </row>
    <row r="11" customFormat="false" ht="15" hidden="false" customHeight="true" outlineLevel="0" collapsed="false">
      <c r="K11" s="145"/>
      <c r="L11" s="146"/>
      <c r="M11" s="146"/>
      <c r="N11" s="146"/>
      <c r="O11" s="146"/>
      <c r="P11" s="146"/>
      <c r="Q11" s="147"/>
      <c r="U11" s="126"/>
      <c r="AC11" s="148" t="s">
        <v>194</v>
      </c>
      <c r="AD11" s="149"/>
      <c r="AE11" s="149"/>
      <c r="AF11" s="149"/>
      <c r="AG11" s="150" t="n">
        <f aca="false">'Données à saisir'!D116</f>
        <v>126100000</v>
      </c>
      <c r="AH11" s="150" t="n">
        <f aca="false">AG11+AG11*'Données à saisir'!D118</f>
        <v>151320000</v>
      </c>
      <c r="AI11" s="151" t="n">
        <f aca="false">AH11+AH11*'Données à saisir'!D119</f>
        <v>196716000</v>
      </c>
      <c r="AO11" s="152" t="s">
        <v>66</v>
      </c>
      <c r="AP11" s="139" t="s">
        <v>195</v>
      </c>
      <c r="AQ11" s="153" t="s">
        <v>67</v>
      </c>
      <c r="AR11" s="139" t="s">
        <v>195</v>
      </c>
      <c r="AS11" s="153" t="s">
        <v>68</v>
      </c>
      <c r="AT11" s="154" t="s">
        <v>195</v>
      </c>
      <c r="AW11" s="155" t="s">
        <v>196</v>
      </c>
      <c r="AX11" s="142"/>
      <c r="AY11" s="142"/>
      <c r="AZ11" s="142"/>
      <c r="BA11" s="156" t="n">
        <f aca="false">AG10</f>
        <v>126100000</v>
      </c>
      <c r="BB11" s="156" t="n">
        <f aca="false">AH10</f>
        <v>151320000</v>
      </c>
      <c r="BC11" s="157" t="n">
        <f aca="false">AI10</f>
        <v>196716000</v>
      </c>
      <c r="BO11" s="158" t="s">
        <v>197</v>
      </c>
    </row>
    <row r="12" customFormat="false" ht="15" hidden="false" customHeight="true" outlineLevel="0" collapsed="false">
      <c r="B12" s="115"/>
      <c r="C12" s="116"/>
      <c r="D12" s="116"/>
      <c r="E12" s="116"/>
      <c r="F12" s="116"/>
      <c r="G12" s="116"/>
      <c r="H12" s="117"/>
      <c r="K12" s="159" t="s">
        <v>198</v>
      </c>
      <c r="L12" s="121"/>
      <c r="M12" s="121"/>
      <c r="N12" s="121"/>
      <c r="O12" s="121"/>
      <c r="P12" s="121"/>
      <c r="Q12" s="160" t="n">
        <f aca="false">SUM(Q13:Q22)</f>
        <v>0</v>
      </c>
      <c r="AC12" s="148"/>
      <c r="AD12" s="149"/>
      <c r="AE12" s="149"/>
      <c r="AF12" s="149"/>
      <c r="AG12" s="150"/>
      <c r="AH12" s="150"/>
      <c r="AI12" s="151"/>
      <c r="AL12" s="137"/>
      <c r="AO12" s="152"/>
      <c r="AP12" s="139"/>
      <c r="AQ12" s="153"/>
      <c r="AR12" s="139"/>
      <c r="AS12" s="153"/>
      <c r="AT12" s="154"/>
      <c r="AW12" s="161" t="s">
        <v>199</v>
      </c>
      <c r="AX12" s="149"/>
      <c r="AY12" s="149"/>
      <c r="AZ12" s="149"/>
      <c r="BA12" s="162" t="n">
        <f aca="false">AO15</f>
        <v>0</v>
      </c>
      <c r="BB12" s="162" t="n">
        <f aca="false">AQ15</f>
        <v>0</v>
      </c>
      <c r="BC12" s="163" t="n">
        <f aca="false">AS15</f>
        <v>0</v>
      </c>
      <c r="BJ12" s="138" t="s">
        <v>66</v>
      </c>
      <c r="BK12" s="139" t="s">
        <v>67</v>
      </c>
      <c r="BL12" s="140" t="s">
        <v>68</v>
      </c>
    </row>
    <row r="13" customFormat="false" ht="15" hidden="false" customHeight="true" outlineLevel="0" collapsed="false">
      <c r="B13" s="77"/>
      <c r="C13" s="121"/>
      <c r="D13" s="121"/>
      <c r="E13" s="121"/>
      <c r="F13" s="121"/>
      <c r="G13" s="121"/>
      <c r="H13" s="124"/>
      <c r="K13" s="164" t="str">
        <f aca="false">'Données à saisir'!A17</f>
        <v>Frais d’établissement </v>
      </c>
      <c r="L13" s="121"/>
      <c r="M13" s="121"/>
      <c r="N13" s="121"/>
      <c r="O13" s="121"/>
      <c r="P13" s="121"/>
      <c r="Q13" s="165" t="str">
        <f aca="false">IF(ISBLANK('Données à saisir'!B17),"",'Données à saisir'!B17)</f>
        <v/>
      </c>
      <c r="X13" s="152" t="s">
        <v>66</v>
      </c>
      <c r="Y13" s="153" t="s">
        <v>67</v>
      </c>
      <c r="Z13" s="154" t="s">
        <v>68</v>
      </c>
      <c r="AC13" s="166" t="s">
        <v>200</v>
      </c>
      <c r="AD13" s="149"/>
      <c r="AE13" s="149"/>
      <c r="AF13" s="149"/>
      <c r="AG13" s="167" t="n">
        <f aca="false">AG14</f>
        <v>0</v>
      </c>
      <c r="AH13" s="167" t="n">
        <f aca="false">AH14</f>
        <v>0</v>
      </c>
      <c r="AI13" s="168" t="n">
        <f aca="false">AI14</f>
        <v>0</v>
      </c>
      <c r="AL13" s="169" t="s">
        <v>201</v>
      </c>
      <c r="AM13" s="170"/>
      <c r="AN13" s="170"/>
      <c r="AO13" s="171" t="n">
        <f aca="false">AG10</f>
        <v>126100000</v>
      </c>
      <c r="AP13" s="172" t="n">
        <v>1</v>
      </c>
      <c r="AQ13" s="171" t="n">
        <f aca="false">AH10</f>
        <v>151320000</v>
      </c>
      <c r="AR13" s="173" t="n">
        <v>1</v>
      </c>
      <c r="AS13" s="171" t="n">
        <f aca="false">AI10</f>
        <v>196716000</v>
      </c>
      <c r="AT13" s="174" t="n">
        <v>1</v>
      </c>
      <c r="AW13" s="161" t="s">
        <v>202</v>
      </c>
      <c r="AX13" s="149"/>
      <c r="AY13" s="149"/>
      <c r="AZ13" s="149"/>
      <c r="BA13" s="162" t="n">
        <f aca="false">BA12</f>
        <v>0</v>
      </c>
      <c r="BB13" s="162" t="n">
        <f aca="false">BB12</f>
        <v>0</v>
      </c>
      <c r="BC13" s="163" t="n">
        <f aca="false">BC12</f>
        <v>0</v>
      </c>
      <c r="BF13" s="137"/>
      <c r="BJ13" s="138"/>
      <c r="BK13" s="139"/>
      <c r="BL13" s="140"/>
      <c r="BR13" s="138" t="s">
        <v>132</v>
      </c>
      <c r="BS13" s="139" t="s">
        <v>133</v>
      </c>
      <c r="BT13" s="139" t="s">
        <v>134</v>
      </c>
      <c r="BU13" s="139" t="s">
        <v>135</v>
      </c>
      <c r="BV13" s="140" t="s">
        <v>136</v>
      </c>
      <c r="BY13" s="138" t="s">
        <v>137</v>
      </c>
      <c r="BZ13" s="139" t="s">
        <v>138</v>
      </c>
      <c r="CA13" s="139" t="s">
        <v>139</v>
      </c>
      <c r="CB13" s="139" t="s">
        <v>140</v>
      </c>
      <c r="CC13" s="139" t="s">
        <v>141</v>
      </c>
      <c r="CD13" s="139" t="s">
        <v>142</v>
      </c>
      <c r="CE13" s="175" t="s">
        <v>143</v>
      </c>
      <c r="CF13" s="176" t="s">
        <v>62</v>
      </c>
    </row>
    <row r="14" customFormat="false" ht="15" hidden="false" customHeight="true" outlineLevel="0" collapsed="false">
      <c r="B14" s="177" t="s">
        <v>203</v>
      </c>
      <c r="C14" s="177"/>
      <c r="D14" s="177"/>
      <c r="E14" s="177"/>
      <c r="F14" s="177"/>
      <c r="G14" s="177"/>
      <c r="H14" s="177"/>
      <c r="K14" s="164" t="str">
        <f aca="false">'Données à saisir'!A18</f>
        <v>Frais d’ouverture de compteurs</v>
      </c>
      <c r="L14" s="121"/>
      <c r="M14" s="121"/>
      <c r="N14" s="121"/>
      <c r="O14" s="121"/>
      <c r="P14" s="121"/>
      <c r="Q14" s="165" t="str">
        <f aca="false">IF(ISBLANK('Données à saisir'!B18),"",'Données à saisir'!B18)</f>
        <v/>
      </c>
      <c r="T14" s="137"/>
      <c r="X14" s="178"/>
      <c r="Y14" s="179"/>
      <c r="Z14" s="180"/>
      <c r="AC14" s="148" t="s">
        <v>199</v>
      </c>
      <c r="AD14" s="149"/>
      <c r="AE14" s="149"/>
      <c r="AF14" s="149"/>
      <c r="AG14" s="150" t="n">
        <f aca="false">'Données à saisir'!$D$124*'Plan financier à imprimer'!AG11</f>
        <v>0</v>
      </c>
      <c r="AH14" s="150" t="n">
        <f aca="false">'Données à saisir'!$D$124*'Plan financier à imprimer'!AH11</f>
        <v>0</v>
      </c>
      <c r="AI14" s="151" t="n">
        <f aca="false">'Données à saisir'!$D$124*'Plan financier à imprimer'!AI11</f>
        <v>0</v>
      </c>
      <c r="AL14" s="181" t="s">
        <v>204</v>
      </c>
      <c r="AM14" s="149"/>
      <c r="AN14" s="149"/>
      <c r="AO14" s="162" t="n">
        <f aca="false">AG10</f>
        <v>126100000</v>
      </c>
      <c r="AP14" s="182" t="n">
        <v>1</v>
      </c>
      <c r="AQ14" s="162" t="n">
        <f aca="false">AH10</f>
        <v>151320000</v>
      </c>
      <c r="AR14" s="183" t="n">
        <v>1</v>
      </c>
      <c r="AS14" s="162" t="n">
        <f aca="false">AI10</f>
        <v>196716000</v>
      </c>
      <c r="AT14" s="184" t="n">
        <v>1</v>
      </c>
      <c r="AW14" s="161" t="s">
        <v>205</v>
      </c>
      <c r="AX14" s="149"/>
      <c r="AY14" s="149"/>
      <c r="AZ14" s="149"/>
      <c r="BA14" s="185" t="n">
        <f aca="false">BA11-BA13</f>
        <v>126100000</v>
      </c>
      <c r="BB14" s="185" t="n">
        <f aca="false">BB11-BB13</f>
        <v>151320000</v>
      </c>
      <c r="BC14" s="186" t="n">
        <f aca="false">BC11-BC13</f>
        <v>196716000</v>
      </c>
      <c r="BF14" s="187" t="s">
        <v>206</v>
      </c>
      <c r="BG14" s="142"/>
      <c r="BH14" s="142"/>
      <c r="BI14" s="142"/>
      <c r="BJ14" s="188" t="n">
        <f aca="false">Q12+Q23</f>
        <v>0</v>
      </c>
      <c r="BK14" s="156"/>
      <c r="BL14" s="189"/>
      <c r="BO14" s="137"/>
      <c r="BR14" s="138"/>
      <c r="BS14" s="139"/>
      <c r="BT14" s="139"/>
      <c r="BU14" s="139"/>
      <c r="BV14" s="140"/>
      <c r="BY14" s="138"/>
      <c r="BZ14" s="139"/>
      <c r="CA14" s="139"/>
      <c r="CB14" s="139"/>
      <c r="CC14" s="139"/>
      <c r="CD14" s="139"/>
      <c r="CE14" s="175"/>
      <c r="CF14" s="176"/>
    </row>
    <row r="15" customFormat="false" ht="15" hidden="false" customHeight="true" outlineLevel="0" collapsed="false">
      <c r="B15" s="177"/>
      <c r="C15" s="177"/>
      <c r="D15" s="177"/>
      <c r="E15" s="177"/>
      <c r="F15" s="177"/>
      <c r="G15" s="177"/>
      <c r="H15" s="177"/>
      <c r="K15" s="164" t="str">
        <f aca="false">'Données à saisir'!A19</f>
        <v>Logiciels, formations</v>
      </c>
      <c r="L15" s="121"/>
      <c r="M15" s="121"/>
      <c r="N15" s="121"/>
      <c r="O15" s="121"/>
      <c r="P15" s="121"/>
      <c r="Q15" s="165" t="str">
        <f aca="false">IF(ISBLANK('Données à saisir'!B19),"",'Données à saisir'!B19)</f>
        <v/>
      </c>
      <c r="T15" s="155" t="s">
        <v>207</v>
      </c>
      <c r="U15" s="142"/>
      <c r="V15" s="142"/>
      <c r="W15" s="142"/>
      <c r="X15" s="143" t="n">
        <f aca="false">'Données à saisir'!B135</f>
        <v>0</v>
      </c>
      <c r="Y15" s="143" t="n">
        <f aca="false">'Données à saisir'!C135</f>
        <v>0</v>
      </c>
      <c r="Z15" s="190" t="n">
        <f aca="false">'Données à saisir'!D135</f>
        <v>0</v>
      </c>
      <c r="AC15" s="191"/>
      <c r="AD15" s="149"/>
      <c r="AE15" s="149"/>
      <c r="AF15" s="149"/>
      <c r="AG15" s="150"/>
      <c r="AH15" s="150"/>
      <c r="AI15" s="192"/>
      <c r="AL15" s="193" t="s">
        <v>199</v>
      </c>
      <c r="AM15" s="149"/>
      <c r="AN15" s="149"/>
      <c r="AO15" s="162" t="n">
        <f aca="false">AG14</f>
        <v>0</v>
      </c>
      <c r="AP15" s="194" t="n">
        <f aca="false">AO15/$AO$14</f>
        <v>0</v>
      </c>
      <c r="AQ15" s="162" t="n">
        <f aca="false">AH14</f>
        <v>0</v>
      </c>
      <c r="AR15" s="194" t="n">
        <f aca="false">AQ15/$AQ$14</f>
        <v>0</v>
      </c>
      <c r="AS15" s="162" t="n">
        <f aca="false">AI14</f>
        <v>0</v>
      </c>
      <c r="AT15" s="195" t="n">
        <f aca="false">AS15/$AS$14</f>
        <v>0</v>
      </c>
      <c r="AW15" s="196" t="s">
        <v>208</v>
      </c>
      <c r="AX15" s="197"/>
      <c r="AY15" s="197"/>
      <c r="AZ15" s="197"/>
      <c r="BA15" s="198" t="n">
        <f aca="false">IF(ISERROR(BA14/BA11),0,BA14/BA11)</f>
        <v>1</v>
      </c>
      <c r="BB15" s="198" t="n">
        <f aca="false">IF(ISERROR(BB14/BB11),0,BB14/BB11)</f>
        <v>1</v>
      </c>
      <c r="BC15" s="199" t="n">
        <f aca="false">IF(ISERROR(BC14/BC11),0,BC14/BC11)</f>
        <v>1</v>
      </c>
      <c r="BF15" s="161" t="s">
        <v>209</v>
      </c>
      <c r="BG15" s="149"/>
      <c r="BH15" s="149"/>
      <c r="BI15" s="149"/>
      <c r="BJ15" s="162" t="n">
        <f aca="false">BA39</f>
        <v>10364383.5616438</v>
      </c>
      <c r="BK15" s="162" t="n">
        <f aca="false">BB39-BA39</f>
        <v>2072876.71232877</v>
      </c>
      <c r="BL15" s="163" t="n">
        <f aca="false">+BC39-BB39</f>
        <v>3731178.08219178</v>
      </c>
      <c r="BO15" s="200" t="s">
        <v>210</v>
      </c>
      <c r="BP15" s="142"/>
      <c r="BQ15" s="142"/>
      <c r="BR15" s="188" t="n">
        <f aca="false">BJ18</f>
        <v>0</v>
      </c>
      <c r="BS15" s="188"/>
      <c r="BT15" s="188"/>
      <c r="BU15" s="188"/>
      <c r="BV15" s="201"/>
      <c r="BY15" s="202"/>
      <c r="BZ15" s="188"/>
      <c r="CA15" s="188"/>
      <c r="CB15" s="188"/>
      <c r="CC15" s="188"/>
      <c r="CD15" s="188"/>
      <c r="CE15" s="203"/>
      <c r="CF15" s="204" t="n">
        <f aca="false">SUM(BR15:CE15)</f>
        <v>0</v>
      </c>
    </row>
    <row r="16" customFormat="false" ht="15" hidden="false" customHeight="true" outlineLevel="0" collapsed="false">
      <c r="B16" s="177"/>
      <c r="C16" s="177"/>
      <c r="D16" s="177"/>
      <c r="E16" s="177"/>
      <c r="F16" s="177"/>
      <c r="G16" s="177"/>
      <c r="H16" s="177"/>
      <c r="K16" s="164" t="str">
        <f aca="false">'Données à saisir'!A20</f>
        <v>Dépôt marque, brevet, modèle</v>
      </c>
      <c r="L16" s="121"/>
      <c r="M16" s="121"/>
      <c r="N16" s="121"/>
      <c r="O16" s="121"/>
      <c r="P16" s="121"/>
      <c r="Q16" s="165" t="str">
        <f aca="false">IF(ISBLANK('Données à saisir'!B20),"",'Données à saisir'!B20)</f>
        <v/>
      </c>
      <c r="T16" s="148"/>
      <c r="U16" s="205" t="s">
        <v>211</v>
      </c>
      <c r="V16" s="149"/>
      <c r="W16" s="149"/>
      <c r="X16" s="150"/>
      <c r="Y16" s="206" t="str">
        <f aca="false">IF(ISERROR((Y15-X15)/X15),"",(Y15-X15)/X15)</f>
        <v/>
      </c>
      <c r="Z16" s="207" t="str">
        <f aca="false">IF(ISERROR((Z15-Y15)/Y15),"",(Z15-Y15)/Y15)</f>
        <v/>
      </c>
      <c r="AC16" s="196" t="s">
        <v>212</v>
      </c>
      <c r="AD16" s="197"/>
      <c r="AE16" s="197"/>
      <c r="AF16" s="197"/>
      <c r="AG16" s="208" t="n">
        <f aca="false">AG10-AG13</f>
        <v>126100000</v>
      </c>
      <c r="AH16" s="208" t="n">
        <f aca="false">AH10-AH13</f>
        <v>151320000</v>
      </c>
      <c r="AI16" s="209" t="n">
        <f aca="false">AI10-AI13</f>
        <v>196716000</v>
      </c>
      <c r="AL16" s="196" t="s">
        <v>213</v>
      </c>
      <c r="AM16" s="197"/>
      <c r="AN16" s="197"/>
      <c r="AO16" s="210" t="n">
        <f aca="false">AO14-AO15</f>
        <v>126100000</v>
      </c>
      <c r="AP16" s="211" t="n">
        <f aca="false">AO16/$AO$14</f>
        <v>1</v>
      </c>
      <c r="AQ16" s="210" t="n">
        <f aca="false">AQ14-AQ15</f>
        <v>151320000</v>
      </c>
      <c r="AR16" s="212" t="n">
        <f aca="false">AQ16/$AQ$14</f>
        <v>1</v>
      </c>
      <c r="AS16" s="210" t="n">
        <f aca="false">AS14-AS15</f>
        <v>196716000</v>
      </c>
      <c r="AT16" s="213" t="n">
        <f aca="false">AS16/$AS$14</f>
        <v>1</v>
      </c>
      <c r="AW16" s="161" t="s">
        <v>214</v>
      </c>
      <c r="AX16" s="149"/>
      <c r="AY16" s="149"/>
      <c r="AZ16" s="149"/>
      <c r="BA16" s="162" t="n">
        <f aca="false">SUM(AO17,AO19,AO20,AO22,AO24)</f>
        <v>12340000</v>
      </c>
      <c r="BB16" s="162" t="n">
        <f aca="false">SUM(AQ17,AQ19,AQ20,AQ22,AQ24)</f>
        <v>14808000</v>
      </c>
      <c r="BC16" s="214" t="n">
        <f aca="false">SUM(AS17,AS19,AS20,AS22,AS24)</f>
        <v>29076000</v>
      </c>
      <c r="BF16" s="161" t="s">
        <v>215</v>
      </c>
      <c r="BG16" s="149"/>
      <c r="BH16" s="149"/>
      <c r="BI16" s="149"/>
      <c r="BJ16" s="162" t="n">
        <f aca="false">AO45</f>
        <v>0</v>
      </c>
      <c r="BK16" s="162" t="n">
        <f aca="false">AQ45</f>
        <v>0</v>
      </c>
      <c r="BL16" s="163" t="n">
        <f aca="false">AS45</f>
        <v>0</v>
      </c>
      <c r="BO16" s="161" t="s">
        <v>216</v>
      </c>
      <c r="BP16" s="149"/>
      <c r="BQ16" s="149"/>
      <c r="BR16" s="162" t="n">
        <f aca="false">BJ19</f>
        <v>0</v>
      </c>
      <c r="BS16" s="162"/>
      <c r="BT16" s="162"/>
      <c r="BU16" s="162"/>
      <c r="BV16" s="163"/>
      <c r="BY16" s="215"/>
      <c r="BZ16" s="162"/>
      <c r="CA16" s="162"/>
      <c r="CB16" s="162"/>
      <c r="CC16" s="162"/>
      <c r="CD16" s="162"/>
      <c r="CE16" s="216"/>
      <c r="CF16" s="217" t="n">
        <f aca="false">SUM(BR16:CE16)</f>
        <v>0</v>
      </c>
    </row>
    <row r="17" customFormat="false" ht="15" hidden="false" customHeight="true" outlineLevel="0" collapsed="false">
      <c r="B17" s="177"/>
      <c r="C17" s="177"/>
      <c r="D17" s="177"/>
      <c r="E17" s="177"/>
      <c r="F17" s="177"/>
      <c r="G17" s="177"/>
      <c r="H17" s="177"/>
      <c r="K17" s="164" t="str">
        <f aca="false">'Données à saisir'!A21</f>
        <v>Droits d’entrée</v>
      </c>
      <c r="L17" s="121"/>
      <c r="M17" s="121"/>
      <c r="N17" s="121"/>
      <c r="O17" s="121"/>
      <c r="P17" s="121"/>
      <c r="Q17" s="165" t="str">
        <f aca="false">IF(ISBLANK('Données à saisir'!B21),"",'Données à saisir'!B21)</f>
        <v/>
      </c>
      <c r="T17" s="166" t="s">
        <v>217</v>
      </c>
      <c r="U17" s="149"/>
      <c r="V17" s="149"/>
      <c r="W17" s="149"/>
      <c r="X17" s="167" t="n">
        <f aca="false">AG40</f>
        <v>0</v>
      </c>
      <c r="Y17" s="167" t="n">
        <f aca="false">AH40</f>
        <v>0</v>
      </c>
      <c r="Z17" s="168" t="n">
        <f aca="false">AI40</f>
        <v>0</v>
      </c>
      <c r="AC17" s="166" t="s">
        <v>218</v>
      </c>
      <c r="AD17" s="149"/>
      <c r="AE17" s="149"/>
      <c r="AF17" s="149"/>
      <c r="AG17" s="167" t="n">
        <f aca="false">SUM(AG18:AG33)</f>
        <v>11840000</v>
      </c>
      <c r="AH17" s="167" t="n">
        <f aca="false">SUM(AH18:AH33)</f>
        <v>14208000</v>
      </c>
      <c r="AI17" s="218" t="n">
        <f aca="false">SUM(AI18:AI33)</f>
        <v>28416000</v>
      </c>
      <c r="AL17" s="193" t="s">
        <v>219</v>
      </c>
      <c r="AM17" s="149"/>
      <c r="AN17" s="149"/>
      <c r="AO17" s="162" t="n">
        <f aca="false">AG17</f>
        <v>11840000</v>
      </c>
      <c r="AP17" s="194" t="n">
        <f aca="false">AO17/$AO$14</f>
        <v>0.0938937351308485</v>
      </c>
      <c r="AQ17" s="162" t="n">
        <f aca="false">AH17</f>
        <v>14208000</v>
      </c>
      <c r="AR17" s="219" t="n">
        <f aca="false">AQ17/$AQ$14</f>
        <v>0.0938937351308485</v>
      </c>
      <c r="AS17" s="162" t="n">
        <f aca="false">AI17</f>
        <v>28416000</v>
      </c>
      <c r="AT17" s="195" t="n">
        <f aca="false">AS17/$AS$14</f>
        <v>0.144451900201305</v>
      </c>
      <c r="AW17" s="196" t="s">
        <v>220</v>
      </c>
      <c r="AX17" s="197"/>
      <c r="AY17" s="197"/>
      <c r="AZ17" s="197"/>
      <c r="BA17" s="210" t="n">
        <f aca="false">BA12+BA16</f>
        <v>12340000</v>
      </c>
      <c r="BB17" s="210" t="n">
        <f aca="false">BB12+BB16</f>
        <v>14808000</v>
      </c>
      <c r="BC17" s="220" t="n">
        <f aca="false">BC12+BC16</f>
        <v>29076000</v>
      </c>
      <c r="BF17" s="196" t="s">
        <v>221</v>
      </c>
      <c r="BG17" s="197"/>
      <c r="BH17" s="197"/>
      <c r="BI17" s="197"/>
      <c r="BJ17" s="198" t="n">
        <f aca="false">SUM(BJ14:BJ16)</f>
        <v>10364383.5616438</v>
      </c>
      <c r="BK17" s="221" t="n">
        <f aca="false">SUM(BK14:BK16)</f>
        <v>2072876.71232877</v>
      </c>
      <c r="BL17" s="222" t="n">
        <f aca="false">SUM(BL14:BL16)</f>
        <v>3731178.08219178</v>
      </c>
      <c r="BO17" s="161" t="s">
        <v>222</v>
      </c>
      <c r="BP17" s="149"/>
      <c r="BQ17" s="149"/>
      <c r="BR17" s="162" t="n">
        <f aca="false">BJ20</f>
        <v>0</v>
      </c>
      <c r="BS17" s="162"/>
      <c r="BT17" s="162"/>
      <c r="BU17" s="162"/>
      <c r="BV17" s="163"/>
      <c r="BY17" s="215"/>
      <c r="BZ17" s="162"/>
      <c r="CA17" s="162"/>
      <c r="CB17" s="162"/>
      <c r="CC17" s="162"/>
      <c r="CD17" s="162"/>
      <c r="CE17" s="216"/>
      <c r="CF17" s="217" t="n">
        <f aca="false">SUM(BR17:CE17)</f>
        <v>0</v>
      </c>
    </row>
    <row r="18" customFormat="false" ht="15" hidden="false" customHeight="true" outlineLevel="0" collapsed="false">
      <c r="B18" s="177"/>
      <c r="C18" s="177"/>
      <c r="D18" s="177"/>
      <c r="E18" s="177"/>
      <c r="F18" s="177"/>
      <c r="G18" s="177"/>
      <c r="H18" s="177"/>
      <c r="K18" s="164" t="str">
        <f aca="false">'Données à saisir'!A22</f>
        <v>Achat fonds de commerce ou parts</v>
      </c>
      <c r="L18" s="121"/>
      <c r="M18" s="121"/>
      <c r="N18" s="121"/>
      <c r="O18" s="121"/>
      <c r="P18" s="121"/>
      <c r="Q18" s="165" t="str">
        <f aca="false">IF(ISBLANK('Données à saisir'!B22),"",'Données à saisir'!B22)</f>
        <v/>
      </c>
      <c r="T18" s="166"/>
      <c r="U18" s="149"/>
      <c r="V18" s="149"/>
      <c r="W18" s="149"/>
      <c r="X18" s="167"/>
      <c r="Y18" s="167"/>
      <c r="Z18" s="168"/>
      <c r="AC18" s="223"/>
      <c r="AD18" s="149"/>
      <c r="AE18" s="149"/>
      <c r="AF18" s="149"/>
      <c r="AG18" s="150"/>
      <c r="AH18" s="150"/>
      <c r="AI18" s="151"/>
      <c r="AL18" s="196" t="s">
        <v>223</v>
      </c>
      <c r="AM18" s="197"/>
      <c r="AN18" s="197"/>
      <c r="AO18" s="210" t="n">
        <f aca="false">AO16-AO17</f>
        <v>114260000</v>
      </c>
      <c r="AP18" s="211" t="n">
        <f aca="false">AO18/$AO$14</f>
        <v>0.906106264869151</v>
      </c>
      <c r="AQ18" s="210" t="n">
        <f aca="false">AQ16-AQ17</f>
        <v>137112000</v>
      </c>
      <c r="AR18" s="212" t="n">
        <f aca="false">AQ18/$AQ$14</f>
        <v>0.906106264869151</v>
      </c>
      <c r="AS18" s="210" t="n">
        <f aca="false">AS16-AS17</f>
        <v>168300000</v>
      </c>
      <c r="AT18" s="213" t="n">
        <f aca="false">AS18/$AS$14</f>
        <v>0.855548099798695</v>
      </c>
      <c r="AW18" s="161" t="s">
        <v>224</v>
      </c>
      <c r="AX18" s="149"/>
      <c r="AY18" s="149"/>
      <c r="AZ18" s="149"/>
      <c r="BA18" s="162" t="n">
        <f aca="false">AG44</f>
        <v>113760000</v>
      </c>
      <c r="BB18" s="162" t="n">
        <f aca="false">AH44</f>
        <v>136512000</v>
      </c>
      <c r="BC18" s="214" t="n">
        <f aca="false">AI44</f>
        <v>167640000</v>
      </c>
      <c r="BF18" s="161" t="s">
        <v>210</v>
      </c>
      <c r="BG18" s="149"/>
      <c r="BH18" s="149"/>
      <c r="BI18" s="149"/>
      <c r="BJ18" s="162" t="n">
        <f aca="false">Q37</f>
        <v>0</v>
      </c>
      <c r="BK18" s="162"/>
      <c r="BL18" s="214"/>
      <c r="BO18" s="161" t="s">
        <v>225</v>
      </c>
      <c r="BP18" s="149"/>
      <c r="BQ18" s="149"/>
      <c r="BR18" s="162" t="n">
        <f aca="false">BJ21</f>
        <v>0</v>
      </c>
      <c r="BS18" s="162"/>
      <c r="BT18" s="162"/>
      <c r="BU18" s="162"/>
      <c r="BV18" s="163"/>
      <c r="BY18" s="215"/>
      <c r="BZ18" s="162"/>
      <c r="CA18" s="162"/>
      <c r="CB18" s="162"/>
      <c r="CC18" s="162"/>
      <c r="CD18" s="162"/>
      <c r="CE18" s="216"/>
      <c r="CF18" s="217" t="n">
        <f aca="false">SUM(BR18:CE18)</f>
        <v>0</v>
      </c>
    </row>
    <row r="19" customFormat="false" ht="15" hidden="false" customHeight="true" outlineLevel="0" collapsed="false">
      <c r="B19" s="177"/>
      <c r="C19" s="177"/>
      <c r="D19" s="177"/>
      <c r="E19" s="177"/>
      <c r="F19" s="177"/>
      <c r="G19" s="177"/>
      <c r="H19" s="177"/>
      <c r="K19" s="164" t="str">
        <f aca="false">'Données à saisir'!A23</f>
        <v>Droit au bail</v>
      </c>
      <c r="L19" s="121"/>
      <c r="M19" s="121"/>
      <c r="N19" s="121"/>
      <c r="O19" s="121"/>
      <c r="P19" s="121"/>
      <c r="Q19" s="165" t="str">
        <f aca="false">IF(ISBLANK('Données à saisir'!B23),"",'Données à saisir'!B23)</f>
        <v/>
      </c>
      <c r="T19" s="155" t="s">
        <v>226</v>
      </c>
      <c r="U19" s="142"/>
      <c r="V19" s="142"/>
      <c r="W19" s="142"/>
      <c r="X19" s="143" t="n">
        <f aca="false">'Données à saisir'!B134</f>
        <v>0</v>
      </c>
      <c r="Y19" s="143" t="n">
        <f aca="false">'Données à saisir'!C134</f>
        <v>0</v>
      </c>
      <c r="Z19" s="190" t="n">
        <f aca="false">'Données à saisir'!D134</f>
        <v>0</v>
      </c>
      <c r="AC19" s="223" t="str">
        <f aca="false">'Données à saisir'!A79</f>
        <v>Téléphone, internet</v>
      </c>
      <c r="AD19" s="149"/>
      <c r="AE19" s="149"/>
      <c r="AF19" s="149"/>
      <c r="AG19" s="150" t="n">
        <f aca="false">IF(ISBLANK('Données à saisir'!B79),0,'Données à saisir'!B79)</f>
        <v>200000</v>
      </c>
      <c r="AH19" s="150" t="n">
        <f aca="false">IF(ISBLANK('Données à saisir'!C79),0,'Données à saisir'!C79)</f>
        <v>240000</v>
      </c>
      <c r="AI19" s="151" t="n">
        <f aca="false">IF(ISBLANK('Données à saisir'!D79),0,'Données à saisir'!D79)</f>
        <v>480000</v>
      </c>
      <c r="AL19" s="181" t="s">
        <v>227</v>
      </c>
      <c r="AM19" s="224"/>
      <c r="AN19" s="224"/>
      <c r="AO19" s="162" t="n">
        <f aca="false">AG36</f>
        <v>0</v>
      </c>
      <c r="AP19" s="194" t="n">
        <f aca="false">AO19/$AO$14</f>
        <v>0</v>
      </c>
      <c r="AQ19" s="162" t="n">
        <f aca="false">AH36</f>
        <v>0</v>
      </c>
      <c r="AR19" s="219" t="n">
        <f aca="false">AQ19/$AQ$14</f>
        <v>0</v>
      </c>
      <c r="AS19" s="162" t="n">
        <f aca="false">AI36</f>
        <v>0</v>
      </c>
      <c r="AT19" s="195" t="n">
        <f aca="false">AS19/$AS$14</f>
        <v>0</v>
      </c>
      <c r="AW19" s="196" t="s">
        <v>228</v>
      </c>
      <c r="AX19" s="197"/>
      <c r="AY19" s="197"/>
      <c r="AZ19" s="197"/>
      <c r="BA19" s="210" t="n">
        <f aca="false">IF(ISERROR(BA16/BA15),0,BA16/BA15)</f>
        <v>12340000</v>
      </c>
      <c r="BB19" s="210" t="n">
        <f aca="false">IF(ISERROR(BB16/BB15),0,BB16/BB15)</f>
        <v>14808000</v>
      </c>
      <c r="BC19" s="220" t="n">
        <f aca="false">IF(ISERROR(BC16/BC15),0,BC16/BC15)</f>
        <v>29076000</v>
      </c>
      <c r="BF19" s="161" t="s">
        <v>216</v>
      </c>
      <c r="BG19" s="149"/>
      <c r="BH19" s="149"/>
      <c r="BI19" s="149"/>
      <c r="BJ19" s="162" t="n">
        <f aca="false">Q40</f>
        <v>0</v>
      </c>
      <c r="BK19" s="162"/>
      <c r="BL19" s="214"/>
      <c r="BO19" s="200" t="s">
        <v>229</v>
      </c>
      <c r="BP19" s="170"/>
      <c r="BQ19" s="170"/>
      <c r="BR19" s="171" t="n">
        <f aca="false">'Données à saisir'!D104</f>
        <v>1300000</v>
      </c>
      <c r="BS19" s="171" t="n">
        <f aca="false">'Données à saisir'!D105</f>
        <v>2600000</v>
      </c>
      <c r="BT19" s="171" t="n">
        <f aca="false">'Données à saisir'!D106</f>
        <v>3900000</v>
      </c>
      <c r="BU19" s="171" t="n">
        <f aca="false">'Données à saisir'!D107</f>
        <v>7800000</v>
      </c>
      <c r="BV19" s="225" t="n">
        <f aca="false">'Données à saisir'!D108</f>
        <v>9100000</v>
      </c>
      <c r="BY19" s="226" t="n">
        <f aca="false">'Données à saisir'!D109</f>
        <v>10400000</v>
      </c>
      <c r="BZ19" s="171" t="n">
        <f aca="false">'Données à saisir'!D110</f>
        <v>11700000</v>
      </c>
      <c r="CA19" s="171" t="n">
        <f aca="false">'Données à saisir'!D111</f>
        <v>13000000</v>
      </c>
      <c r="CB19" s="171" t="n">
        <f aca="false">'Données à saisir'!D112</f>
        <v>14300000</v>
      </c>
      <c r="CC19" s="171" t="n">
        <f aca="false">'Données à saisir'!D113</f>
        <v>15600000</v>
      </c>
      <c r="CD19" s="171" t="n">
        <f aca="false">'Données à saisir'!D114</f>
        <v>16900000</v>
      </c>
      <c r="CE19" s="227" t="n">
        <f aca="false">'Données à saisir'!D115</f>
        <v>19500000</v>
      </c>
      <c r="CF19" s="228" t="n">
        <f aca="false">SUM(BR19:CE19)</f>
        <v>126100000</v>
      </c>
    </row>
    <row r="20" customFormat="false" ht="15" hidden="false" customHeight="true" outlineLevel="0" collapsed="false">
      <c r="B20" s="177"/>
      <c r="C20" s="177"/>
      <c r="D20" s="177"/>
      <c r="E20" s="177"/>
      <c r="F20" s="177"/>
      <c r="G20" s="177"/>
      <c r="H20" s="177"/>
      <c r="K20" s="164" t="str">
        <f aca="false">'Données à saisir'!A24</f>
        <v>Caution ou dépôt de garantie</v>
      </c>
      <c r="L20" s="121"/>
      <c r="M20" s="121"/>
      <c r="N20" s="121"/>
      <c r="O20" s="121"/>
      <c r="P20" s="121"/>
      <c r="Q20" s="165" t="str">
        <f aca="false">IF(ISBLANK('Données à saisir'!B24),"",'Données à saisir'!B24)</f>
        <v/>
      </c>
      <c r="T20" s="148"/>
      <c r="U20" s="205" t="s">
        <v>211</v>
      </c>
      <c r="V20" s="149"/>
      <c r="W20" s="149"/>
      <c r="X20" s="150"/>
      <c r="Y20" s="206" t="str">
        <f aca="false">IF(ISERROR((Y19-X19)/X19),"",(Y19-X19)/X19)</f>
        <v/>
      </c>
      <c r="Z20" s="207" t="str">
        <f aca="false">IF(ISERROR((Z19-Y19)/Y19),"",(Z19-Y19)/Y19)</f>
        <v/>
      </c>
      <c r="AC20" s="223" t="str">
        <f aca="false">'Données à saisir'!A80</f>
        <v>Autres abonnements (Gabon Telecom)</v>
      </c>
      <c r="AD20" s="149"/>
      <c r="AE20" s="149"/>
      <c r="AF20" s="149"/>
      <c r="AG20" s="150" t="n">
        <f aca="false">IF(ISBLANK('Données à saisir'!B80),0,'Données à saisir'!B80)</f>
        <v>540000</v>
      </c>
      <c r="AH20" s="150" t="n">
        <f aca="false">IF(ISBLANK('Données à saisir'!C80),0,'Données à saisir'!C80)</f>
        <v>648000</v>
      </c>
      <c r="AI20" s="151" t="n">
        <f aca="false">IF(ISBLANK('Données à saisir'!D80),0,'Données à saisir'!D80)</f>
        <v>1296000</v>
      </c>
      <c r="AL20" s="181" t="s">
        <v>230</v>
      </c>
      <c r="AM20" s="224"/>
      <c r="AN20" s="224"/>
      <c r="AO20" s="162" t="n">
        <f aca="false">SUM(AG37:AG40)</f>
        <v>0</v>
      </c>
      <c r="AP20" s="194" t="n">
        <f aca="false">AO20/$AO$14</f>
        <v>0</v>
      </c>
      <c r="AQ20" s="162" t="n">
        <f aca="false">SUM(AH37:AH40)</f>
        <v>0</v>
      </c>
      <c r="AR20" s="219" t="n">
        <f aca="false">AQ20/$AQ$14</f>
        <v>0</v>
      </c>
      <c r="AS20" s="162" t="n">
        <f aca="false">SUM(AI37:AI40)</f>
        <v>0</v>
      </c>
      <c r="AT20" s="195" t="n">
        <f aca="false">AS20/$AS$14</f>
        <v>0</v>
      </c>
      <c r="AW20" s="161" t="s">
        <v>231</v>
      </c>
      <c r="AX20" s="149"/>
      <c r="AY20" s="149"/>
      <c r="AZ20" s="149"/>
      <c r="BA20" s="162" t="n">
        <f aca="false">BA11-BA19</f>
        <v>113760000</v>
      </c>
      <c r="BB20" s="162" t="n">
        <f aca="false">BB11-BB19</f>
        <v>136512000</v>
      </c>
      <c r="BC20" s="163" t="n">
        <f aca="false">BC11-BC19</f>
        <v>167640000</v>
      </c>
      <c r="BF20" s="161" t="s">
        <v>222</v>
      </c>
      <c r="BG20" s="149"/>
      <c r="BH20" s="149"/>
      <c r="BI20" s="149"/>
      <c r="BJ20" s="162" t="n">
        <f aca="false">Q44+Q45</f>
        <v>0</v>
      </c>
      <c r="BK20" s="162"/>
      <c r="BL20" s="214"/>
      <c r="BO20" s="161" t="s">
        <v>232</v>
      </c>
      <c r="BP20" s="149"/>
      <c r="BQ20" s="149"/>
      <c r="BR20" s="162" t="n">
        <f aca="false">'Données à saisir'!I104</f>
        <v>0</v>
      </c>
      <c r="BS20" s="162" t="n">
        <f aca="false">'Données à saisir'!I105</f>
        <v>0</v>
      </c>
      <c r="BT20" s="162" t="n">
        <f aca="false">'Données à saisir'!I106</f>
        <v>0</v>
      </c>
      <c r="BU20" s="162" t="n">
        <f aca="false">'Données à saisir'!I107</f>
        <v>0</v>
      </c>
      <c r="BV20" s="214" t="n">
        <f aca="false">'Données à saisir'!I108</f>
        <v>0</v>
      </c>
      <c r="BY20" s="215" t="n">
        <f aca="false">'Données à saisir'!I109</f>
        <v>0</v>
      </c>
      <c r="BZ20" s="162" t="n">
        <f aca="false">'Données à saisir'!I110</f>
        <v>0</v>
      </c>
      <c r="CA20" s="162" t="n">
        <f aca="false">'Données à saisir'!I111</f>
        <v>0</v>
      </c>
      <c r="CB20" s="162" t="n">
        <f aca="false">'Données à saisir'!I112</f>
        <v>0</v>
      </c>
      <c r="CC20" s="162" t="n">
        <f aca="false">'Données à saisir'!I113</f>
        <v>0</v>
      </c>
      <c r="CD20" s="162" t="n">
        <f aca="false">'Données à saisir'!I114</f>
        <v>0</v>
      </c>
      <c r="CE20" s="216" t="n">
        <f aca="false">'Données à saisir'!I115</f>
        <v>0</v>
      </c>
      <c r="CF20" s="217" t="n">
        <f aca="false">SUM(BR20:CE20)</f>
        <v>0</v>
      </c>
    </row>
    <row r="21" customFormat="false" ht="15" hidden="false" customHeight="true" outlineLevel="0" collapsed="false">
      <c r="B21" s="229"/>
      <c r="C21" s="230"/>
      <c r="D21" s="230"/>
      <c r="E21" s="230"/>
      <c r="F21" s="230"/>
      <c r="G21" s="230"/>
      <c r="H21" s="231"/>
      <c r="K21" s="164" t="str">
        <f aca="false">'Données à saisir'!A25</f>
        <v>Frais de dossier</v>
      </c>
      <c r="L21" s="121"/>
      <c r="M21" s="121"/>
      <c r="N21" s="121"/>
      <c r="O21" s="121"/>
      <c r="P21" s="121"/>
      <c r="Q21" s="165" t="str">
        <f aca="false">IF(ISBLANK('Données à saisir'!B25),"",'Données à saisir'!B25)</f>
        <v/>
      </c>
      <c r="T21" s="166" t="s">
        <v>233</v>
      </c>
      <c r="U21" s="149"/>
      <c r="V21" s="149"/>
      <c r="W21" s="149"/>
      <c r="X21" s="167" t="n">
        <f aca="false">'Données à saisir'!B140</f>
        <v>0</v>
      </c>
      <c r="Y21" s="167" t="n">
        <f aca="false">'Données à saisir'!C140</f>
        <v>0</v>
      </c>
      <c r="Z21" s="168" t="n">
        <f aca="false">'Données à saisir'!D140</f>
        <v>0</v>
      </c>
      <c r="AC21" s="223"/>
      <c r="AD21" s="149"/>
      <c r="AE21" s="149"/>
      <c r="AF21" s="149"/>
      <c r="AG21" s="150"/>
      <c r="AH21" s="150"/>
      <c r="AI21" s="151"/>
      <c r="AL21" s="196" t="s">
        <v>234</v>
      </c>
      <c r="AM21" s="197"/>
      <c r="AN21" s="197"/>
      <c r="AO21" s="210" t="n">
        <f aca="false">AO18-AO19-AO20</f>
        <v>114260000</v>
      </c>
      <c r="AP21" s="211" t="n">
        <f aca="false">AO21/$AO$14</f>
        <v>0.906106264869151</v>
      </c>
      <c r="AQ21" s="210" t="n">
        <f aca="false">AQ18-AQ19-AQ20</f>
        <v>137112000</v>
      </c>
      <c r="AR21" s="212" t="n">
        <f aca="false">AQ21/$AQ$14</f>
        <v>0.906106264869151</v>
      </c>
      <c r="AS21" s="210" t="n">
        <f aca="false">AS18-AS19-AS20</f>
        <v>168300000</v>
      </c>
      <c r="AT21" s="213" t="n">
        <f aca="false">AS21/$AS$14</f>
        <v>0.855548099798695</v>
      </c>
      <c r="AW21" s="232" t="s">
        <v>235</v>
      </c>
      <c r="AX21" s="233"/>
      <c r="AY21" s="233"/>
      <c r="AZ21" s="233"/>
      <c r="BA21" s="234" t="n">
        <f aca="false">BA19/250</f>
        <v>49360</v>
      </c>
      <c r="BB21" s="234" t="n">
        <f aca="false">BB19/250</f>
        <v>59232</v>
      </c>
      <c r="BC21" s="235" t="n">
        <f aca="false">BC19/250</f>
        <v>116304</v>
      </c>
      <c r="BF21" s="161" t="s">
        <v>225</v>
      </c>
      <c r="BG21" s="149"/>
      <c r="BH21" s="149"/>
      <c r="BI21" s="149"/>
      <c r="BJ21" s="162" t="n">
        <f aca="false">Q46</f>
        <v>0</v>
      </c>
      <c r="BK21" s="162"/>
      <c r="BL21" s="214"/>
      <c r="BO21" s="196" t="s">
        <v>236</v>
      </c>
      <c r="BP21" s="197"/>
      <c r="BQ21" s="197"/>
      <c r="BR21" s="210" t="n">
        <f aca="false">SUM(BR19:BR20)</f>
        <v>1300000</v>
      </c>
      <c r="BS21" s="210" t="n">
        <f aca="false">SUM(BS19:BS20)</f>
        <v>2600000</v>
      </c>
      <c r="BT21" s="210" t="n">
        <f aca="false">SUM(BT19:BT20)</f>
        <v>3900000</v>
      </c>
      <c r="BU21" s="210" t="n">
        <f aca="false">SUM(BU19:BU20)</f>
        <v>7800000</v>
      </c>
      <c r="BV21" s="220" t="n">
        <f aca="false">SUM(BV19:BV20)</f>
        <v>9100000</v>
      </c>
      <c r="BY21" s="236" t="n">
        <f aca="false">SUM(BY19:BY20)</f>
        <v>10400000</v>
      </c>
      <c r="BZ21" s="210" t="n">
        <f aca="false">SUM(BZ19:BZ20)</f>
        <v>11700000</v>
      </c>
      <c r="CA21" s="210" t="n">
        <f aca="false">SUM(CA19:CA20)</f>
        <v>13000000</v>
      </c>
      <c r="CB21" s="210" t="n">
        <f aca="false">SUM(CB19:CB20)</f>
        <v>14300000</v>
      </c>
      <c r="CC21" s="210" t="n">
        <f aca="false">SUM(CC19:CC20)</f>
        <v>15600000</v>
      </c>
      <c r="CD21" s="210" t="n">
        <f aca="false">SUM(CD19:CD20)</f>
        <v>16900000</v>
      </c>
      <c r="CE21" s="237" t="n">
        <f aca="false">SUM(CE19:CE20)</f>
        <v>19500000</v>
      </c>
      <c r="CF21" s="238" t="n">
        <f aca="false">SUM(BR21:CE21)</f>
        <v>126100000</v>
      </c>
    </row>
    <row r="22" customFormat="false" ht="15" hidden="false" customHeight="true" outlineLevel="0" collapsed="false">
      <c r="B22" s="77"/>
      <c r="C22" s="121"/>
      <c r="D22" s="121"/>
      <c r="E22" s="121"/>
      <c r="F22" s="121"/>
      <c r="G22" s="121"/>
      <c r="H22" s="124"/>
      <c r="K22" s="164" t="str">
        <f aca="false">'Données à saisir'!A26</f>
        <v>Frais de notaire ou d’avocat</v>
      </c>
      <c r="L22" s="121"/>
      <c r="M22" s="121"/>
      <c r="N22" s="121"/>
      <c r="O22" s="121"/>
      <c r="P22" s="121"/>
      <c r="Q22" s="165" t="str">
        <f aca="false">IF(ISBLANK('Données à saisir'!B26),"",'Données à saisir'!B26)</f>
        <v/>
      </c>
      <c r="T22" s="239"/>
      <c r="U22" s="240"/>
      <c r="V22" s="240"/>
      <c r="W22" s="240"/>
      <c r="X22" s="241"/>
      <c r="Y22" s="241"/>
      <c r="Z22" s="242"/>
      <c r="AC22" s="223" t="str">
        <f aca="false">'Données à saisir'!A82</f>
        <v>Frais de déplacement et hébergement</v>
      </c>
      <c r="AD22" s="149"/>
      <c r="AE22" s="149"/>
      <c r="AF22" s="149"/>
      <c r="AG22" s="150" t="n">
        <f aca="false">IF(ISBLANK('Données à saisir'!B82),0,'Données à saisir'!B82)</f>
        <v>5000000</v>
      </c>
      <c r="AH22" s="150" t="n">
        <f aca="false">IF(ISBLANK('Données à saisir'!C82),0,'Données à saisir'!C82)</f>
        <v>6000000</v>
      </c>
      <c r="AI22" s="151" t="n">
        <f aca="false">IF(ISBLANK('Données à saisir'!D82),0,'Données à saisir'!D82)</f>
        <v>12000000</v>
      </c>
      <c r="AL22" s="181" t="s">
        <v>237</v>
      </c>
      <c r="AM22" s="149"/>
      <c r="AN22" s="149"/>
      <c r="AO22" s="162" t="n">
        <f aca="false">AG43</f>
        <v>0</v>
      </c>
      <c r="AP22" s="194" t="n">
        <f aca="false">AO22/$AO$14</f>
        <v>0</v>
      </c>
      <c r="AQ22" s="162" t="n">
        <f aca="false">AH43</f>
        <v>0</v>
      </c>
      <c r="AR22" s="219" t="n">
        <f aca="false">AQ22/$AQ$14</f>
        <v>0</v>
      </c>
      <c r="AS22" s="162" t="n">
        <f aca="false">AI43</f>
        <v>0</v>
      </c>
      <c r="AT22" s="195" t="n">
        <f aca="false">AS22/$AS$14</f>
        <v>0</v>
      </c>
      <c r="BA22" s="243"/>
      <c r="BF22" s="161" t="s">
        <v>60</v>
      </c>
      <c r="BG22" s="149"/>
      <c r="BH22" s="149"/>
      <c r="BI22" s="149"/>
      <c r="BJ22" s="162" t="str">
        <f aca="false">Q31</f>
        <v/>
      </c>
      <c r="BK22" s="162"/>
      <c r="BL22" s="214"/>
      <c r="BO22" s="161" t="s">
        <v>198</v>
      </c>
      <c r="BP22" s="149"/>
      <c r="BQ22" s="149"/>
      <c r="BR22" s="162" t="n">
        <f aca="false">Q12</f>
        <v>0</v>
      </c>
      <c r="BS22" s="185"/>
      <c r="BT22" s="185"/>
      <c r="BU22" s="185"/>
      <c r="BV22" s="244"/>
      <c r="BY22" s="215"/>
      <c r="BZ22" s="185"/>
      <c r="CA22" s="162"/>
      <c r="CB22" s="162"/>
      <c r="CC22" s="185"/>
      <c r="CD22" s="185"/>
      <c r="CE22" s="245"/>
      <c r="CF22" s="217" t="n">
        <f aca="false">SUM(BR22:CE22)</f>
        <v>0</v>
      </c>
    </row>
    <row r="23" customFormat="false" ht="15" hidden="false" customHeight="true" outlineLevel="0" collapsed="false">
      <c r="B23" s="77"/>
      <c r="C23" s="246" t="str">
        <f aca="false">IF(ISBLANK('Données à saisir'!B6),"",('Données à saisir'!B6))</f>
        <v/>
      </c>
      <c r="D23" s="246"/>
      <c r="E23" s="246"/>
      <c r="F23" s="246"/>
      <c r="G23" s="246"/>
      <c r="H23" s="124"/>
      <c r="K23" s="159" t="s">
        <v>238</v>
      </c>
      <c r="L23" s="121"/>
      <c r="M23" s="121"/>
      <c r="N23" s="121"/>
      <c r="O23" s="121"/>
      <c r="P23" s="121"/>
      <c r="Q23" s="160" t="n">
        <f aca="false">SUM(Q24:Q28)</f>
        <v>0</v>
      </c>
      <c r="AC23" s="223" t="str">
        <f aca="false">'Données à saisir'!A83</f>
        <v>Eau, électricité, gaz</v>
      </c>
      <c r="AD23" s="149"/>
      <c r="AE23" s="149"/>
      <c r="AF23" s="149"/>
      <c r="AG23" s="150" t="n">
        <f aca="false">IF(ISBLANK('Données à saisir'!B83),0,'Données à saisir'!B83)</f>
        <v>300000</v>
      </c>
      <c r="AH23" s="150" t="n">
        <f aca="false">IF(ISBLANK('Données à saisir'!C83),0,'Données à saisir'!C83)</f>
        <v>360000</v>
      </c>
      <c r="AI23" s="151" t="n">
        <f aca="false">IF(ISBLANK('Données à saisir'!D83),0,'Données à saisir'!D83)</f>
        <v>720000</v>
      </c>
      <c r="AL23" s="196" t="s">
        <v>239</v>
      </c>
      <c r="AM23" s="197"/>
      <c r="AN23" s="197"/>
      <c r="AO23" s="210" t="n">
        <f aca="false">AO21-AO22</f>
        <v>114260000</v>
      </c>
      <c r="AP23" s="211" t="n">
        <f aca="false">AO23/$AO$14</f>
        <v>0.906106264869151</v>
      </c>
      <c r="AQ23" s="210" t="n">
        <f aca="false">AQ21-AQ22</f>
        <v>137112000</v>
      </c>
      <c r="AR23" s="212" t="n">
        <f aca="false">AQ23/$AQ$14</f>
        <v>0.906106264869151</v>
      </c>
      <c r="AS23" s="210" t="n">
        <f aca="false">AS21-AS22</f>
        <v>168300000</v>
      </c>
      <c r="AT23" s="213" t="n">
        <f aca="false">AS23/$AS$14</f>
        <v>0.855548099798695</v>
      </c>
      <c r="AW23" s="247"/>
      <c r="AX23" s="149"/>
      <c r="AY23" s="149"/>
      <c r="AZ23" s="149"/>
      <c r="BA23" s="248"/>
      <c r="BB23" s="248"/>
      <c r="BC23" s="248"/>
      <c r="BF23" s="161" t="s">
        <v>240</v>
      </c>
      <c r="BG23" s="149"/>
      <c r="BH23" s="149"/>
      <c r="BI23" s="149"/>
      <c r="BJ23" s="162" t="n">
        <f aca="false">AO44</f>
        <v>79632000</v>
      </c>
      <c r="BK23" s="162" t="n">
        <f aca="false">AQ44</f>
        <v>95558400</v>
      </c>
      <c r="BL23" s="214" t="n">
        <f aca="false">AS44</f>
        <v>117348000</v>
      </c>
      <c r="BO23" s="161" t="s">
        <v>238</v>
      </c>
      <c r="BP23" s="149"/>
      <c r="BQ23" s="149"/>
      <c r="BR23" s="162" t="n">
        <f aca="false">Q23</f>
        <v>0</v>
      </c>
      <c r="BS23" s="162"/>
      <c r="BT23" s="162"/>
      <c r="BU23" s="162"/>
      <c r="BV23" s="163"/>
      <c r="BY23" s="215"/>
      <c r="BZ23" s="162"/>
      <c r="CA23" s="162"/>
      <c r="CB23" s="162"/>
      <c r="CC23" s="162"/>
      <c r="CD23" s="162"/>
      <c r="CE23" s="216"/>
      <c r="CF23" s="217" t="n">
        <f aca="false">SUM(BR23:CE23)</f>
        <v>0</v>
      </c>
    </row>
    <row r="24" customFormat="false" ht="15" hidden="false" customHeight="true" outlineLevel="0" collapsed="false">
      <c r="B24" s="77"/>
      <c r="C24" s="246"/>
      <c r="D24" s="246"/>
      <c r="E24" s="246"/>
      <c r="F24" s="246"/>
      <c r="G24" s="246"/>
      <c r="H24" s="124"/>
      <c r="K24" s="164" t="str">
        <f aca="false">'Données à saisir'!A27</f>
        <v>Enseigne et éléments de communication</v>
      </c>
      <c r="L24" s="121"/>
      <c r="M24" s="121"/>
      <c r="N24" s="121"/>
      <c r="O24" s="121"/>
      <c r="P24" s="121"/>
      <c r="Q24" s="165" t="str">
        <f aca="false">IF(ISBLANK('Données à saisir'!B27),"",'Données à saisir'!B27)</f>
        <v/>
      </c>
      <c r="AC24" s="223"/>
      <c r="AD24" s="149"/>
      <c r="AE24" s="149"/>
      <c r="AF24" s="149"/>
      <c r="AG24" s="150"/>
      <c r="AH24" s="150"/>
      <c r="AI24" s="151"/>
      <c r="AL24" s="181" t="s">
        <v>241</v>
      </c>
      <c r="AM24" s="224"/>
      <c r="AN24" s="224"/>
      <c r="AO24" s="162" t="n">
        <f aca="false">AG42</f>
        <v>500000</v>
      </c>
      <c r="AP24" s="194" t="n">
        <f aca="false">AO24/$AO$14</f>
        <v>0.00396510705789056</v>
      </c>
      <c r="AQ24" s="162" t="n">
        <f aca="false">AH42</f>
        <v>600000</v>
      </c>
      <c r="AR24" s="219" t="n">
        <f aca="false">AQ24/$AQ$14</f>
        <v>0.00396510705789056</v>
      </c>
      <c r="AS24" s="162" t="n">
        <f aca="false">AI42</f>
        <v>660000</v>
      </c>
      <c r="AT24" s="195" t="n">
        <f aca="false">AS24/$AS$14</f>
        <v>0.00335509058744586</v>
      </c>
      <c r="BF24" s="196" t="s">
        <v>242</v>
      </c>
      <c r="BG24" s="197"/>
      <c r="BH24" s="197"/>
      <c r="BI24" s="197"/>
      <c r="BJ24" s="210" t="n">
        <f aca="false">SUM(BJ18:BJ23)</f>
        <v>79632000</v>
      </c>
      <c r="BK24" s="210" t="n">
        <f aca="false">SUM(BK18:BK23)</f>
        <v>95558400</v>
      </c>
      <c r="BL24" s="220" t="n">
        <f aca="false">SUM(BL18:BL23)</f>
        <v>117348000</v>
      </c>
      <c r="BO24" s="196" t="s">
        <v>243</v>
      </c>
      <c r="BP24" s="197"/>
      <c r="BQ24" s="197"/>
      <c r="BR24" s="210" t="n">
        <f aca="false">SUM(BR22:BR23)</f>
        <v>0</v>
      </c>
      <c r="BS24" s="210"/>
      <c r="BT24" s="210"/>
      <c r="BU24" s="210"/>
      <c r="BV24" s="220"/>
      <c r="BY24" s="236"/>
      <c r="BZ24" s="210"/>
      <c r="CA24" s="210"/>
      <c r="CB24" s="210"/>
      <c r="CC24" s="210"/>
      <c r="CD24" s="210"/>
      <c r="CE24" s="237"/>
      <c r="CF24" s="238" t="n">
        <f aca="false">SUM(BR24:CE24)</f>
        <v>0</v>
      </c>
    </row>
    <row r="25" customFormat="false" ht="15" hidden="false" customHeight="true" outlineLevel="0" collapsed="false">
      <c r="B25" s="77"/>
      <c r="C25" s="246"/>
      <c r="D25" s="246"/>
      <c r="E25" s="246"/>
      <c r="F25" s="246"/>
      <c r="G25" s="246"/>
      <c r="H25" s="124"/>
      <c r="K25" s="164" t="str">
        <f aca="false">'Données à saisir'!A28</f>
        <v>Achat immobilier</v>
      </c>
      <c r="L25" s="121"/>
      <c r="M25" s="121"/>
      <c r="N25" s="121"/>
      <c r="O25" s="121"/>
      <c r="P25" s="121"/>
      <c r="Q25" s="165" t="str">
        <f aca="false">IF(ISBLANK('Données à saisir'!B28),"",'Données à saisir'!B28)</f>
        <v/>
      </c>
      <c r="T25" s="118" t="s">
        <v>244</v>
      </c>
      <c r="U25" s="118"/>
      <c r="V25" s="118"/>
      <c r="W25" s="118"/>
      <c r="X25" s="118"/>
      <c r="Y25" s="118"/>
      <c r="Z25" s="118"/>
      <c r="AC25" s="223" t="str">
        <f aca="false">'Données à saisir'!A85</f>
        <v>Fournitures diverses</v>
      </c>
      <c r="AD25" s="149"/>
      <c r="AE25" s="149"/>
      <c r="AF25" s="149"/>
      <c r="AG25" s="150" t="n">
        <f aca="false">IF(ISBLANK('Données à saisir'!B85),0,'Données à saisir'!B85)</f>
        <v>1000000</v>
      </c>
      <c r="AH25" s="150" t="n">
        <f aca="false">IF(ISBLANK('Données à saisir'!C85),0,'Données à saisir'!C85)</f>
        <v>1200000</v>
      </c>
      <c r="AI25" s="151" t="n">
        <f aca="false">IF(ISBLANK('Données à saisir'!D85),0,'Données à saisir'!D85)</f>
        <v>2400000</v>
      </c>
      <c r="AL25" s="181" t="s">
        <v>245</v>
      </c>
      <c r="AM25" s="224"/>
      <c r="AN25" s="224"/>
      <c r="AO25" s="162" t="n">
        <f aca="false">AO24*-1</f>
        <v>-500000</v>
      </c>
      <c r="AP25" s="194" t="n">
        <f aca="false">AO25/$AO$14</f>
        <v>-0.00396510705789056</v>
      </c>
      <c r="AQ25" s="162" t="n">
        <f aca="false">AQ24*-1</f>
        <v>-600000</v>
      </c>
      <c r="AR25" s="219" t="n">
        <f aca="false">AQ25/$AQ$14</f>
        <v>-0.00396510705789056</v>
      </c>
      <c r="AS25" s="162" t="n">
        <f aca="false">AS24*-1</f>
        <v>-660000</v>
      </c>
      <c r="AT25" s="195" t="n">
        <f aca="false">AS25/$AS$14</f>
        <v>-0.00335509058744586</v>
      </c>
      <c r="BA25" s="243"/>
      <c r="BF25" s="161" t="s">
        <v>246</v>
      </c>
      <c r="BG25" s="149"/>
      <c r="BH25" s="149"/>
      <c r="BI25" s="149"/>
      <c r="BJ25" s="162" t="n">
        <f aca="false">BJ24-BJ17</f>
        <v>69267616.4383562</v>
      </c>
      <c r="BK25" s="162" t="n">
        <f aca="false">BK24-BK17</f>
        <v>93485523.2876712</v>
      </c>
      <c r="BL25" s="163" t="n">
        <f aca="false">BL24-BL17</f>
        <v>113616821.917808</v>
      </c>
      <c r="BO25" s="161" t="s">
        <v>247</v>
      </c>
      <c r="BP25" s="149"/>
      <c r="BQ25" s="149"/>
      <c r="BR25" s="162" t="n">
        <f aca="false">IF(ISERROR('Données à saisir'!$J$74/12),0,'Données à saisir'!$J$74/12)</f>
        <v>0</v>
      </c>
      <c r="BS25" s="162" t="n">
        <f aca="false">IF(ISERROR('Données à saisir'!$J$74/12),0,'Données à saisir'!$J$74/12)</f>
        <v>0</v>
      </c>
      <c r="BT25" s="162" t="n">
        <f aca="false">IF(ISERROR('Données à saisir'!$J$74/12),0,'Données à saisir'!$J$74/12)</f>
        <v>0</v>
      </c>
      <c r="BU25" s="162" t="n">
        <f aca="false">IF(ISERROR('Données à saisir'!$J$74/12),0,'Données à saisir'!$J$74/12)</f>
        <v>0</v>
      </c>
      <c r="BV25" s="163" t="n">
        <f aca="false">IF(ISERROR('Données à saisir'!$J$74/12),0,'Données à saisir'!$J$74/12)</f>
        <v>0</v>
      </c>
      <c r="BY25" s="215" t="n">
        <f aca="false">IF(ISERROR('Données à saisir'!$J$74/12),0,'Données à saisir'!$J$74/12)</f>
        <v>0</v>
      </c>
      <c r="BZ25" s="162" t="n">
        <f aca="false">IF(ISERROR('Données à saisir'!$J$74/12),0,'Données à saisir'!$J$74/12)</f>
        <v>0</v>
      </c>
      <c r="CA25" s="162" t="n">
        <f aca="false">IF(ISERROR('Données à saisir'!$J$74/12),0,'Données à saisir'!$J$74/12)</f>
        <v>0</v>
      </c>
      <c r="CB25" s="162" t="n">
        <f aca="false">IF(ISERROR('Données à saisir'!$J$74/12),0,'Données à saisir'!$J$74/12)</f>
        <v>0</v>
      </c>
      <c r="CC25" s="162" t="n">
        <f aca="false">IF(ISERROR('Données à saisir'!$J$74/12),0,'Données à saisir'!$J$74/12)</f>
        <v>0</v>
      </c>
      <c r="CD25" s="162" t="n">
        <f aca="false">IF(ISERROR('Données à saisir'!$J$74/12),0,'Données à saisir'!$J$74/12)</f>
        <v>0</v>
      </c>
      <c r="CE25" s="216" t="n">
        <f aca="false">IF(ISERROR('Données à saisir'!$J$74/12),0,'Données à saisir'!$J$74/12)</f>
        <v>0</v>
      </c>
      <c r="CF25" s="217" t="n">
        <f aca="false">SUM(BR25:CE25)</f>
        <v>0</v>
      </c>
    </row>
    <row r="26" customFormat="false" ht="15" hidden="false" customHeight="true" outlineLevel="0" collapsed="false">
      <c r="B26" s="77"/>
      <c r="C26" s="246"/>
      <c r="D26" s="246"/>
      <c r="E26" s="246"/>
      <c r="F26" s="246"/>
      <c r="G26" s="246"/>
      <c r="H26" s="124"/>
      <c r="K26" s="164" t="str">
        <f aca="false">'Données à saisir'!A29</f>
        <v>Travaux et aménagements</v>
      </c>
      <c r="L26" s="121"/>
      <c r="M26" s="121"/>
      <c r="N26" s="121"/>
      <c r="O26" s="121"/>
      <c r="P26" s="121"/>
      <c r="Q26" s="165" t="str">
        <f aca="false">IF(ISBLANK('Données à saisir'!B29),"",'Données à saisir'!B29)</f>
        <v/>
      </c>
      <c r="T26" s="118"/>
      <c r="U26" s="118"/>
      <c r="V26" s="118"/>
      <c r="W26" s="118"/>
      <c r="X26" s="118"/>
      <c r="Y26" s="118"/>
      <c r="Z26" s="118"/>
      <c r="AC26" s="223" t="str">
        <f aca="false">'Données à saisir'!A86</f>
        <v>Entretien matériel et vêtements</v>
      </c>
      <c r="AD26" s="149"/>
      <c r="AE26" s="149"/>
      <c r="AF26" s="149"/>
      <c r="AG26" s="150" t="n">
        <f aca="false">IF(ISBLANK('Données à saisir'!B86),0,'Données à saisir'!B86)</f>
        <v>200000</v>
      </c>
      <c r="AH26" s="150" t="n">
        <f aca="false">IF(ISBLANK('Données à saisir'!C86),0,'Données à saisir'!C86)</f>
        <v>240000</v>
      </c>
      <c r="AI26" s="151" t="n">
        <f aca="false">IF(ISBLANK('Données à saisir'!D86),0,'Données à saisir'!D86)</f>
        <v>480000</v>
      </c>
      <c r="AL26" s="196" t="s">
        <v>248</v>
      </c>
      <c r="AM26" s="197"/>
      <c r="AN26" s="197"/>
      <c r="AO26" s="210" t="n">
        <f aca="false">AO23+AO25</f>
        <v>113760000</v>
      </c>
      <c r="AP26" s="211" t="n">
        <f aca="false">AO26/$AO$14</f>
        <v>0.902141157811261</v>
      </c>
      <c r="AQ26" s="210" t="n">
        <f aca="false">AQ23+AQ25</f>
        <v>136512000</v>
      </c>
      <c r="AR26" s="212" t="n">
        <f aca="false">AQ26/$AQ$14</f>
        <v>0.902141157811261</v>
      </c>
      <c r="AS26" s="210" t="n">
        <f aca="false">AS23+AS25</f>
        <v>167640000</v>
      </c>
      <c r="AT26" s="213" t="n">
        <f aca="false">AS26/$AS$14</f>
        <v>0.852193009211249</v>
      </c>
      <c r="BF26" s="196" t="s">
        <v>249</v>
      </c>
      <c r="BG26" s="197"/>
      <c r="BH26" s="197"/>
      <c r="BI26" s="197"/>
      <c r="BJ26" s="210" t="n">
        <f aca="false">BJ25</f>
        <v>69267616.4383562</v>
      </c>
      <c r="BK26" s="210" t="n">
        <f aca="false">BJ26+BK25</f>
        <v>162753139.726027</v>
      </c>
      <c r="BL26" s="220" t="n">
        <f aca="false">+BK26+BL25</f>
        <v>276369961.643836</v>
      </c>
      <c r="BO26" s="161" t="s">
        <v>250</v>
      </c>
      <c r="BP26" s="149"/>
      <c r="BQ26" s="149"/>
      <c r="BR26" s="162" t="n">
        <f aca="false">BR19*'Données à saisir'!$D$124</f>
        <v>0</v>
      </c>
      <c r="BS26" s="162" t="n">
        <f aca="false">BS19*'Données à saisir'!$D$124</f>
        <v>0</v>
      </c>
      <c r="BT26" s="162" t="n">
        <f aca="false">BT19*'Données à saisir'!$D$124</f>
        <v>0</v>
      </c>
      <c r="BU26" s="162" t="n">
        <f aca="false">BU19*'Données à saisir'!$D$124</f>
        <v>0</v>
      </c>
      <c r="BV26" s="163" t="n">
        <f aca="false">BV19*'Données à saisir'!$D$124</f>
        <v>0</v>
      </c>
      <c r="BY26" s="215" t="n">
        <f aca="false">BY19*'Données à saisir'!$D$124</f>
        <v>0</v>
      </c>
      <c r="BZ26" s="162" t="n">
        <f aca="false">BZ19*'Données à saisir'!$D$124</f>
        <v>0</v>
      </c>
      <c r="CA26" s="162" t="n">
        <f aca="false">CA19*'Données à saisir'!$D$124</f>
        <v>0</v>
      </c>
      <c r="CB26" s="162" t="n">
        <f aca="false">CB19*'Données à saisir'!$D$124</f>
        <v>0</v>
      </c>
      <c r="CC26" s="162" t="n">
        <f aca="false">CC19*'Données à saisir'!$D$124</f>
        <v>0</v>
      </c>
      <c r="CD26" s="162" t="n">
        <f aca="false">CD19*'Données à saisir'!$D$124</f>
        <v>0</v>
      </c>
      <c r="CE26" s="216" t="n">
        <f aca="false">CE19*'Données à saisir'!$D$124</f>
        <v>0</v>
      </c>
      <c r="CF26" s="217" t="n">
        <f aca="false">SUM(BR26:CE26)</f>
        <v>0</v>
      </c>
    </row>
    <row r="27" customFormat="false" ht="15" hidden="false" customHeight="true" outlineLevel="0" collapsed="false">
      <c r="B27" s="77"/>
      <c r="C27" s="249"/>
      <c r="D27" s="249"/>
      <c r="E27" s="249"/>
      <c r="F27" s="249"/>
      <c r="G27" s="249"/>
      <c r="H27" s="124"/>
      <c r="K27" s="164" t="str">
        <f aca="false">'Données à saisir'!A30</f>
        <v>Matériel</v>
      </c>
      <c r="L27" s="121"/>
      <c r="M27" s="121"/>
      <c r="N27" s="121"/>
      <c r="O27" s="121"/>
      <c r="P27" s="121"/>
      <c r="Q27" s="165" t="str">
        <f aca="false">IF(ISBLANK('Données à saisir'!B30),"",'Données à saisir'!B30)</f>
        <v/>
      </c>
      <c r="T27" s="118"/>
      <c r="U27" s="118"/>
      <c r="V27" s="118"/>
      <c r="W27" s="118"/>
      <c r="X27" s="118"/>
      <c r="Y27" s="118"/>
      <c r="Z27" s="118"/>
      <c r="AC27" s="223" t="str">
        <f aca="false">'Données à saisir'!A87</f>
        <v>Nettoyage des locaux</v>
      </c>
      <c r="AD27" s="149"/>
      <c r="AE27" s="149"/>
      <c r="AF27" s="149"/>
      <c r="AG27" s="150" t="n">
        <f aca="false">IF(ISBLANK('Données à saisir'!B87),0,'Données à saisir'!B87)</f>
        <v>500000</v>
      </c>
      <c r="AH27" s="150" t="n">
        <f aca="false">IF(ISBLANK('Données à saisir'!C87),0,'Données à saisir'!C87)</f>
        <v>600000</v>
      </c>
      <c r="AI27" s="151" t="n">
        <f aca="false">IF(ISBLANK('Données à saisir'!D87),0,'Données à saisir'!D87)</f>
        <v>1200000</v>
      </c>
      <c r="AL27" s="196" t="s">
        <v>251</v>
      </c>
      <c r="AM27" s="197"/>
      <c r="AN27" s="197"/>
      <c r="AO27" s="210" t="n">
        <f aca="false">IF(ISERROR(AO26-AG45),AO26,(AO26-AG45))</f>
        <v>79632000</v>
      </c>
      <c r="AP27" s="211" t="n">
        <f aca="false">AO27/$AO$14</f>
        <v>0.631498810467883</v>
      </c>
      <c r="AQ27" s="210" t="n">
        <f aca="false">IF(ISERROR(AQ26-AH45),AQ26,(AQ26-AH45))</f>
        <v>95558400</v>
      </c>
      <c r="AR27" s="212" t="n">
        <f aca="false">AQ27/$AQ$14</f>
        <v>0.631498810467883</v>
      </c>
      <c r="AS27" s="210" t="n">
        <f aca="false">IF(ISERROR(AS26-AI45),AS26,(AS26-AI45))</f>
        <v>117348000</v>
      </c>
      <c r="AT27" s="213" t="n">
        <f aca="false">AS27/$AS$14</f>
        <v>0.596535106447874</v>
      </c>
      <c r="BF27" s="149"/>
      <c r="BG27" s="149"/>
      <c r="BH27" s="149"/>
      <c r="BI27" s="149"/>
      <c r="BJ27" s="149"/>
      <c r="BK27" s="149"/>
      <c r="BL27" s="149"/>
      <c r="BO27" s="161" t="s">
        <v>219</v>
      </c>
      <c r="BP27" s="149"/>
      <c r="BQ27" s="149"/>
      <c r="BR27" s="162" t="n">
        <f aca="false">$AG$17/12</f>
        <v>986666.666666667</v>
      </c>
      <c r="BS27" s="162" t="n">
        <f aca="false">$AG$17/12</f>
        <v>986666.666666667</v>
      </c>
      <c r="BT27" s="162" t="n">
        <f aca="false">$AG$17/12</f>
        <v>986666.666666667</v>
      </c>
      <c r="BU27" s="162" t="n">
        <f aca="false">$AG$17/12</f>
        <v>986666.666666667</v>
      </c>
      <c r="BV27" s="163" t="n">
        <f aca="false">$AG$17/12</f>
        <v>986666.666666667</v>
      </c>
      <c r="BY27" s="215" t="n">
        <f aca="false">$AG$17/12</f>
        <v>986666.666666667</v>
      </c>
      <c r="BZ27" s="162" t="n">
        <f aca="false">$AG$17/12</f>
        <v>986666.666666667</v>
      </c>
      <c r="CA27" s="162" t="n">
        <f aca="false">$AG$17/12</f>
        <v>986666.666666667</v>
      </c>
      <c r="CB27" s="162" t="n">
        <f aca="false">$AG$17/12</f>
        <v>986666.666666667</v>
      </c>
      <c r="CC27" s="162" t="n">
        <f aca="false">$AG$17/12</f>
        <v>986666.666666667</v>
      </c>
      <c r="CD27" s="162" t="n">
        <f aca="false">$AG$17/12</f>
        <v>986666.666666667</v>
      </c>
      <c r="CE27" s="216" t="n">
        <f aca="false">$AG$17/12</f>
        <v>986666.666666667</v>
      </c>
      <c r="CF27" s="217" t="n">
        <f aca="false">SUM(BR27:CE27)</f>
        <v>11840000</v>
      </c>
    </row>
    <row r="28" customFormat="false" ht="15" hidden="false" customHeight="true" outlineLevel="0" collapsed="false">
      <c r="B28" s="77"/>
      <c r="C28" s="250" t="str">
        <f aca="false">IF(ISBLANK('Données à saisir'!B7),"",('Données à saisir'!B7))</f>
        <v/>
      </c>
      <c r="D28" s="250"/>
      <c r="E28" s="250"/>
      <c r="F28" s="250"/>
      <c r="G28" s="250"/>
      <c r="H28" s="124"/>
      <c r="K28" s="164" t="str">
        <f aca="false">'Données à saisir'!A31</f>
        <v>Matériel de bureau</v>
      </c>
      <c r="L28" s="121"/>
      <c r="M28" s="121"/>
      <c r="N28" s="121"/>
      <c r="O28" s="121"/>
      <c r="P28" s="121"/>
      <c r="Q28" s="165" t="str">
        <f aca="false">IF(ISBLANK('Données à saisir'!B31),"",'Données à saisir'!B31)</f>
        <v/>
      </c>
      <c r="AC28" s="223" t="str">
        <f aca="false">'Données à saisir'!A88</f>
        <v>Budget publicité et communication</v>
      </c>
      <c r="AD28" s="149"/>
      <c r="AE28" s="149"/>
      <c r="AF28" s="149"/>
      <c r="AG28" s="150" t="n">
        <f aca="false">IF(ISBLANK('Données à saisir'!B88),0,'Données à saisir'!B88)</f>
        <v>500000</v>
      </c>
      <c r="AH28" s="150" t="n">
        <f aca="false">IF(ISBLANK('Données à saisir'!C88),0,'Données à saisir'!C88)</f>
        <v>600000</v>
      </c>
      <c r="AI28" s="151" t="n">
        <f aca="false">IF(ISBLANK('Données à saisir'!D88),0,'Données à saisir'!D88)</f>
        <v>1200000</v>
      </c>
      <c r="AL28" s="181" t="s">
        <v>252</v>
      </c>
      <c r="AM28" s="224"/>
      <c r="AN28" s="224"/>
      <c r="AO28" s="162" t="n">
        <f aca="false">AO27+AO22</f>
        <v>79632000</v>
      </c>
      <c r="AP28" s="194" t="n">
        <f aca="false">AO28/$AO$14</f>
        <v>0.631498810467883</v>
      </c>
      <c r="AQ28" s="162" t="n">
        <f aca="false">AQ27+AQ22</f>
        <v>95558400</v>
      </c>
      <c r="AR28" s="219" t="n">
        <f aca="false">AQ28/$AQ$14</f>
        <v>0.631498810467883</v>
      </c>
      <c r="AS28" s="162" t="n">
        <f aca="false">AS27+AS22</f>
        <v>117348000</v>
      </c>
      <c r="AT28" s="251" t="n">
        <f aca="false">AS28/$AS$14</f>
        <v>0.596535106447874</v>
      </c>
      <c r="BF28" s="252"/>
      <c r="BG28" s="149"/>
      <c r="BH28" s="149"/>
      <c r="BI28" s="149"/>
      <c r="BJ28" s="253"/>
      <c r="BK28" s="149"/>
      <c r="BL28" s="149"/>
      <c r="BO28" s="161" t="str">
        <f aca="false">AC36</f>
        <v>Impôts et taxes</v>
      </c>
      <c r="BP28" s="149"/>
      <c r="BQ28" s="149"/>
      <c r="BR28" s="162" t="n">
        <f aca="false">$AG36/12</f>
        <v>0</v>
      </c>
      <c r="BS28" s="162" t="n">
        <f aca="false">$AG36/12</f>
        <v>0</v>
      </c>
      <c r="BT28" s="162" t="n">
        <f aca="false">$AG36/12</f>
        <v>0</v>
      </c>
      <c r="BU28" s="162" t="n">
        <f aca="false">$AG36/12</f>
        <v>0</v>
      </c>
      <c r="BV28" s="163" t="n">
        <f aca="false">$AG36/12</f>
        <v>0</v>
      </c>
      <c r="BY28" s="215" t="n">
        <f aca="false">$AG36/12</f>
        <v>0</v>
      </c>
      <c r="BZ28" s="162" t="n">
        <f aca="false">$AG36/12</f>
        <v>0</v>
      </c>
      <c r="CA28" s="162" t="n">
        <f aca="false">$AG36/12</f>
        <v>0</v>
      </c>
      <c r="CB28" s="162" t="n">
        <f aca="false">$AG36/12</f>
        <v>0</v>
      </c>
      <c r="CC28" s="162" t="n">
        <f aca="false">$AG36/12</f>
        <v>0</v>
      </c>
      <c r="CD28" s="162" t="n">
        <f aca="false">$AG36/12</f>
        <v>0</v>
      </c>
      <c r="CE28" s="216" t="n">
        <f aca="false">$AG36/12</f>
        <v>0</v>
      </c>
      <c r="CF28" s="217" t="n">
        <f aca="false">SUM(BR28:CE28)</f>
        <v>0</v>
      </c>
    </row>
    <row r="29" customFormat="false" ht="15" hidden="false" customHeight="true" outlineLevel="0" collapsed="false">
      <c r="B29" s="77"/>
      <c r="C29" s="250"/>
      <c r="D29" s="250"/>
      <c r="E29" s="250"/>
      <c r="F29" s="250"/>
      <c r="G29" s="250"/>
      <c r="H29" s="124"/>
      <c r="K29" s="254"/>
      <c r="L29" s="121"/>
      <c r="M29" s="121"/>
      <c r="N29" s="121"/>
      <c r="O29" s="121"/>
      <c r="P29" s="121"/>
      <c r="Q29" s="165"/>
      <c r="X29" s="152" t="s">
        <v>66</v>
      </c>
      <c r="Y29" s="153" t="s">
        <v>67</v>
      </c>
      <c r="Z29" s="154" t="s">
        <v>68</v>
      </c>
      <c r="AC29" s="223" t="str">
        <f aca="false">'Données à saisir'!A89</f>
        <v>Loyer et charges locatives</v>
      </c>
      <c r="AD29" s="224"/>
      <c r="AE29" s="224"/>
      <c r="AF29" s="224"/>
      <c r="AG29" s="150" t="n">
        <f aca="false">IF(ISBLANK('Données à saisir'!B89),0,'Données à saisir'!B89)</f>
        <v>3600000</v>
      </c>
      <c r="AH29" s="150" t="n">
        <f aca="false">IF(ISBLANK('Données à saisir'!C89),0,'Données à saisir'!C89)</f>
        <v>4320000</v>
      </c>
      <c r="AI29" s="151" t="n">
        <f aca="false">IF(ISBLANK('Données à saisir'!D89),0,'Données à saisir'!D89)</f>
        <v>8640000</v>
      </c>
      <c r="AL29" s="255"/>
      <c r="AM29" s="255"/>
      <c r="AN29" s="255"/>
      <c r="AO29" s="255"/>
      <c r="AP29" s="255"/>
      <c r="AQ29" s="255"/>
      <c r="AR29" s="255"/>
      <c r="AS29" s="255"/>
      <c r="AT29" s="256"/>
      <c r="AW29" s="120" t="s">
        <v>253</v>
      </c>
      <c r="AX29" s="120"/>
      <c r="AY29" s="120"/>
      <c r="AZ29" s="120"/>
      <c r="BA29" s="120"/>
      <c r="BB29" s="120"/>
      <c r="BC29" s="120"/>
      <c r="BF29" s="257"/>
      <c r="BG29" s="257"/>
      <c r="BH29" s="149"/>
      <c r="BI29" s="258"/>
      <c r="BJ29" s="137"/>
      <c r="BK29" s="137"/>
      <c r="BL29" s="137"/>
      <c r="BO29" s="200" t="str">
        <f aca="false">AC37</f>
        <v>Salaires employés</v>
      </c>
      <c r="BP29" s="170"/>
      <c r="BQ29" s="170"/>
      <c r="BR29" s="171" t="n">
        <f aca="false">$AG37/12</f>
        <v>0</v>
      </c>
      <c r="BS29" s="171" t="n">
        <f aca="false">$AG37/12</f>
        <v>0</v>
      </c>
      <c r="BT29" s="171" t="n">
        <f aca="false">$AG37/12</f>
        <v>0</v>
      </c>
      <c r="BU29" s="171" t="n">
        <f aca="false">$AG37/12</f>
        <v>0</v>
      </c>
      <c r="BV29" s="225" t="n">
        <f aca="false">$AG37/12</f>
        <v>0</v>
      </c>
      <c r="BY29" s="226" t="n">
        <f aca="false">$AG37/12</f>
        <v>0</v>
      </c>
      <c r="BZ29" s="171" t="n">
        <f aca="false">$AG37/12</f>
        <v>0</v>
      </c>
      <c r="CA29" s="171" t="n">
        <f aca="false">$AG37/12</f>
        <v>0</v>
      </c>
      <c r="CB29" s="171" t="n">
        <f aca="false">$AG37/12</f>
        <v>0</v>
      </c>
      <c r="CC29" s="171" t="n">
        <f aca="false">$AG37/12</f>
        <v>0</v>
      </c>
      <c r="CD29" s="171" t="n">
        <f aca="false">$AG37/12</f>
        <v>0</v>
      </c>
      <c r="CE29" s="227" t="n">
        <f aca="false">$AG37/12</f>
        <v>0</v>
      </c>
      <c r="CF29" s="228" t="n">
        <f aca="false">SUM(BR29:CE29)</f>
        <v>0</v>
      </c>
    </row>
    <row r="30" customFormat="false" ht="15" hidden="false" customHeight="true" outlineLevel="0" collapsed="false">
      <c r="B30" s="77"/>
      <c r="C30" s="250"/>
      <c r="D30" s="250"/>
      <c r="E30" s="250"/>
      <c r="F30" s="250"/>
      <c r="G30" s="250"/>
      <c r="H30" s="124"/>
      <c r="K30" s="159" t="str">
        <f aca="false">'Données à saisir'!A32</f>
        <v>Stock de matières et produits</v>
      </c>
      <c r="L30" s="259"/>
      <c r="M30" s="259"/>
      <c r="N30" s="259"/>
      <c r="O30" s="259"/>
      <c r="P30" s="259"/>
      <c r="Q30" s="160" t="str">
        <f aca="false">IF(ISBLANK('Données à saisir'!B32),"",'Données à saisir'!B32)</f>
        <v/>
      </c>
      <c r="T30" s="247"/>
      <c r="U30" s="224"/>
      <c r="V30" s="224"/>
      <c r="W30" s="224"/>
      <c r="X30" s="178"/>
      <c r="Y30" s="179"/>
      <c r="Z30" s="180"/>
      <c r="AC30" s="223"/>
      <c r="AD30" s="224"/>
      <c r="AE30" s="224"/>
      <c r="AF30" s="224"/>
      <c r="AG30" s="150"/>
      <c r="AH30" s="150"/>
      <c r="AI30" s="151"/>
      <c r="AL30" s="260"/>
      <c r="AM30" s="149"/>
      <c r="AN30" s="149"/>
      <c r="AO30" s="248"/>
      <c r="AP30" s="248"/>
      <c r="AQ30" s="248"/>
      <c r="AR30" s="248"/>
      <c r="AS30" s="248"/>
      <c r="AT30" s="248"/>
      <c r="AW30" s="120"/>
      <c r="AX30" s="120"/>
      <c r="AY30" s="120"/>
      <c r="AZ30" s="120"/>
      <c r="BA30" s="120"/>
      <c r="BB30" s="120"/>
      <c r="BC30" s="120"/>
      <c r="BF30" s="224"/>
      <c r="BG30" s="149"/>
      <c r="BH30" s="149"/>
      <c r="BI30" s="149"/>
      <c r="BJ30" s="137"/>
      <c r="BK30" s="261"/>
      <c r="BL30" s="137"/>
      <c r="BO30" s="161" t="str">
        <f aca="false">AC38</f>
        <v>Charges sociales employés</v>
      </c>
      <c r="BP30" s="149"/>
      <c r="BQ30" s="149"/>
      <c r="BR30" s="162" t="n">
        <f aca="false">$AG38/12</f>
        <v>0</v>
      </c>
      <c r="BS30" s="162" t="n">
        <f aca="false">$AG38/12</f>
        <v>0</v>
      </c>
      <c r="BT30" s="162" t="n">
        <f aca="false">$AG38/12</f>
        <v>0</v>
      </c>
      <c r="BU30" s="162" t="n">
        <f aca="false">$AG38/12</f>
        <v>0</v>
      </c>
      <c r="BV30" s="163" t="n">
        <f aca="false">$AG38/12</f>
        <v>0</v>
      </c>
      <c r="BY30" s="215" t="n">
        <f aca="false">$AG38/12</f>
        <v>0</v>
      </c>
      <c r="BZ30" s="162" t="n">
        <f aca="false">$AG38/12</f>
        <v>0</v>
      </c>
      <c r="CA30" s="162" t="n">
        <f aca="false">$AG38/12</f>
        <v>0</v>
      </c>
      <c r="CB30" s="162" t="n">
        <f aca="false">$AG38/12</f>
        <v>0</v>
      </c>
      <c r="CC30" s="162" t="n">
        <f aca="false">$AG38/12</f>
        <v>0</v>
      </c>
      <c r="CD30" s="162" t="n">
        <f aca="false">$AG38/12</f>
        <v>0</v>
      </c>
      <c r="CE30" s="216" t="n">
        <f aca="false">$AG38/12</f>
        <v>0</v>
      </c>
      <c r="CF30" s="217" t="n">
        <f aca="false">SUM(BR30:CE30)</f>
        <v>0</v>
      </c>
    </row>
    <row r="31" customFormat="false" ht="15" hidden="false" customHeight="true" outlineLevel="0" collapsed="false">
      <c r="B31" s="77"/>
      <c r="C31" s="250"/>
      <c r="D31" s="250"/>
      <c r="E31" s="250"/>
      <c r="F31" s="250"/>
      <c r="G31" s="250"/>
      <c r="H31" s="124"/>
      <c r="K31" s="159" t="str">
        <f aca="false">'Données à saisir'!A33</f>
        <v>Trésorerie de départ</v>
      </c>
      <c r="L31" s="259"/>
      <c r="M31" s="259"/>
      <c r="N31" s="259"/>
      <c r="O31" s="259"/>
      <c r="P31" s="259"/>
      <c r="Q31" s="160" t="str">
        <f aca="false">IF(ISBLANK('Données à saisir'!B33),"",'Données à saisir'!B33)</f>
        <v/>
      </c>
      <c r="T31" s="262" t="s">
        <v>254</v>
      </c>
      <c r="U31" s="255"/>
      <c r="V31" s="255"/>
      <c r="W31" s="255"/>
      <c r="X31" s="263" t="n">
        <f aca="false">SUM(X33:X39)</f>
        <v>0</v>
      </c>
      <c r="Y31" s="263" t="n">
        <f aca="false">SUM(Y33:Y39)</f>
        <v>0</v>
      </c>
      <c r="Z31" s="264" t="n">
        <f aca="false">SUM(Z33:Z39)</f>
        <v>0</v>
      </c>
      <c r="AC31" s="223"/>
      <c r="AD31" s="149"/>
      <c r="AE31" s="149"/>
      <c r="AF31" s="149"/>
      <c r="AG31" s="150"/>
      <c r="AH31" s="150"/>
      <c r="AI31" s="192"/>
      <c r="AL31" s="260"/>
      <c r="AM31" s="149"/>
      <c r="AN31" s="149"/>
      <c r="AO31" s="248"/>
      <c r="AP31" s="248"/>
      <c r="AQ31" s="248"/>
      <c r="AR31" s="248"/>
      <c r="AS31" s="248"/>
      <c r="AT31" s="248"/>
      <c r="AW31" s="120"/>
      <c r="AX31" s="120"/>
      <c r="AY31" s="120"/>
      <c r="AZ31" s="120"/>
      <c r="BA31" s="120"/>
      <c r="BB31" s="120"/>
      <c r="BC31" s="120"/>
      <c r="BF31" s="265"/>
      <c r="BG31" s="149"/>
      <c r="BH31" s="149"/>
      <c r="BI31" s="266"/>
      <c r="BJ31" s="267"/>
      <c r="BK31" s="267"/>
      <c r="BL31" s="267"/>
      <c r="BO31" s="161" t="str">
        <f aca="false">AC39</f>
        <v>Prélèvement dirigeant(s)</v>
      </c>
      <c r="BP31" s="149"/>
      <c r="BQ31" s="149"/>
      <c r="BR31" s="162" t="n">
        <f aca="false">$AG39/12</f>
        <v>0</v>
      </c>
      <c r="BS31" s="162" t="n">
        <f aca="false">$AG39/12</f>
        <v>0</v>
      </c>
      <c r="BT31" s="162" t="n">
        <f aca="false">$AG39/12</f>
        <v>0</v>
      </c>
      <c r="BU31" s="162" t="n">
        <f aca="false">$AG39/12</f>
        <v>0</v>
      </c>
      <c r="BV31" s="163" t="n">
        <f aca="false">$AG39/12</f>
        <v>0</v>
      </c>
      <c r="BY31" s="215" t="n">
        <f aca="false">$AG39/12</f>
        <v>0</v>
      </c>
      <c r="BZ31" s="162" t="n">
        <f aca="false">$AG39/12</f>
        <v>0</v>
      </c>
      <c r="CA31" s="162" t="n">
        <f aca="false">$AG39/12</f>
        <v>0</v>
      </c>
      <c r="CB31" s="162" t="n">
        <f aca="false">$AG39/12</f>
        <v>0</v>
      </c>
      <c r="CC31" s="162" t="n">
        <f aca="false">$AG39/12</f>
        <v>0</v>
      </c>
      <c r="CD31" s="162" t="n">
        <f aca="false">$AG39/12</f>
        <v>0</v>
      </c>
      <c r="CE31" s="216" t="n">
        <f aca="false">$AG39/12</f>
        <v>0</v>
      </c>
      <c r="CF31" s="217" t="n">
        <f aca="false">SUM(BR31:CE31)</f>
        <v>0</v>
      </c>
    </row>
    <row r="32" customFormat="false" ht="15" hidden="false" customHeight="true" outlineLevel="0" collapsed="false">
      <c r="B32" s="77"/>
      <c r="C32" s="250"/>
      <c r="D32" s="250"/>
      <c r="E32" s="250"/>
      <c r="F32" s="250"/>
      <c r="G32" s="250"/>
      <c r="H32" s="124"/>
      <c r="K32" s="254"/>
      <c r="L32" s="121"/>
      <c r="M32" s="121"/>
      <c r="N32" s="121"/>
      <c r="O32" s="259" t="s">
        <v>255</v>
      </c>
      <c r="P32" s="121"/>
      <c r="Q32" s="268" t="n">
        <f aca="false">+SUM(Q12,Q23,Q30:Q31)</f>
        <v>0</v>
      </c>
      <c r="T32" s="269"/>
      <c r="U32" s="256"/>
      <c r="V32" s="256"/>
      <c r="W32" s="256"/>
      <c r="X32" s="270"/>
      <c r="Y32" s="270"/>
      <c r="Z32" s="271"/>
      <c r="AC32" s="223"/>
      <c r="AD32" s="137"/>
      <c r="AE32" s="137"/>
      <c r="AF32" s="137"/>
      <c r="AG32" s="150"/>
      <c r="AH32" s="150"/>
      <c r="AI32" s="192"/>
      <c r="BF32" s="224"/>
      <c r="BG32" s="149"/>
      <c r="BH32" s="149"/>
      <c r="BI32" s="149"/>
      <c r="BJ32" s="272"/>
      <c r="BK32" s="272"/>
      <c r="BL32" s="272"/>
      <c r="BO32" s="161" t="str">
        <f aca="false">AC40</f>
        <v>Charges sociales dirigeant(s)</v>
      </c>
      <c r="BP32" s="149"/>
      <c r="BQ32" s="149"/>
      <c r="BR32" s="162" t="n">
        <f aca="false">$AG40/12</f>
        <v>0</v>
      </c>
      <c r="BS32" s="162" t="n">
        <f aca="false">$AG40/12</f>
        <v>0</v>
      </c>
      <c r="BT32" s="162" t="n">
        <f aca="false">$AG40/12</f>
        <v>0</v>
      </c>
      <c r="BU32" s="162" t="n">
        <f aca="false">$AG40/12</f>
        <v>0</v>
      </c>
      <c r="BV32" s="163" t="n">
        <f aca="false">$AG40/12</f>
        <v>0</v>
      </c>
      <c r="BY32" s="215" t="n">
        <f aca="false">$AG40/12</f>
        <v>0</v>
      </c>
      <c r="BZ32" s="162" t="n">
        <f aca="false">$AG40/12</f>
        <v>0</v>
      </c>
      <c r="CA32" s="162" t="n">
        <f aca="false">$AG40/12</f>
        <v>0</v>
      </c>
      <c r="CB32" s="162" t="n">
        <f aca="false">$AG40/12</f>
        <v>0</v>
      </c>
      <c r="CC32" s="162" t="n">
        <f aca="false">$AG40/12</f>
        <v>0</v>
      </c>
      <c r="CD32" s="162" t="n">
        <f aca="false">$AG40/12</f>
        <v>0</v>
      </c>
      <c r="CE32" s="216" t="n">
        <f aca="false">$AG40/12</f>
        <v>0</v>
      </c>
      <c r="CF32" s="217" t="n">
        <f aca="false">SUM(BR32:CE32)</f>
        <v>0</v>
      </c>
    </row>
    <row r="33" customFormat="false" ht="15" hidden="false" customHeight="true" outlineLevel="0" collapsed="false">
      <c r="B33" s="77"/>
      <c r="C33" s="273" t="str">
        <f aca="false">IF(ISBLANK('Données à saisir'!B8),"",('Données à saisir'!B8))</f>
        <v/>
      </c>
      <c r="D33" s="273"/>
      <c r="E33" s="273"/>
      <c r="F33" s="273"/>
      <c r="G33" s="273"/>
      <c r="H33" s="124"/>
      <c r="K33" s="274"/>
      <c r="L33" s="121"/>
      <c r="M33" s="121"/>
      <c r="N33" s="121"/>
      <c r="O33" s="121"/>
      <c r="P33" s="121"/>
      <c r="Q33" s="275"/>
      <c r="T33" s="223" t="str">
        <f aca="false">K13</f>
        <v>Frais d’établissement </v>
      </c>
      <c r="U33" s="256"/>
      <c r="V33" s="256"/>
      <c r="W33" s="256"/>
      <c r="X33" s="276" t="n">
        <f aca="false">'Données à saisir'!C40</f>
        <v>0</v>
      </c>
      <c r="Y33" s="276" t="n">
        <f aca="false">'Données à saisir'!D40</f>
        <v>0</v>
      </c>
      <c r="Z33" s="277" t="n">
        <f aca="false">'Données à saisir'!E40</f>
        <v>0</v>
      </c>
      <c r="AC33" s="223"/>
      <c r="AD33" s="149"/>
      <c r="AE33" s="149"/>
      <c r="AF33" s="149"/>
      <c r="AG33" s="150"/>
      <c r="AH33" s="150"/>
      <c r="AI33" s="192"/>
      <c r="AW33" s="158" t="s">
        <v>256</v>
      </c>
      <c r="BF33" s="265"/>
      <c r="BG33" s="149"/>
      <c r="BH33" s="149"/>
      <c r="BI33" s="266"/>
      <c r="BJ33" s="267"/>
      <c r="BK33" s="267"/>
      <c r="BL33" s="267"/>
      <c r="BO33" s="196" t="s">
        <v>257</v>
      </c>
      <c r="BP33" s="197"/>
      <c r="BQ33" s="197"/>
      <c r="BR33" s="210" t="n">
        <f aca="false">SUM(BR29:BR32)</f>
        <v>0</v>
      </c>
      <c r="BS33" s="210" t="n">
        <f aca="false">SUM(BS29:BS32)</f>
        <v>0</v>
      </c>
      <c r="BT33" s="210" t="n">
        <f aca="false">SUM(BT29:BT32)</f>
        <v>0</v>
      </c>
      <c r="BU33" s="210" t="n">
        <f aca="false">SUM(BU29:BU32)</f>
        <v>0</v>
      </c>
      <c r="BV33" s="220" t="n">
        <f aca="false">SUM(BV29:BV32)</f>
        <v>0</v>
      </c>
      <c r="BY33" s="236" t="n">
        <f aca="false">SUM(BY29:BY32)</f>
        <v>0</v>
      </c>
      <c r="BZ33" s="210" t="n">
        <f aca="false">SUM(BZ29:BZ32)</f>
        <v>0</v>
      </c>
      <c r="CA33" s="210" t="n">
        <f aca="false">SUM(CA29:CA32)</f>
        <v>0</v>
      </c>
      <c r="CB33" s="210" t="n">
        <f aca="false">SUM(CB29:CB32)</f>
        <v>0</v>
      </c>
      <c r="CC33" s="210" t="n">
        <f aca="false">SUM(CC29:CC32)</f>
        <v>0</v>
      </c>
      <c r="CD33" s="210" t="n">
        <f aca="false">SUM(CD29:CD32)</f>
        <v>0</v>
      </c>
      <c r="CE33" s="237" t="n">
        <f aca="false">SUM(CE29:CE32)</f>
        <v>0</v>
      </c>
      <c r="CF33" s="238" t="n">
        <f aca="false">SUM(BR33:CE33)</f>
        <v>0</v>
      </c>
    </row>
    <row r="34" customFormat="false" ht="15" hidden="false" customHeight="true" outlineLevel="0" collapsed="false">
      <c r="B34" s="77"/>
      <c r="C34" s="273"/>
      <c r="D34" s="273"/>
      <c r="E34" s="273"/>
      <c r="F34" s="273"/>
      <c r="G34" s="273"/>
      <c r="H34" s="124"/>
      <c r="K34" s="278" t="s">
        <v>258</v>
      </c>
      <c r="L34" s="278"/>
      <c r="M34" s="278"/>
      <c r="N34" s="278"/>
      <c r="O34" s="278"/>
      <c r="P34" s="278"/>
      <c r="Q34" s="136" t="s">
        <v>192</v>
      </c>
      <c r="T34" s="223" t="str">
        <f aca="false">K15</f>
        <v>Logiciels, formations</v>
      </c>
      <c r="U34" s="256"/>
      <c r="V34" s="256"/>
      <c r="W34" s="256"/>
      <c r="X34" s="276" t="n">
        <f aca="false">'Données à saisir'!C42</f>
        <v>0</v>
      </c>
      <c r="Y34" s="276" t="n">
        <f aca="false">'Données à saisir'!D42</f>
        <v>0</v>
      </c>
      <c r="Z34" s="277" t="n">
        <f aca="false">'Données à saisir'!E42</f>
        <v>0</v>
      </c>
      <c r="AC34" s="191"/>
      <c r="AD34" s="149"/>
      <c r="AE34" s="149"/>
      <c r="AF34" s="149"/>
      <c r="AG34" s="150"/>
      <c r="AH34" s="150"/>
      <c r="AI34" s="192"/>
      <c r="AL34" s="118" t="s">
        <v>252</v>
      </c>
      <c r="AM34" s="118"/>
      <c r="AN34" s="118"/>
      <c r="AO34" s="118"/>
      <c r="AP34" s="118"/>
      <c r="AQ34" s="118"/>
      <c r="AR34" s="118"/>
      <c r="AS34" s="118"/>
      <c r="AT34" s="118"/>
      <c r="AW34" s="279"/>
      <c r="AX34" s="279"/>
      <c r="AZ34" s="280" t="s">
        <v>259</v>
      </c>
      <c r="BA34" s="138" t="s">
        <v>66</v>
      </c>
      <c r="BB34" s="139" t="s">
        <v>67</v>
      </c>
      <c r="BC34" s="140" t="s">
        <v>68</v>
      </c>
      <c r="BF34" s="281"/>
      <c r="BG34" s="282"/>
      <c r="BH34" s="149"/>
      <c r="BI34" s="282"/>
      <c r="BJ34" s="283"/>
      <c r="BK34" s="283"/>
      <c r="BL34" s="283"/>
      <c r="BO34" s="161" t="str">
        <f aca="false">AC42</f>
        <v>Frais bancaires, charges financières</v>
      </c>
      <c r="BP34" s="224"/>
      <c r="BQ34" s="224"/>
      <c r="BR34" s="162" t="n">
        <f aca="false">$AG42/12</f>
        <v>41666.6666666667</v>
      </c>
      <c r="BS34" s="162" t="n">
        <f aca="false">$AG42/12</f>
        <v>41666.6666666667</v>
      </c>
      <c r="BT34" s="162" t="n">
        <f aca="false">$AG42/12</f>
        <v>41666.6666666667</v>
      </c>
      <c r="BU34" s="162" t="n">
        <f aca="false">$AG42/12</f>
        <v>41666.6666666667</v>
      </c>
      <c r="BV34" s="163" t="n">
        <f aca="false">$AG42/12</f>
        <v>41666.6666666667</v>
      </c>
      <c r="BY34" s="215" t="n">
        <f aca="false">$AG42/12</f>
        <v>41666.6666666667</v>
      </c>
      <c r="BZ34" s="162" t="n">
        <f aca="false">$AG42/12</f>
        <v>41666.6666666667</v>
      </c>
      <c r="CA34" s="162" t="n">
        <f aca="false">$AG42/12</f>
        <v>41666.6666666667</v>
      </c>
      <c r="CB34" s="162" t="n">
        <f aca="false">$AG42/12</f>
        <v>41666.6666666667</v>
      </c>
      <c r="CC34" s="162" t="n">
        <f aca="false">$AG42/12</f>
        <v>41666.6666666667</v>
      </c>
      <c r="CD34" s="162" t="n">
        <f aca="false">$AG42/12</f>
        <v>41666.6666666667</v>
      </c>
      <c r="CE34" s="216" t="n">
        <f aca="false">$AG42/12</f>
        <v>41666.6666666667</v>
      </c>
      <c r="CF34" s="217" t="n">
        <f aca="false">SUM(BR34:CE34)</f>
        <v>500000</v>
      </c>
    </row>
    <row r="35" customFormat="false" ht="15" hidden="false" customHeight="true" outlineLevel="0" collapsed="false">
      <c r="B35" s="77"/>
      <c r="C35" s="273"/>
      <c r="D35" s="273"/>
      <c r="E35" s="273"/>
      <c r="F35" s="273"/>
      <c r="G35" s="273"/>
      <c r="H35" s="124"/>
      <c r="K35" s="278"/>
      <c r="L35" s="278"/>
      <c r="M35" s="278"/>
      <c r="N35" s="278"/>
      <c r="O35" s="278"/>
      <c r="P35" s="278"/>
      <c r="Q35" s="136"/>
      <c r="T35" s="223"/>
      <c r="U35" s="256"/>
      <c r="V35" s="256"/>
      <c r="W35" s="256"/>
      <c r="X35" s="276"/>
      <c r="Y35" s="276"/>
      <c r="Z35" s="277"/>
      <c r="AC35" s="196" t="s">
        <v>223</v>
      </c>
      <c r="AD35" s="197"/>
      <c r="AE35" s="197"/>
      <c r="AF35" s="197"/>
      <c r="AG35" s="208" t="n">
        <f aca="false">AG16-AG17</f>
        <v>114260000</v>
      </c>
      <c r="AH35" s="208" t="n">
        <f aca="false">AH16-AH17</f>
        <v>137112000</v>
      </c>
      <c r="AI35" s="209" t="n">
        <f aca="false">AI16-AI17</f>
        <v>168300000</v>
      </c>
      <c r="AL35" s="118"/>
      <c r="AM35" s="118"/>
      <c r="AN35" s="118"/>
      <c r="AO35" s="118"/>
      <c r="AP35" s="118"/>
      <c r="AQ35" s="118"/>
      <c r="AR35" s="118"/>
      <c r="AS35" s="118"/>
      <c r="AT35" s="118"/>
      <c r="AW35" s="196" t="s">
        <v>260</v>
      </c>
      <c r="AX35" s="197"/>
      <c r="AY35" s="197"/>
      <c r="AZ35" s="197"/>
      <c r="BA35" s="138"/>
      <c r="BB35" s="139"/>
      <c r="BC35" s="140"/>
      <c r="BF35" s="149"/>
      <c r="BG35" s="149"/>
      <c r="BH35" s="149"/>
      <c r="BI35" s="149"/>
      <c r="BJ35" s="149"/>
      <c r="BK35" s="149"/>
      <c r="BL35" s="149"/>
      <c r="BO35" s="196" t="s">
        <v>261</v>
      </c>
      <c r="BP35" s="197"/>
      <c r="BQ35" s="197"/>
      <c r="BR35" s="210" t="n">
        <f aca="false">SUM(BR24:BR28,BR33:BR34)</f>
        <v>1028333.33333333</v>
      </c>
      <c r="BS35" s="210" t="n">
        <f aca="false">SUM(BS24:BS28,BS33:BS34)</f>
        <v>1028333.33333333</v>
      </c>
      <c r="BT35" s="210" t="n">
        <f aca="false">SUM(BT24:BT28,BT33:BT34)</f>
        <v>1028333.33333333</v>
      </c>
      <c r="BU35" s="210" t="n">
        <f aca="false">SUM(BU24:BU28,BU33:BU34)</f>
        <v>1028333.33333333</v>
      </c>
      <c r="BV35" s="220" t="n">
        <f aca="false">SUM(BV24:BV28,BV33:BV34)</f>
        <v>1028333.33333333</v>
      </c>
      <c r="BY35" s="236" t="n">
        <f aca="false">SUM(BY24:BY28,BY33:BY34)</f>
        <v>1028333.33333333</v>
      </c>
      <c r="BZ35" s="210" t="n">
        <f aca="false">SUM(BZ24:BZ28,BZ33:BZ34)</f>
        <v>1028333.33333333</v>
      </c>
      <c r="CA35" s="210" t="n">
        <f aca="false">SUM(CA24:CA28,CA33:CA34)</f>
        <v>1028333.33333333</v>
      </c>
      <c r="CB35" s="210" t="n">
        <f aca="false">SUM(CB24:CB28,CB33:CB34)</f>
        <v>1028333.33333333</v>
      </c>
      <c r="CC35" s="210" t="n">
        <f aca="false">SUM(CC24:CC28,CC33:CC34)</f>
        <v>1028333.33333333</v>
      </c>
      <c r="CD35" s="210" t="n">
        <f aca="false">SUM(CD24:CD28,CD33:CD34)</f>
        <v>1028333.33333333</v>
      </c>
      <c r="CE35" s="237" t="n">
        <f aca="false">SUM(CE24:CE28,CE33:CE34)</f>
        <v>1028333.33333333</v>
      </c>
      <c r="CF35" s="238" t="n">
        <f aca="false">SUM(BR35:CE35)</f>
        <v>12340000</v>
      </c>
    </row>
    <row r="36" customFormat="false" ht="15" hidden="false" customHeight="true" outlineLevel="0" collapsed="false">
      <c r="B36" s="77"/>
      <c r="C36" s="121"/>
      <c r="D36" s="121"/>
      <c r="E36" s="121"/>
      <c r="F36" s="121"/>
      <c r="G36" s="121"/>
      <c r="H36" s="124"/>
      <c r="K36" s="145"/>
      <c r="L36" s="146"/>
      <c r="M36" s="146"/>
      <c r="N36" s="146"/>
      <c r="O36" s="146"/>
      <c r="P36" s="146"/>
      <c r="Q36" s="147"/>
      <c r="T36" s="223"/>
      <c r="U36" s="256"/>
      <c r="V36" s="256"/>
      <c r="W36" s="256"/>
      <c r="X36" s="276"/>
      <c r="Y36" s="276"/>
      <c r="Z36" s="277"/>
      <c r="AC36" s="181" t="s">
        <v>227</v>
      </c>
      <c r="AD36" s="149"/>
      <c r="AE36" s="149"/>
      <c r="AF36" s="149"/>
      <c r="AG36" s="167" t="n">
        <f aca="false">IF(ISBLANK('Données à saisir'!B92),0,'Données à saisir'!B92)</f>
        <v>0</v>
      </c>
      <c r="AH36" s="167" t="n">
        <f aca="false">IF(ISBLANK('Données à saisir'!C92),0,'Données à saisir'!C92)</f>
        <v>0</v>
      </c>
      <c r="AI36" s="168" t="n">
        <f aca="false">IF(ISBLANK('Données à saisir'!D92),0,'Données à saisir'!D92)</f>
        <v>0</v>
      </c>
      <c r="AL36" s="118"/>
      <c r="AM36" s="118"/>
      <c r="AN36" s="118"/>
      <c r="AO36" s="118"/>
      <c r="AP36" s="118"/>
      <c r="AQ36" s="118"/>
      <c r="AR36" s="118"/>
      <c r="AS36" s="118"/>
      <c r="AT36" s="118"/>
      <c r="AW36" s="161" t="s">
        <v>262</v>
      </c>
      <c r="AX36" s="149"/>
      <c r="AY36" s="149"/>
      <c r="AZ36" s="266" t="n">
        <f aca="false">'Données à saisir'!D128</f>
        <v>30</v>
      </c>
      <c r="BA36" s="284" t="n">
        <f aca="false">BA11/365*$AZ36</f>
        <v>10364383.5616438</v>
      </c>
      <c r="BB36" s="285" t="n">
        <f aca="false">BB11/365*$AZ36</f>
        <v>12437260.2739726</v>
      </c>
      <c r="BC36" s="286" t="n">
        <f aca="false">BC11/365*$AZ36</f>
        <v>16168438.3561644</v>
      </c>
      <c r="BF36" s="149"/>
      <c r="BG36" s="149"/>
      <c r="BH36" s="149"/>
      <c r="BI36" s="149"/>
      <c r="BJ36" s="149"/>
      <c r="BK36" s="149"/>
      <c r="BL36" s="149"/>
      <c r="BO36" s="196" t="s">
        <v>263</v>
      </c>
      <c r="BP36" s="197"/>
      <c r="BQ36" s="197"/>
      <c r="BR36" s="210" t="n">
        <f aca="false">SUM(BR15:BR20)</f>
        <v>1300000</v>
      </c>
      <c r="BS36" s="210" t="n">
        <f aca="false">SUM(BS15:BS20)</f>
        <v>2600000</v>
      </c>
      <c r="BT36" s="210" t="n">
        <f aca="false">SUM(BT15:BT20)</f>
        <v>3900000</v>
      </c>
      <c r="BU36" s="210" t="n">
        <f aca="false">SUM(BU15:BU20)</f>
        <v>7800000</v>
      </c>
      <c r="BV36" s="220" t="n">
        <f aca="false">SUM(BV15:BV20)</f>
        <v>9100000</v>
      </c>
      <c r="BY36" s="236" t="n">
        <f aca="false">SUM(BY15:BY20)</f>
        <v>10400000</v>
      </c>
      <c r="BZ36" s="210" t="n">
        <f aca="false">SUM(BZ15:BZ20)</f>
        <v>11700000</v>
      </c>
      <c r="CA36" s="210" t="n">
        <f aca="false">SUM(CA15:CA20)</f>
        <v>13000000</v>
      </c>
      <c r="CB36" s="210" t="n">
        <f aca="false">SUM(CB15:CB20)</f>
        <v>14300000</v>
      </c>
      <c r="CC36" s="210" t="n">
        <f aca="false">SUM(CC15:CC20)</f>
        <v>15600000</v>
      </c>
      <c r="CD36" s="210" t="n">
        <f aca="false">SUM(CD15:CD20)</f>
        <v>16900000</v>
      </c>
      <c r="CE36" s="237" t="n">
        <f aca="false">SUM(CE15:CE20)</f>
        <v>19500000</v>
      </c>
      <c r="CF36" s="238" t="n">
        <f aca="false">SUM(BR36:CE36)</f>
        <v>126100000</v>
      </c>
    </row>
    <row r="37" customFormat="false" ht="15" hidden="false" customHeight="true" outlineLevel="0" collapsed="false">
      <c r="B37" s="128"/>
      <c r="C37" s="129"/>
      <c r="D37" s="129"/>
      <c r="E37" s="129"/>
      <c r="F37" s="129"/>
      <c r="G37" s="129"/>
      <c r="H37" s="287"/>
      <c r="K37" s="159" t="s">
        <v>77</v>
      </c>
      <c r="Q37" s="160" t="n">
        <f aca="false">SUM(Q38:Q39)</f>
        <v>0</v>
      </c>
      <c r="T37" s="223"/>
      <c r="U37" s="256"/>
      <c r="V37" s="256"/>
      <c r="W37" s="256"/>
      <c r="X37" s="276"/>
      <c r="Y37" s="276"/>
      <c r="Z37" s="277"/>
      <c r="AC37" s="181" t="s">
        <v>264</v>
      </c>
      <c r="AD37" s="149"/>
      <c r="AE37" s="149"/>
      <c r="AF37" s="149"/>
      <c r="AG37" s="167" t="n">
        <f aca="false">'Données à saisir'!B134</f>
        <v>0</v>
      </c>
      <c r="AH37" s="167" t="n">
        <f aca="false">'Données à saisir'!C134</f>
        <v>0</v>
      </c>
      <c r="AI37" s="168" t="n">
        <f aca="false">'Données à saisir'!D134</f>
        <v>0</v>
      </c>
      <c r="AW37" s="196" t="s">
        <v>265</v>
      </c>
      <c r="AX37" s="197"/>
      <c r="AY37" s="197"/>
      <c r="AZ37" s="197"/>
      <c r="BA37" s="288"/>
      <c r="BB37" s="289"/>
      <c r="BC37" s="290"/>
      <c r="BF37" s="137"/>
      <c r="BG37" s="137"/>
      <c r="BH37" s="137"/>
      <c r="BI37" s="137"/>
      <c r="BJ37" s="137"/>
      <c r="BK37" s="137"/>
      <c r="BL37" s="137"/>
      <c r="BO37" s="161" t="s">
        <v>266</v>
      </c>
      <c r="BP37" s="149"/>
      <c r="BQ37" s="149"/>
      <c r="BR37" s="291" t="str">
        <f aca="false">IF(ISBLANK(Q31),0,Q31)</f>
        <v/>
      </c>
      <c r="BS37" s="162" t="n">
        <f aca="false">BR39</f>
        <v>0</v>
      </c>
      <c r="BT37" s="162" t="n">
        <f aca="false">BS39</f>
        <v>1571666.66666667</v>
      </c>
      <c r="BU37" s="162" t="n">
        <f aca="false">BT39</f>
        <v>4443333.33333333</v>
      </c>
      <c r="BV37" s="214" t="n">
        <f aca="false">BU39</f>
        <v>11215000</v>
      </c>
      <c r="BY37" s="215" t="n">
        <f aca="false">BV39</f>
        <v>19286666.6666667</v>
      </c>
      <c r="BZ37" s="162" t="n">
        <f aca="false">BY39</f>
        <v>28658333.3333333</v>
      </c>
      <c r="CA37" s="162" t="n">
        <f aca="false">BZ39</f>
        <v>39330000</v>
      </c>
      <c r="CB37" s="162" t="n">
        <f aca="false">CA39</f>
        <v>51301666.6666667</v>
      </c>
      <c r="CC37" s="162" t="n">
        <f aca="false">CB39</f>
        <v>64573333.3333333</v>
      </c>
      <c r="CD37" s="162" t="n">
        <f aca="false">CC39</f>
        <v>79145000</v>
      </c>
      <c r="CE37" s="216" t="n">
        <f aca="false">CD39</f>
        <v>95016666.6666667</v>
      </c>
      <c r="CF37" s="217"/>
    </row>
    <row r="38" customFormat="false" ht="15" hidden="false" customHeight="true" outlineLevel="0" collapsed="false">
      <c r="K38" s="164" t="str">
        <f aca="false">'Données à saisir'!A59</f>
        <v>Apport personnel </v>
      </c>
      <c r="L38" s="121"/>
      <c r="M38" s="121"/>
      <c r="N38" s="121"/>
      <c r="O38" s="121"/>
      <c r="P38" s="121"/>
      <c r="Q38" s="165" t="n">
        <f aca="false">IF(ISERROR(IF(ISBLANK('Données à saisir'!B59),0,'Données à saisir'!B59)+IF(ISBLANK('Données à saisir'!B61),0,'Données à saisir'!B61)),0,IF(ISBLANK('Données à saisir'!B59),0,'Données à saisir'!B59)+IF(ISBLANK('Données à saisir'!B61),0,'Données à saisir'!B61))</f>
        <v>0</v>
      </c>
      <c r="T38" s="223"/>
      <c r="U38" s="256"/>
      <c r="V38" s="256"/>
      <c r="W38" s="256"/>
      <c r="X38" s="276"/>
      <c r="Y38" s="276"/>
      <c r="Z38" s="277"/>
      <c r="AC38" s="161" t="s">
        <v>267</v>
      </c>
      <c r="AD38" s="149"/>
      <c r="AE38" s="149"/>
      <c r="AF38" s="149"/>
      <c r="AG38" s="292" t="n">
        <f aca="false">AG37*25%</f>
        <v>0</v>
      </c>
      <c r="AH38" s="292" t="n">
        <f aca="false">AH37*25%</f>
        <v>0</v>
      </c>
      <c r="AI38" s="293" t="n">
        <f aca="false">AI37*25%</f>
        <v>0</v>
      </c>
      <c r="AW38" s="294" t="s">
        <v>268</v>
      </c>
      <c r="AX38" s="295"/>
      <c r="AY38" s="295"/>
      <c r="AZ38" s="296" t="n">
        <f aca="false">'Données à saisir'!D129</f>
        <v>30</v>
      </c>
      <c r="BA38" s="284" t="n">
        <f aca="false">BA12/365*$AZ38</f>
        <v>0</v>
      </c>
      <c r="BB38" s="285" t="n">
        <f aca="false">BB12/365*$AZ38</f>
        <v>0</v>
      </c>
      <c r="BC38" s="286" t="n">
        <f aca="false">BC12/365*$AZ38</f>
        <v>0</v>
      </c>
      <c r="BF38" s="137"/>
      <c r="BG38" s="137"/>
      <c r="BH38" s="137"/>
      <c r="BI38" s="137"/>
      <c r="BJ38" s="137"/>
      <c r="BK38" s="137"/>
      <c r="BL38" s="137"/>
      <c r="BO38" s="193" t="s">
        <v>269</v>
      </c>
      <c r="BP38" s="137"/>
      <c r="BQ38" s="137"/>
      <c r="BR38" s="185" t="n">
        <f aca="false">BR36-BR35</f>
        <v>271666.666666667</v>
      </c>
      <c r="BS38" s="185" t="n">
        <f aca="false">BS36-BS35</f>
        <v>1571666.66666667</v>
      </c>
      <c r="BT38" s="185" t="n">
        <f aca="false">BT36-BT35</f>
        <v>2871666.66666667</v>
      </c>
      <c r="BU38" s="185" t="n">
        <f aca="false">BU36-BU35</f>
        <v>6771666.66666667</v>
      </c>
      <c r="BV38" s="244" t="n">
        <f aca="false">BV36-BV35</f>
        <v>8071666.66666667</v>
      </c>
      <c r="BW38" s="5"/>
      <c r="BX38" s="5"/>
      <c r="BY38" s="297" t="n">
        <f aca="false">BY36-BY35</f>
        <v>9371666.66666667</v>
      </c>
      <c r="BZ38" s="185" t="n">
        <f aca="false">BZ36-BZ35</f>
        <v>10671666.6666667</v>
      </c>
      <c r="CA38" s="185" t="n">
        <f aca="false">CA36-CA35</f>
        <v>11971666.6666667</v>
      </c>
      <c r="CB38" s="185" t="n">
        <f aca="false">CB36-CB35</f>
        <v>13271666.6666667</v>
      </c>
      <c r="CC38" s="185" t="n">
        <f aca="false">CC36-CC35</f>
        <v>14571666.6666667</v>
      </c>
      <c r="CD38" s="185" t="n">
        <f aca="false">CD36-CD35</f>
        <v>15871666.6666667</v>
      </c>
      <c r="CE38" s="245" t="n">
        <f aca="false">CE36-CE35</f>
        <v>18471666.6666667</v>
      </c>
      <c r="CF38" s="298"/>
    </row>
    <row r="39" customFormat="false" ht="15" hidden="false" customHeight="true" outlineLevel="0" collapsed="false">
      <c r="K39" s="164" t="str">
        <f aca="false">'Données à saisir'!A60</f>
        <v>Apports en nature (Ordinateur/Imprimante)</v>
      </c>
      <c r="L39" s="121"/>
      <c r="M39" s="121"/>
      <c r="N39" s="121"/>
      <c r="O39" s="121"/>
      <c r="P39" s="121"/>
      <c r="Q39" s="165" t="n">
        <f aca="false">IF(ISBLANK('Données à saisir'!B60),0,'Données à saisir'!B60)</f>
        <v>0</v>
      </c>
      <c r="T39" s="223"/>
      <c r="U39" s="256"/>
      <c r="V39" s="256"/>
      <c r="W39" s="256"/>
      <c r="X39" s="276"/>
      <c r="Y39" s="276"/>
      <c r="Z39" s="277"/>
      <c r="AC39" s="181" t="s">
        <v>270</v>
      </c>
      <c r="AD39" s="149"/>
      <c r="AE39" s="149"/>
      <c r="AF39" s="149"/>
      <c r="AG39" s="167" t="n">
        <f aca="false">'Données à saisir'!B135</f>
        <v>0</v>
      </c>
      <c r="AH39" s="167" t="n">
        <f aca="false">'Données à saisir'!C135</f>
        <v>0</v>
      </c>
      <c r="AI39" s="168" t="n">
        <f aca="false">'Données à saisir'!D135</f>
        <v>0</v>
      </c>
      <c r="AW39" s="299" t="s">
        <v>271</v>
      </c>
      <c r="AX39" s="300"/>
      <c r="AY39" s="197"/>
      <c r="AZ39" s="301"/>
      <c r="BA39" s="302" t="n">
        <f aca="false">BA36-BA38</f>
        <v>10364383.5616438</v>
      </c>
      <c r="BB39" s="303" t="n">
        <f aca="false">BB36-BB38</f>
        <v>12437260.2739726</v>
      </c>
      <c r="BC39" s="304" t="n">
        <f aca="false">BC36-BC38</f>
        <v>16168438.3561644</v>
      </c>
      <c r="BF39" s="137"/>
      <c r="BG39" s="137"/>
      <c r="BH39" s="137"/>
      <c r="BI39" s="137"/>
      <c r="BJ39" s="137"/>
      <c r="BK39" s="137"/>
      <c r="BL39" s="137"/>
      <c r="BO39" s="196" t="s">
        <v>272</v>
      </c>
      <c r="BP39" s="197"/>
      <c r="BQ39" s="197"/>
      <c r="BR39" s="210" t="n">
        <f aca="false">IF(ISERROR(BR37+BR38),0,BR37+BR38)</f>
        <v>0</v>
      </c>
      <c r="BS39" s="210" t="n">
        <f aca="false">BS37+BS38</f>
        <v>1571666.66666667</v>
      </c>
      <c r="BT39" s="210" t="n">
        <f aca="false">BT37+BT38</f>
        <v>4443333.33333333</v>
      </c>
      <c r="BU39" s="210" t="n">
        <f aca="false">BU37+BU38</f>
        <v>11215000</v>
      </c>
      <c r="BV39" s="220" t="n">
        <f aca="false">BV37+BV38</f>
        <v>19286666.6666667</v>
      </c>
      <c r="BY39" s="236" t="n">
        <f aca="false">BY37+BY38</f>
        <v>28658333.3333333</v>
      </c>
      <c r="BZ39" s="210" t="n">
        <f aca="false">BZ37+BZ38</f>
        <v>39330000</v>
      </c>
      <c r="CA39" s="210" t="n">
        <f aca="false">CA37+CA38</f>
        <v>51301666.6666667</v>
      </c>
      <c r="CB39" s="210" t="n">
        <f aca="false">CB37+CB38</f>
        <v>64573333.3333333</v>
      </c>
      <c r="CC39" s="210" t="n">
        <f aca="false">CC37+CC38</f>
        <v>79145000</v>
      </c>
      <c r="CD39" s="210" t="n">
        <f aca="false">CD37+CD38</f>
        <v>95016666.6666667</v>
      </c>
      <c r="CE39" s="237" t="n">
        <f aca="false">CE37+CE38</f>
        <v>113488333.333333</v>
      </c>
      <c r="CF39" s="238"/>
    </row>
    <row r="40" customFormat="false" ht="15" hidden="false" customHeight="true" outlineLevel="0" collapsed="false">
      <c r="K40" s="305" t="str">
        <f aca="false">+'Données à saisir'!A66</f>
        <v>Autre financement (Personnel)</v>
      </c>
      <c r="L40" s="306"/>
      <c r="M40" s="306"/>
      <c r="N40" s="307" t="s">
        <v>273</v>
      </c>
      <c r="O40" s="307" t="s">
        <v>274</v>
      </c>
      <c r="P40" s="306"/>
      <c r="Q40" s="308" t="n">
        <f aca="false">+'Données à saisir'!B66</f>
        <v>0</v>
      </c>
      <c r="T40" s="262" t="s">
        <v>275</v>
      </c>
      <c r="U40" s="255"/>
      <c r="V40" s="255"/>
      <c r="W40" s="255"/>
      <c r="X40" s="263" t="n">
        <f aca="false">SUM(X42:X46)</f>
        <v>0</v>
      </c>
      <c r="Y40" s="263" t="n">
        <f aca="false">SUM(Y42:Y46)</f>
        <v>0</v>
      </c>
      <c r="Z40" s="309" t="n">
        <f aca="false">SUM(Z42:Z46)</f>
        <v>0</v>
      </c>
      <c r="AC40" s="161" t="s">
        <v>276</v>
      </c>
      <c r="AD40" s="149"/>
      <c r="AE40" s="149"/>
      <c r="AF40" s="205" t="str">
        <f aca="false">IF('Données à saisir'!C137="Oui","(Accre)","")</f>
        <v/>
      </c>
      <c r="AG40" s="292" t="n">
        <f aca="false">AG39*25%</f>
        <v>0</v>
      </c>
      <c r="AH40" s="292" t="n">
        <f aca="false">AH39*25%</f>
        <v>0</v>
      </c>
      <c r="AI40" s="293" t="n">
        <f aca="false">AI39*25%</f>
        <v>0</v>
      </c>
      <c r="AO40" s="310" t="s">
        <v>66</v>
      </c>
      <c r="AP40" s="311"/>
      <c r="AQ40" s="175" t="s">
        <v>67</v>
      </c>
      <c r="AR40" s="312"/>
      <c r="AS40" s="175" t="s">
        <v>68</v>
      </c>
      <c r="AT40" s="154"/>
      <c r="AW40" s="149"/>
      <c r="AX40" s="149"/>
      <c r="AY40" s="149"/>
      <c r="AZ40" s="149"/>
      <c r="BA40" s="149"/>
      <c r="BB40" s="149"/>
      <c r="BC40" s="149"/>
      <c r="BF40" s="149"/>
      <c r="BG40" s="149"/>
      <c r="BH40" s="149"/>
      <c r="BI40" s="149"/>
      <c r="BJ40" s="149"/>
      <c r="BK40" s="149"/>
      <c r="BL40" s="149"/>
      <c r="BO40" s="161"/>
      <c r="BP40" s="149"/>
      <c r="BQ40" s="149"/>
      <c r="BR40" s="313" t="str">
        <f aca="false">IF(BR39&lt;0,BR39,"")</f>
        <v/>
      </c>
      <c r="BS40" s="313" t="str">
        <f aca="false">IF(BS39&lt;0,BS39,"")</f>
        <v/>
      </c>
      <c r="BT40" s="313" t="str">
        <f aca="false">IF(BT39&lt;0,BT39,"")</f>
        <v/>
      </c>
      <c r="BU40" s="313" t="str">
        <f aca="false">IF(BU39&lt;0,BU39,"")</f>
        <v/>
      </c>
      <c r="BV40" s="314" t="str">
        <f aca="false">IF(BV39&lt;0,BV39,"")</f>
        <v/>
      </c>
      <c r="BW40" s="315" t="str">
        <f aca="false">IF(BW39&lt;0,BW39,"")</f>
        <v/>
      </c>
      <c r="BX40" s="315" t="str">
        <f aca="false">IF(BX39&lt;0,BX39,"")</f>
        <v/>
      </c>
      <c r="BY40" s="316" t="str">
        <f aca="false">IF(BY39&lt;0,BY39,"")</f>
        <v/>
      </c>
      <c r="BZ40" s="317" t="str">
        <f aca="false">IF(BZ39&lt;0,BZ39,"")</f>
        <v/>
      </c>
      <c r="CA40" s="317" t="str">
        <f aca="false">IF(CA39&lt;0,CA39,"")</f>
        <v/>
      </c>
      <c r="CB40" s="317" t="str">
        <f aca="false">IF(CB39&lt;0,CB39,"")</f>
        <v/>
      </c>
      <c r="CC40" s="317" t="str">
        <f aca="false">IF(CC39&lt;0,CC39,"")</f>
        <v/>
      </c>
      <c r="CD40" s="317" t="str">
        <f aca="false">IF(CD39&lt;0,CD39,"")</f>
        <v/>
      </c>
      <c r="CE40" s="318" t="str">
        <f aca="false">IF(CE39&lt;0,CE39,"")</f>
        <v/>
      </c>
      <c r="CF40" s="319" t="n">
        <f aca="false">SUM(BR40:CE40)</f>
        <v>0</v>
      </c>
    </row>
    <row r="41" customFormat="false" ht="15" hidden="false" customHeight="true" outlineLevel="0" collapsed="false">
      <c r="B41" s="115"/>
      <c r="C41" s="116"/>
      <c r="D41" s="116"/>
      <c r="E41" s="116"/>
      <c r="F41" s="116"/>
      <c r="G41" s="116"/>
      <c r="H41" s="117"/>
      <c r="K41" s="320" t="str">
        <f aca="false">IF(ISBLANK('Données à saisir'!A62),"",'Données à saisir'!A62)</f>
        <v>Prêt n°1 (nom de la banque)</v>
      </c>
      <c r="L41" s="306"/>
      <c r="M41" s="306"/>
      <c r="N41" s="321" t="str">
        <f aca="false">IF(ISBLANK('Données à saisir'!C62),"",'Données à saisir'!C62)</f>
        <v/>
      </c>
      <c r="O41" s="322" t="str">
        <f aca="false">IF(ISBLANK('Données à saisir'!D62),"",'Données à saisir'!D62)</f>
        <v/>
      </c>
      <c r="P41" s="306"/>
      <c r="Q41" s="323" t="n">
        <f aca="false">IF(ISBLANK('Données à saisir'!B62),0,'Données à saisir'!B62)</f>
        <v>0</v>
      </c>
      <c r="T41" s="269"/>
      <c r="U41" s="256"/>
      <c r="V41" s="256"/>
      <c r="W41" s="256"/>
      <c r="X41" s="270"/>
      <c r="Y41" s="270"/>
      <c r="Z41" s="271"/>
      <c r="AC41" s="196" t="s">
        <v>234</v>
      </c>
      <c r="AD41" s="197"/>
      <c r="AE41" s="197"/>
      <c r="AF41" s="197"/>
      <c r="AG41" s="208" t="n">
        <f aca="false">AG35-SUM(AG36:AG40)</f>
        <v>114260000</v>
      </c>
      <c r="AH41" s="208" t="n">
        <f aca="false">AH35-SUM(AH36:AH40)</f>
        <v>137112000</v>
      </c>
      <c r="AI41" s="209" t="n">
        <f aca="false">AI35-SUM(AI36:AI40)</f>
        <v>168300000</v>
      </c>
      <c r="AL41" s="137"/>
      <c r="AO41" s="310"/>
      <c r="AP41" s="324"/>
      <c r="AQ41" s="175"/>
      <c r="AR41" s="325"/>
      <c r="AS41" s="175"/>
      <c r="AT41" s="326"/>
      <c r="AW41" s="149"/>
      <c r="AX41" s="149"/>
      <c r="AY41" s="149"/>
      <c r="AZ41" s="149"/>
      <c r="BA41" s="149"/>
      <c r="BB41" s="149"/>
      <c r="BC41" s="149"/>
      <c r="BF41" s="149"/>
      <c r="BG41" s="149"/>
      <c r="BH41" s="149"/>
      <c r="BI41" s="149"/>
      <c r="BJ41" s="149"/>
      <c r="BK41" s="149"/>
      <c r="BL41" s="149"/>
      <c r="BO41" s="327"/>
      <c r="BP41" s="233"/>
      <c r="BQ41" s="233"/>
      <c r="BR41" s="328"/>
      <c r="BS41" s="328"/>
      <c r="BT41" s="328"/>
      <c r="BU41" s="328"/>
      <c r="BV41" s="329"/>
      <c r="BY41" s="330"/>
      <c r="BZ41" s="328"/>
      <c r="CA41" s="328"/>
      <c r="CB41" s="328"/>
      <c r="CC41" s="328"/>
      <c r="CD41" s="328"/>
      <c r="CE41" s="331"/>
      <c r="CF41" s="332"/>
    </row>
    <row r="42" customFormat="false" ht="15" hidden="false" customHeight="true" outlineLevel="0" collapsed="false">
      <c r="B42" s="77"/>
      <c r="C42" s="333" t="str">
        <f aca="false">IF(ISBLANK('Données à saisir'!B9),"",('Données à saisir'!B9))</f>
        <v/>
      </c>
      <c r="D42" s="333"/>
      <c r="E42" s="333"/>
      <c r="F42" s="333"/>
      <c r="G42" s="333"/>
      <c r="H42" s="124"/>
      <c r="K42" s="320" t="str">
        <f aca="false">IF(ISBLANK('Données à saisir'!A63),"",'Données à saisir'!A63)</f>
        <v>Prêt n°2 (nom de la banque)</v>
      </c>
      <c r="L42" s="306"/>
      <c r="M42" s="306"/>
      <c r="N42" s="321" t="str">
        <f aca="false">IF(ISBLANK('Données à saisir'!C63),"",'Données à saisir'!C63)</f>
        <v/>
      </c>
      <c r="O42" s="322" t="str">
        <f aca="false">IF(ISBLANK('Données à saisir'!D63),"",'Données à saisir'!D63)</f>
        <v/>
      </c>
      <c r="P42" s="306"/>
      <c r="Q42" s="323" t="n">
        <f aca="false">IF(ISBLANK('Données à saisir'!B63),0,'Données à saisir'!B63)</f>
        <v>0</v>
      </c>
      <c r="T42" s="223" t="str">
        <f aca="false">K24</f>
        <v>Enseigne et éléments de communication</v>
      </c>
      <c r="U42" s="256"/>
      <c r="V42" s="256"/>
      <c r="W42" s="256"/>
      <c r="X42" s="276" t="n">
        <f aca="false">'Données à saisir'!C50</f>
        <v>0</v>
      </c>
      <c r="Y42" s="276" t="n">
        <f aca="false">'Données à saisir'!D50</f>
        <v>0</v>
      </c>
      <c r="Z42" s="277" t="n">
        <f aca="false">'Données à saisir'!E50</f>
        <v>0</v>
      </c>
      <c r="AC42" s="181" t="s">
        <v>277</v>
      </c>
      <c r="AD42" s="224"/>
      <c r="AE42" s="224"/>
      <c r="AF42" s="224"/>
      <c r="AG42" s="167" t="n">
        <f aca="false">IF(ISERROR('Données à saisir'!B91+SUM('Données à saisir'!G71:G73)),0,'Données à saisir'!B91+SUM('Données à saisir'!G71:G73))</f>
        <v>500000</v>
      </c>
      <c r="AH42" s="167" t="n">
        <f aca="false">'Données à saisir'!C91+SUM('Données à saisir'!H71:H73)</f>
        <v>600000</v>
      </c>
      <c r="AI42" s="168" t="n">
        <f aca="false">'Données à saisir'!D91+SUM('Données à saisir'!I71:I73)</f>
        <v>660000</v>
      </c>
      <c r="AL42" s="196" t="s">
        <v>251</v>
      </c>
      <c r="AM42" s="197"/>
      <c r="AN42" s="197"/>
      <c r="AO42" s="237" t="n">
        <f aca="false">AO27</f>
        <v>79632000</v>
      </c>
      <c r="AP42" s="334"/>
      <c r="AQ42" s="237" t="n">
        <f aca="false">AQ27</f>
        <v>95558400</v>
      </c>
      <c r="AR42" s="334"/>
      <c r="AS42" s="335" t="n">
        <f aca="false">AS27</f>
        <v>117348000</v>
      </c>
      <c r="AT42" s="336"/>
      <c r="AW42" s="257"/>
      <c r="AX42" s="257"/>
      <c r="AY42" s="149"/>
      <c r="AZ42" s="258"/>
      <c r="BA42" s="272"/>
      <c r="BB42" s="272"/>
      <c r="BC42" s="272"/>
      <c r="BF42" s="257"/>
      <c r="BG42" s="257"/>
      <c r="BH42" s="149"/>
      <c r="BI42" s="258"/>
      <c r="BJ42" s="137"/>
      <c r="BK42" s="137"/>
      <c r="BL42" s="137"/>
      <c r="BO42" s="337"/>
      <c r="BP42" s="224"/>
      <c r="BQ42" s="224"/>
      <c r="BR42" s="338"/>
      <c r="BS42" s="338"/>
      <c r="BT42" s="338"/>
      <c r="BU42" s="338"/>
      <c r="BV42" s="338"/>
    </row>
    <row r="43" customFormat="false" ht="15" hidden="false" customHeight="true" outlineLevel="0" collapsed="false">
      <c r="B43" s="77"/>
      <c r="C43" s="339" t="str">
        <f aca="false">IF(ISBLANK('Données à saisir'!B10),"",('Données à saisir'!B10))</f>
        <v/>
      </c>
      <c r="D43" s="339"/>
      <c r="E43" s="339"/>
      <c r="F43" s="339"/>
      <c r="G43" s="339"/>
      <c r="H43" s="124"/>
      <c r="K43" s="320" t="str">
        <f aca="false">IF(ISBLANK('Données à saisir'!A64),"",'Données à saisir'!A64)</f>
        <v>Prêt n°3 (nom de la banque)</v>
      </c>
      <c r="L43" s="306"/>
      <c r="M43" s="306"/>
      <c r="N43" s="321" t="str">
        <f aca="false">IF(ISBLANK('Données à saisir'!C64),"",'Données à saisir'!C64)</f>
        <v/>
      </c>
      <c r="O43" s="322" t="str">
        <f aca="false">IF(ISBLANK('Données à saisir'!D64),"",'Données à saisir'!D64)</f>
        <v/>
      </c>
      <c r="P43" s="306"/>
      <c r="Q43" s="323" t="n">
        <f aca="false">IF(ISBLANK('Données à saisir'!B64),0,'Données à saisir'!B64)</f>
        <v>0</v>
      </c>
      <c r="T43" s="223"/>
      <c r="U43" s="256"/>
      <c r="V43" s="256"/>
      <c r="W43" s="256"/>
      <c r="X43" s="276"/>
      <c r="Y43" s="276"/>
      <c r="Z43" s="277"/>
      <c r="AC43" s="181" t="s">
        <v>278</v>
      </c>
      <c r="AD43" s="224"/>
      <c r="AE43" s="224"/>
      <c r="AF43" s="224"/>
      <c r="AG43" s="340" t="n">
        <f aca="false">'Données à saisir'!C39</f>
        <v>0</v>
      </c>
      <c r="AH43" s="340" t="n">
        <f aca="false">'Données à saisir'!D39</f>
        <v>0</v>
      </c>
      <c r="AI43" s="341" t="n">
        <f aca="false">'Données à saisir'!E39</f>
        <v>0</v>
      </c>
      <c r="AL43" s="342" t="s">
        <v>279</v>
      </c>
      <c r="AM43" s="224"/>
      <c r="AN43" s="224"/>
      <c r="AO43" s="216" t="n">
        <f aca="false">AO22</f>
        <v>0</v>
      </c>
      <c r="AP43" s="343"/>
      <c r="AQ43" s="216" t="n">
        <f aca="false">AQ22</f>
        <v>0</v>
      </c>
      <c r="AR43" s="343"/>
      <c r="AS43" s="344" t="n">
        <f aca="false">AS22</f>
        <v>0</v>
      </c>
      <c r="AT43" s="345"/>
      <c r="AW43" s="224"/>
      <c r="AX43" s="149"/>
      <c r="AY43" s="149"/>
      <c r="AZ43" s="149"/>
      <c r="BA43" s="272"/>
      <c r="BB43" s="272"/>
      <c r="BC43" s="272"/>
      <c r="BF43" s="224"/>
      <c r="BG43" s="149"/>
      <c r="BH43" s="149"/>
      <c r="BI43" s="149"/>
      <c r="BJ43" s="137"/>
      <c r="BK43" s="137"/>
      <c r="BL43" s="137"/>
      <c r="BO43" s="337"/>
      <c r="BP43" s="224"/>
      <c r="BQ43" s="224"/>
      <c r="BR43" s="338"/>
      <c r="BS43" s="338"/>
      <c r="BT43" s="338"/>
      <c r="BU43" s="338"/>
      <c r="BV43" s="338"/>
      <c r="CE43" s="243"/>
    </row>
    <row r="44" customFormat="false" ht="15" hidden="false" customHeight="true" outlineLevel="0" collapsed="false">
      <c r="B44" s="77"/>
      <c r="C44" s="346" t="str">
        <f aca="false">IF(ISBLANK('Données à saisir'!B11),"",('Données à saisir'!B11))</f>
        <v>Libreville</v>
      </c>
      <c r="D44" s="346"/>
      <c r="E44" s="346"/>
      <c r="F44" s="346"/>
      <c r="G44" s="346"/>
      <c r="H44" s="124"/>
      <c r="K44" s="159" t="str">
        <f aca="false">IF(ISBLANK('Données à saisir'!A65),"",'Données à saisir'!A65)</f>
        <v>Subvention n°1 </v>
      </c>
      <c r="L44" s="121"/>
      <c r="M44" s="121"/>
      <c r="N44" s="121"/>
      <c r="O44" s="121"/>
      <c r="P44" s="121"/>
      <c r="Q44" s="160" t="n">
        <f aca="false">IF(ISBLANK('Données à saisir'!B65),0,'Données à saisir'!B65)</f>
        <v>0</v>
      </c>
      <c r="T44" s="223" t="str">
        <f aca="false">K26</f>
        <v>Travaux et aménagements</v>
      </c>
      <c r="U44" s="256"/>
      <c r="V44" s="256"/>
      <c r="W44" s="256"/>
      <c r="X44" s="276" t="n">
        <f aca="false">'Données à saisir'!C52</f>
        <v>0</v>
      </c>
      <c r="Y44" s="276" t="n">
        <f aca="false">'Données à saisir'!D52</f>
        <v>0</v>
      </c>
      <c r="Z44" s="277" t="n">
        <f aca="false">'Données à saisir'!E52</f>
        <v>0</v>
      </c>
      <c r="AC44" s="196" t="s">
        <v>280</v>
      </c>
      <c r="AD44" s="197"/>
      <c r="AE44" s="197"/>
      <c r="AF44" s="197"/>
      <c r="AG44" s="208" t="n">
        <f aca="false">AG41-AG42-AG43</f>
        <v>113760000</v>
      </c>
      <c r="AH44" s="208" t="n">
        <f aca="false">AH41-AH42-AH43</f>
        <v>136512000</v>
      </c>
      <c r="AI44" s="209" t="n">
        <f aca="false">AI41-AI42-AI43</f>
        <v>167640000</v>
      </c>
      <c r="AL44" s="196" t="s">
        <v>252</v>
      </c>
      <c r="AM44" s="197"/>
      <c r="AN44" s="197"/>
      <c r="AO44" s="237" t="n">
        <f aca="false">AO42+AO43</f>
        <v>79632000</v>
      </c>
      <c r="AP44" s="334"/>
      <c r="AQ44" s="237" t="n">
        <f aca="false">AQ42+AQ43</f>
        <v>95558400</v>
      </c>
      <c r="AR44" s="334"/>
      <c r="AS44" s="335" t="n">
        <f aca="false">AS42+AS43</f>
        <v>117348000</v>
      </c>
      <c r="AT44" s="336"/>
      <c r="AW44" s="265"/>
      <c r="AX44" s="149"/>
      <c r="AY44" s="149"/>
      <c r="AZ44" s="266"/>
      <c r="BA44" s="267"/>
      <c r="BB44" s="267"/>
      <c r="BC44" s="267"/>
      <c r="BF44" s="265"/>
      <c r="BG44" s="149"/>
      <c r="BH44" s="149"/>
      <c r="BI44" s="266"/>
      <c r="BJ44" s="267"/>
      <c r="BK44" s="267"/>
      <c r="BL44" s="267"/>
      <c r="BO44" s="224"/>
      <c r="BP44" s="149"/>
      <c r="BQ44" s="149"/>
      <c r="BR44" s="338"/>
      <c r="BS44" s="338"/>
      <c r="BT44" s="338"/>
      <c r="BU44" s="338"/>
      <c r="BV44" s="338"/>
      <c r="CE44" s="243"/>
    </row>
    <row r="45" customFormat="false" ht="15" hidden="false" customHeight="true" outlineLevel="0" collapsed="false">
      <c r="B45" s="77"/>
      <c r="C45" s="121"/>
      <c r="D45" s="121"/>
      <c r="E45" s="121"/>
      <c r="F45" s="121"/>
      <c r="G45" s="121"/>
      <c r="H45" s="124"/>
      <c r="K45" s="305"/>
      <c r="L45" s="347"/>
      <c r="M45" s="347"/>
      <c r="N45" s="347"/>
      <c r="O45" s="347"/>
      <c r="P45" s="347"/>
      <c r="Q45" s="308"/>
      <c r="T45" s="223" t="str">
        <f aca="false">K27</f>
        <v>Matériel</v>
      </c>
      <c r="U45" s="256"/>
      <c r="V45" s="256"/>
      <c r="W45" s="256"/>
      <c r="X45" s="276" t="n">
        <f aca="false">'Données à saisir'!C53</f>
        <v>0</v>
      </c>
      <c r="Y45" s="276" t="n">
        <f aca="false">'Données à saisir'!D53</f>
        <v>0</v>
      </c>
      <c r="Z45" s="277" t="n">
        <f aca="false">'Données à saisir'!E53</f>
        <v>0</v>
      </c>
      <c r="AC45" s="181" t="str">
        <f aca="false">IF(ISERROR(+IF((VLOOKUP('Données à saisir'!B8,'Données à saisir'!J11:K16,2,0))="IR","","Impôt sur les sociétés")),"",+IF((VLOOKUP('Données à saisir'!B8,'Données à saisir'!J11:K16,2,0))="IR","","Impôt sur les sociétés"))</f>
        <v/>
      </c>
      <c r="AD45" s="149"/>
      <c r="AE45" s="348" t="n">
        <v>0.3</v>
      </c>
      <c r="AF45" s="149"/>
      <c r="AG45" s="167" t="n">
        <f aca="false">AG44*AE45</f>
        <v>34128000</v>
      </c>
      <c r="AH45" s="167" t="n">
        <f aca="false">AH44*AE45</f>
        <v>40953600</v>
      </c>
      <c r="AI45" s="168" t="n">
        <f aca="false">AI44*AE45</f>
        <v>50292000</v>
      </c>
      <c r="AL45" s="161" t="s">
        <v>281</v>
      </c>
      <c r="AM45" s="149"/>
      <c r="AN45" s="149"/>
      <c r="AO45" s="216" t="n">
        <f aca="false">IF(ISERROR(SUM('Données à saisir'!J71:J73)),0,SUM('Données à saisir'!J71:J73))</f>
        <v>0</v>
      </c>
      <c r="AP45" s="343"/>
      <c r="AQ45" s="216" t="n">
        <f aca="false">SUM('Données à saisir'!K71:K73)</f>
        <v>0</v>
      </c>
      <c r="AR45" s="343"/>
      <c r="AS45" s="344" t="n">
        <f aca="false">SUM('Données à saisir'!L71:L73)</f>
        <v>0</v>
      </c>
      <c r="AT45" s="345"/>
      <c r="AW45" s="265"/>
      <c r="AX45" s="149"/>
      <c r="AY45" s="149"/>
      <c r="AZ45" s="266"/>
      <c r="BA45" s="267"/>
      <c r="BB45" s="267"/>
      <c r="BC45" s="267"/>
      <c r="BF45" s="265"/>
      <c r="BG45" s="149"/>
      <c r="BH45" s="149"/>
      <c r="BI45" s="266"/>
      <c r="BJ45" s="267"/>
      <c r="BK45" s="267"/>
      <c r="BL45" s="267"/>
      <c r="BO45" s="337"/>
      <c r="BP45" s="149"/>
      <c r="BQ45" s="149"/>
      <c r="BR45" s="338"/>
      <c r="BS45" s="338"/>
      <c r="BT45" s="338"/>
      <c r="BU45" s="338"/>
      <c r="BV45" s="338"/>
    </row>
    <row r="46" customFormat="false" ht="15" hidden="false" customHeight="true" outlineLevel="0" collapsed="false">
      <c r="B46" s="77"/>
      <c r="C46" s="121"/>
      <c r="D46" s="121"/>
      <c r="E46" s="121"/>
      <c r="F46" s="121"/>
      <c r="G46" s="121"/>
      <c r="H46" s="124"/>
      <c r="K46" s="305"/>
      <c r="L46" s="347"/>
      <c r="M46" s="347"/>
      <c r="N46" s="347"/>
      <c r="O46" s="347"/>
      <c r="P46" s="347"/>
      <c r="Q46" s="308"/>
      <c r="T46" s="223" t="str">
        <f aca="false">K28</f>
        <v>Matériel de bureau</v>
      </c>
      <c r="U46" s="256"/>
      <c r="V46" s="256"/>
      <c r="W46" s="256"/>
      <c r="X46" s="276" t="n">
        <f aca="false">'Données à saisir'!C54</f>
        <v>0</v>
      </c>
      <c r="Y46" s="276" t="n">
        <f aca="false">'Données à saisir'!D54</f>
        <v>0</v>
      </c>
      <c r="Z46" s="277" t="n">
        <f aca="false">'Données à saisir'!E54</f>
        <v>0</v>
      </c>
      <c r="AC46" s="349"/>
      <c r="AD46" s="149"/>
      <c r="AE46" s="149"/>
      <c r="AF46" s="149"/>
      <c r="AG46" s="292"/>
      <c r="AH46" s="292"/>
      <c r="AI46" s="168"/>
      <c r="AL46" s="350" t="s">
        <v>282</v>
      </c>
      <c r="AM46" s="351"/>
      <c r="AN46" s="351"/>
      <c r="AO46" s="352" t="n">
        <f aca="false">AO44-AO45</f>
        <v>79632000</v>
      </c>
      <c r="AP46" s="353"/>
      <c r="AQ46" s="352" t="n">
        <f aca="false">AQ44-AQ45</f>
        <v>95558400</v>
      </c>
      <c r="AR46" s="353"/>
      <c r="AS46" s="354" t="n">
        <f aca="false">AS44-AS45</f>
        <v>117348000</v>
      </c>
      <c r="AT46" s="329"/>
      <c r="AW46" s="281"/>
      <c r="AX46" s="282"/>
      <c r="AY46" s="149"/>
      <c r="AZ46" s="282"/>
      <c r="BA46" s="283"/>
      <c r="BB46" s="283"/>
      <c r="BC46" s="283"/>
      <c r="BF46" s="281"/>
      <c r="BG46" s="282"/>
      <c r="BH46" s="149"/>
      <c r="BI46" s="282"/>
      <c r="BJ46" s="283"/>
      <c r="BK46" s="283"/>
      <c r="BL46" s="283"/>
      <c r="BO46" s="355"/>
      <c r="BP46" s="149"/>
      <c r="BQ46" s="149"/>
      <c r="BR46" s="356"/>
      <c r="BS46" s="356"/>
      <c r="BT46" s="356"/>
      <c r="BU46" s="356"/>
      <c r="BV46" s="338"/>
    </row>
    <row r="47" customFormat="false" ht="15" hidden="false" customHeight="true" outlineLevel="0" collapsed="false">
      <c r="B47" s="77"/>
      <c r="C47" s="357" t="n">
        <f aca="true">TODAY()</f>
        <v>43527</v>
      </c>
      <c r="D47" s="357"/>
      <c r="E47" s="357"/>
      <c r="F47" s="357"/>
      <c r="G47" s="357"/>
      <c r="H47" s="124"/>
      <c r="K47" s="358"/>
      <c r="L47" s="359"/>
      <c r="M47" s="359"/>
      <c r="N47" s="359"/>
      <c r="O47" s="359"/>
      <c r="P47" s="359"/>
      <c r="Q47" s="360"/>
      <c r="T47" s="239"/>
      <c r="U47" s="240"/>
      <c r="V47" s="240"/>
      <c r="W47" s="240"/>
      <c r="X47" s="361"/>
      <c r="Y47" s="361"/>
      <c r="Z47" s="362"/>
      <c r="AC47" s="196" t="s">
        <v>283</v>
      </c>
      <c r="AD47" s="197"/>
      <c r="AE47" s="197"/>
      <c r="AF47" s="197"/>
      <c r="AG47" s="208" t="n">
        <f aca="false">AG44-SUM(AG45)</f>
        <v>79632000</v>
      </c>
      <c r="AH47" s="208" t="n">
        <f aca="false">AH44-SUM(AH45)</f>
        <v>95558400</v>
      </c>
      <c r="AI47" s="209" t="n">
        <f aca="false">AI44-SUM(AI45)</f>
        <v>117348000</v>
      </c>
      <c r="AW47" s="149"/>
      <c r="AX47" s="149"/>
      <c r="AY47" s="149"/>
      <c r="AZ47" s="149"/>
      <c r="BA47" s="149"/>
      <c r="BB47" s="149"/>
      <c r="BC47" s="149"/>
      <c r="BO47" s="224"/>
      <c r="BP47" s="149"/>
      <c r="BQ47" s="149"/>
      <c r="BR47" s="338"/>
      <c r="BS47" s="338"/>
      <c r="BT47" s="338"/>
      <c r="BU47" s="338"/>
      <c r="BV47" s="338"/>
    </row>
    <row r="48" customFormat="false" ht="15" hidden="false" customHeight="true" outlineLevel="0" collapsed="false">
      <c r="B48" s="128"/>
      <c r="C48" s="129"/>
      <c r="D48" s="129"/>
      <c r="E48" s="129"/>
      <c r="F48" s="129"/>
      <c r="G48" s="129"/>
      <c r="H48" s="287"/>
      <c r="K48" s="363"/>
      <c r="L48" s="364"/>
      <c r="M48" s="364"/>
      <c r="N48" s="364"/>
      <c r="O48" s="365" t="s">
        <v>284</v>
      </c>
      <c r="P48" s="364"/>
      <c r="Q48" s="268" t="n">
        <f aca="false">SUM(Q37,Q40,Q44:Q46)</f>
        <v>0</v>
      </c>
      <c r="T48" s="366" t="s">
        <v>285</v>
      </c>
      <c r="U48" s="367"/>
      <c r="V48" s="367"/>
      <c r="W48" s="367"/>
      <c r="X48" s="368" t="n">
        <f aca="false">SUM(X31,X40)</f>
        <v>0</v>
      </c>
      <c r="Y48" s="368" t="n">
        <f aca="false">SUM(Y31,Y40)</f>
        <v>0</v>
      </c>
      <c r="Z48" s="369" t="n">
        <f aca="false">SUM(Z31,Z40)</f>
        <v>0</v>
      </c>
      <c r="AC48" s="370"/>
      <c r="AD48" s="233"/>
      <c r="AE48" s="233"/>
      <c r="AF48" s="233"/>
      <c r="AG48" s="241"/>
      <c r="AH48" s="371"/>
      <c r="AI48" s="372"/>
      <c r="BO48" s="355"/>
      <c r="BP48" s="149"/>
      <c r="BQ48" s="149"/>
      <c r="BR48" s="338"/>
      <c r="BS48" s="338"/>
      <c r="BT48" s="338"/>
      <c r="BU48" s="356"/>
      <c r="BV48" s="338"/>
    </row>
    <row r="49" s="25" customFormat="true" ht="26.25" hidden="false" customHeight="true" outlineLevel="0" collapsed="false">
      <c r="H49" s="25" t="n">
        <v>1</v>
      </c>
      <c r="Q49" s="373"/>
      <c r="T49" s="91"/>
      <c r="U49" s="91"/>
      <c r="V49" s="91"/>
      <c r="W49" s="91"/>
      <c r="X49" s="91"/>
      <c r="Y49" s="91"/>
      <c r="Z49" s="91" t="n">
        <v>3</v>
      </c>
      <c r="AC49" s="91"/>
      <c r="AD49" s="91"/>
      <c r="AE49" s="91"/>
      <c r="AF49" s="91"/>
      <c r="AG49" s="374"/>
      <c r="AH49" s="374"/>
      <c r="AI49" s="374" t="n">
        <v>4</v>
      </c>
      <c r="AL49" s="91"/>
      <c r="AM49" s="91"/>
      <c r="AN49" s="91"/>
      <c r="AO49" s="91"/>
      <c r="AP49" s="91"/>
      <c r="AQ49" s="91"/>
      <c r="AR49" s="91"/>
      <c r="AS49" s="91"/>
      <c r="AT49" s="91" t="n">
        <v>5</v>
      </c>
      <c r="AW49" s="91"/>
      <c r="AX49" s="91"/>
      <c r="AY49" s="91"/>
      <c r="AZ49" s="91"/>
      <c r="BA49" s="91"/>
      <c r="BB49" s="91"/>
      <c r="BC49" s="91" t="n">
        <v>6</v>
      </c>
      <c r="BF49" s="91"/>
      <c r="BG49" s="91"/>
      <c r="BH49" s="91"/>
      <c r="BI49" s="91"/>
      <c r="BJ49" s="91"/>
      <c r="BK49" s="91"/>
      <c r="BL49" s="91" t="n">
        <v>7</v>
      </c>
      <c r="BO49" s="91"/>
      <c r="BP49" s="91"/>
      <c r="BQ49" s="91"/>
      <c r="BR49" s="91"/>
      <c r="BS49" s="91"/>
      <c r="BT49" s="91"/>
      <c r="BU49" s="91"/>
      <c r="BV49" s="91" t="n">
        <v>8</v>
      </c>
      <c r="BY49" s="91"/>
      <c r="BZ49" s="91"/>
      <c r="CA49" s="91"/>
      <c r="CB49" s="91"/>
      <c r="CC49" s="91"/>
      <c r="CD49" s="91"/>
      <c r="CE49" s="91"/>
      <c r="CF49" s="91" t="n">
        <v>9</v>
      </c>
      <c r="CG49" s="91"/>
    </row>
    <row r="51" customFormat="false" ht="15" hidden="false" customHeight="true" outlineLevel="0" collapsed="false">
      <c r="X51" s="243"/>
      <c r="AO51" s="243"/>
      <c r="AP51" s="243"/>
      <c r="BA51" s="243"/>
      <c r="BJ51" s="243"/>
      <c r="BS51" s="243"/>
      <c r="BT51" s="243"/>
    </row>
    <row r="52" customFormat="false" ht="15" hidden="true" customHeight="true" outlineLevel="0" collapsed="false">
      <c r="X52" s="243"/>
      <c r="Y52" s="243"/>
      <c r="Z52" s="243"/>
      <c r="AC52" s="113" t="s">
        <v>286</v>
      </c>
      <c r="AG52" s="114" t="n">
        <f aca="false">AG35-SUM(AG36:AG38,AG42:AG43)</f>
        <v>113760000</v>
      </c>
      <c r="AH52" s="114" t="n">
        <f aca="false">AH35-SUM(AH36:AH38,AH42:AH43)</f>
        <v>136512000</v>
      </c>
      <c r="AI52" s="114" t="n">
        <f aca="false">AI35-SUM(AI36:AI38,AI42:AI43)</f>
        <v>167640000</v>
      </c>
      <c r="AO52" s="243"/>
      <c r="AP52" s="243"/>
      <c r="AQ52" s="243"/>
      <c r="AR52" s="243"/>
      <c r="AS52" s="243"/>
      <c r="AT52" s="243"/>
      <c r="BA52" s="243"/>
      <c r="BB52" s="243"/>
      <c r="BC52" s="243"/>
      <c r="BJ52" s="243"/>
      <c r="BK52" s="243"/>
      <c r="BL52" s="243"/>
      <c r="BS52" s="243"/>
      <c r="BT52" s="243"/>
      <c r="BU52" s="243"/>
      <c r="BV52" s="243"/>
    </row>
  </sheetData>
  <mergeCells count="60">
    <mergeCell ref="K2:Q4"/>
    <mergeCell ref="T2:Z4"/>
    <mergeCell ref="AC2:AI4"/>
    <mergeCell ref="AL2:AT4"/>
    <mergeCell ref="AW2:BC4"/>
    <mergeCell ref="BF2:BL4"/>
    <mergeCell ref="BO2:BV4"/>
    <mergeCell ref="BY2:CF4"/>
    <mergeCell ref="E6:G7"/>
    <mergeCell ref="AG8:AG9"/>
    <mergeCell ref="AH8:AH9"/>
    <mergeCell ref="AI8:AI9"/>
    <mergeCell ref="K9:P10"/>
    <mergeCell ref="Q9:Q10"/>
    <mergeCell ref="BA9:BA10"/>
    <mergeCell ref="BB9:BB10"/>
    <mergeCell ref="BC9:BC10"/>
    <mergeCell ref="AO11:AO12"/>
    <mergeCell ref="AP11:AP12"/>
    <mergeCell ref="AQ11:AQ12"/>
    <mergeCell ref="AR11:AR12"/>
    <mergeCell ref="AS11:AS12"/>
    <mergeCell ref="AT11:AT12"/>
    <mergeCell ref="BJ12:BJ13"/>
    <mergeCell ref="BK12:BK13"/>
    <mergeCell ref="BL12:BL13"/>
    <mergeCell ref="BR13:BR14"/>
    <mergeCell ref="BS13:BS14"/>
    <mergeCell ref="BT13:BT14"/>
    <mergeCell ref="BU13:BU14"/>
    <mergeCell ref="BV13:BV14"/>
    <mergeCell ref="BY13:BY14"/>
    <mergeCell ref="BZ13:BZ14"/>
    <mergeCell ref="CA13:CA14"/>
    <mergeCell ref="CB13:CB14"/>
    <mergeCell ref="CC13:CC14"/>
    <mergeCell ref="CD13:CD14"/>
    <mergeCell ref="CE13:CE14"/>
    <mergeCell ref="CF13:CF14"/>
    <mergeCell ref="B14:H20"/>
    <mergeCell ref="C23:G25"/>
    <mergeCell ref="T25:Z27"/>
    <mergeCell ref="C28:G32"/>
    <mergeCell ref="AW29:BC31"/>
    <mergeCell ref="C33:G35"/>
    <mergeCell ref="K34:P35"/>
    <mergeCell ref="Q34:Q35"/>
    <mergeCell ref="AL34:AT36"/>
    <mergeCell ref="BA34:BA35"/>
    <mergeCell ref="BB34:BB35"/>
    <mergeCell ref="BC34:BC35"/>
    <mergeCell ref="AO40:AO41"/>
    <mergeCell ref="AQ40:AQ41"/>
    <mergeCell ref="AS40:AS41"/>
    <mergeCell ref="C42:G42"/>
    <mergeCell ref="BA42:BA43"/>
    <mergeCell ref="BB42:BB43"/>
    <mergeCell ref="BC42:BC43"/>
    <mergeCell ref="C44:G44"/>
    <mergeCell ref="C47:G47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9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8" manualBreakCount="8">
    <brk id="9" man="true" max="65535" min="0"/>
    <brk id="18" man="true" max="65535" min="0"/>
    <brk id="27" man="true" max="65535" min="0"/>
    <brk id="36" man="true" max="65535" min="0"/>
    <brk id="47" man="true" max="65535" min="0"/>
    <brk id="56" man="true" max="65535" min="0"/>
    <brk id="65" man="true" max="65535" min="0"/>
    <brk id="75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6.15"/>
    <col collapsed="false" customWidth="true" hidden="false" outlineLevel="0" max="5" min="3" style="0" width="17.57"/>
    <col collapsed="false" customWidth="true" hidden="false" outlineLevel="0" max="6" min="6" style="0" width="13.28"/>
    <col collapsed="false" customWidth="true" hidden="false" outlineLevel="0" max="7" min="7" style="32" width="45.14"/>
    <col collapsed="false" customWidth="true" hidden="false" outlineLevel="0" max="1025" min="8" style="0" width="10.53"/>
  </cols>
  <sheetData>
    <row r="3" s="376" customFormat="true" ht="28.5" hidden="false" customHeight="true" outlineLevel="0" collapsed="false">
      <c r="A3" s="375" t="s">
        <v>287</v>
      </c>
      <c r="B3" s="375" t="s">
        <v>288</v>
      </c>
      <c r="C3" s="375" t="s">
        <v>289</v>
      </c>
      <c r="D3" s="375" t="s">
        <v>290</v>
      </c>
      <c r="E3" s="375" t="s">
        <v>291</v>
      </c>
      <c r="F3" s="375" t="s">
        <v>292</v>
      </c>
      <c r="G3" s="375" t="s">
        <v>293</v>
      </c>
    </row>
    <row r="4" s="32" customFormat="true" ht="15" hidden="false" customHeight="false" outlineLevel="0" collapsed="false">
      <c r="A4" s="32" t="s">
        <v>294</v>
      </c>
      <c r="B4" s="32" t="s">
        <v>295</v>
      </c>
      <c r="C4" s="32" t="s">
        <v>296</v>
      </c>
      <c r="D4" s="377" t="n">
        <v>65</v>
      </c>
      <c r="E4" s="378" t="n">
        <f aca="false">D4*656.957</f>
        <v>42702.205</v>
      </c>
      <c r="F4" s="378" t="n">
        <f aca="false">E4*12</f>
        <v>512426.46</v>
      </c>
      <c r="G4" s="32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  <Company>TIPSO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2016-07-10T11:43:10Z</dcterms:created>
  <dc:creator>Administrateur</dc:creator>
  <dc:description/>
  <dc:language>fr-FR</dc:language>
  <cp:lastModifiedBy/>
  <cp:lastPrinted>2018-08-10T12:21:23Z</cp:lastPrinted>
  <dcterms:modified xsi:type="dcterms:W3CDTF">2019-03-03T19:02:18Z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TIPSO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